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basiewicz\Dropbox\!Research\!My Suff\"/>
    </mc:Choice>
  </mc:AlternateContent>
  <xr:revisionPtr revIDLastSave="0" documentId="13_ncr:1_{F6CADD3B-71C6-4A8E-9EA6-11135D37133B}" xr6:coauthVersionLast="47" xr6:coauthVersionMax="47" xr10:uidLastSave="{00000000-0000-0000-0000-000000000000}"/>
  <bookViews>
    <workbookView xWindow="42022" yWindow="-98" windowWidth="28995" windowHeight="15675" firstSheet="2" activeTab="5" xr2:uid="{C096F9BA-EC66-471E-B3EF-7ACCA19FB63B}"/>
  </bookViews>
  <sheets>
    <sheet name="HC Data bank" sheetId="219" state="hidden" r:id="rId1"/>
    <sheet name="Other Data" sheetId="6" state="hidden" r:id="rId2"/>
    <sheet name="Values" sheetId="200" r:id="rId3"/>
    <sheet name="Output" sheetId="3" r:id="rId4"/>
    <sheet name="Tickers" sheetId="2" r:id="rId5"/>
    <sheet name="FAS" sheetId="112" r:id="rId6"/>
    <sheet name="FAS (RACE)" sheetId="275" r:id="rId7"/>
    <sheet name="FAS (VOW)" sheetId="277" r:id="rId8"/>
  </sheets>
  <functionGroups builtInGroupCount="19">
    <functionGroup name="Refinitiv"/>
    <functionGroup name="Bloomberg"/>
  </functionGroups>
  <externalReferences>
    <externalReference r:id="rId9"/>
  </externalReferences>
  <definedNames>
    <definedName name="__FDS_HYPERLINK_TOGGLE_STATE__" hidden="1">"ON"</definedName>
    <definedName name="_Regression_Int" hidden="1">1</definedName>
    <definedName name="_Regression_Out" hidden="1">[1]PROD_MB_MAAND!$E$71</definedName>
    <definedName name="_Regression_X" hidden="1">[1]PROD_MB_MAAND!$C$60:$C$66</definedName>
    <definedName name="_Regression_Y" hidden="1">[1]PROD_MB_MAAND!$D$60:$D$66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ccessDatabase" hidden="1">"C:\FAME\famework\elyval.mdb"</definedName>
    <definedName name="CIQWBGuid" hidden="1">"48916dee-876c-42bc-88fb-d681a5beb9a7"</definedName>
    <definedName name="CRNCY">Tickers!$G$2</definedName>
    <definedName name="cu102.ShareScalingFactor" hidden="1">1000000</definedName>
    <definedName name="cu103.EmployeeScalingFactor" hidden="1">1000</definedName>
    <definedName name="cu71.ScalingFactor" hidden="1">1000000</definedName>
    <definedName name="Current.Year">Tickers!$D$6</definedName>
    <definedName name="Data">Output!$1:$198</definedName>
    <definedName name="Effective.Date">Tickers!$D$4</definedName>
    <definedName name="FASTicker">Tickers!$D$9</definedName>
    <definedName name="HardCoded.Field">'HC Data bank'!$B:$B</definedName>
    <definedName name="HardCoded.Tickers">'HC Data bank'!$A:$A</definedName>
    <definedName name="HardCoded.Years">'HC Data bank'!$1:$1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GROWTH" hidden="1">"c1924"</definedName>
    <definedName name="IQ_ACCT_RECV_1YR_ANN_GROWTH" hidden="1">"c1919"</definedName>
    <definedName name="IQ_ACCT_RECV_2YR_ANN_GROWTH" hidden="1">"c1920"</definedName>
    <definedName name="IQ_ACCT_RECV_3YR_ANN_GROWTH" hidden="1">"c1921"</definedName>
    <definedName name="IQ_ACCT_RECV_5YR_ANN_GROWTH" hidden="1">"c1922"</definedName>
    <definedName name="IQ_ACCT_RECV_7YR_ANN_GROWTH" hidden="1">"c1923"</definedName>
    <definedName name="IQ_ACCUM_DEP" hidden="1">"c1340"</definedName>
    <definedName name="IQ_ACQ_COST_SUB" hidden="1">"c2125"</definedName>
    <definedName name="IQ_ACQ_COSTS_CAPITALIZED" hidden="1">"c5"</definedName>
    <definedName name="IQ_ACQUIRE_REAL_ESTATE_CF" hidden="1">"c6"</definedName>
    <definedName name="IQ_ACQUISITION_RE_ASSETS" hidden="1">"c1628"</definedName>
    <definedName name="IQ_AD" hidden="1">"c7"</definedName>
    <definedName name="IQ_ADD_PAID_IN" hidden="1">"c1344"</definedName>
    <definedName name="IQ_ADDIN" hidden="1">"AUTO"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IT" hidden="1">"c13"</definedName>
    <definedName name="IQ_AE_UTI" hidden="1">"c14"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GROWTH" hidden="1">"c18"</definedName>
    <definedName name="IQ_ALLOWANCE_1YR_ANN_GROWTH" hidden="1">"c19"</definedName>
    <definedName name="IQ_ALLOWANCE_2YR_ANN_GROWTH" hidden="1">"c20"</definedName>
    <definedName name="IQ_ALLOWANCE_3YR_ANN_GROWTH" hidden="1">"c21"</definedName>
    <definedName name="IQ_ALLOWANCE_5YR_ANN_GROWTH" hidden="1">"c22"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ORTIZATION" hidden="1">"c1591"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IT" hidden="1">"c60"</definedName>
    <definedName name="IQ_ASSET_WRITEDOWN_UTI" hidden="1">"c61"</definedName>
    <definedName name="IQ_ASSETS_CAP_LEASE_DEPR" hidden="1">"c2068"</definedName>
    <definedName name="IQ_ASSETS_CAP_LEASE_GROSS" hidden="1">"c2069"</definedName>
    <definedName name="IQ_ASSETS_OPER_LEASE_DEPR" hidden="1">"c2070"</definedName>
    <definedName name="IQ_ASSETS_OPER_LEASE_GROSS" hidden="1">"c2071"</definedName>
    <definedName name="IQ_AUDITOR_NAME" hidden="1">"c1539"</definedName>
    <definedName name="IQ_AUDITOR_OPINION" hidden="1">"c1540"</definedName>
    <definedName name="IQ_AUTO_WRITTEN" hidden="1">"c62"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NO" hidden="1">"c64"</definedName>
    <definedName name="IQ_AVG_DAILY_VOL" hidden="1">"c65"</definedName>
    <definedName name="IQ_AVG_INT_BEAR_LIAB" hidden="1">"c66"</definedName>
    <definedName name="IQ_AVG_INT_BEAR_LIAB_10YR_ANN_GROWTH" hidden="1">"c67"</definedName>
    <definedName name="IQ_AVG_INT_BEAR_LIAB_1YR_ANN_GROWTH" hidden="1">"c68"</definedName>
    <definedName name="IQ_AVG_INT_BEAR_LIAB_2YR_ANN_GROWTH" hidden="1">"c69"</definedName>
    <definedName name="IQ_AVG_INT_BEAR_LIAB_3YR_ANN_GROWTH" hidden="1">"c70"</definedName>
    <definedName name="IQ_AVG_INT_BEAR_LIAB_5YR_ANN_GROWTH" hidden="1">"c71"</definedName>
    <definedName name="IQ_AVG_INT_BEAR_LIAB_7YR_ANN_GROWTH" hidden="1">"c72"</definedName>
    <definedName name="IQ_AVG_INT_EARN_ASSETS" hidden="1">"c73"</definedName>
    <definedName name="IQ_AVG_INT_EARN_ASSETS_10YR_ANN_GROWTH" hidden="1">"c74"</definedName>
    <definedName name="IQ_AVG_INT_EARN_ASSETS_1YR_ANN_GROWTH" hidden="1">"c75"</definedName>
    <definedName name="IQ_AVG_INT_EARN_ASSETS_2YR_ANN_GROWTH" hidden="1">"c76"</definedName>
    <definedName name="IQ_AVG_INT_EARN_ASSETS_3YR_ANN_GROWTH" hidden="1">"c77"</definedName>
    <definedName name="IQ_AVG_INT_EARN_ASSETS_5YR_ANN_GROWTH" hidden="1">"c78"</definedName>
    <definedName name="IQ_AVG_INT_EARN_ASSETS_7YR_ANN_GROWTH" hidden="1">"c79"</definedName>
    <definedName name="IQ_AVG_MKTCAP" hidden="1">"c80"</definedName>
    <definedName name="IQ_AVG_PRICE" hidden="1">"c81"</definedName>
    <definedName name="IQ_AVG_SHAREOUTSTANDING" hidden="1">"c83"</definedName>
    <definedName name="IQ_AVG_TEV" hidden="1">"c84"</definedName>
    <definedName name="IQ_AVG_VOLUME" hidden="1">"c1346"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"c89"</definedName>
    <definedName name="IQ_BOARD_MEMBER" hidden="1">"c96"</definedName>
    <definedName name="IQ_BOARD_MEMBER_BACKGROUND" hidden="1">"c2101"</definedName>
    <definedName name="IQ_BOARD_MEMBER_TITLE" hidden="1">"c97"</definedName>
    <definedName name="IQ_BROK_COMISSION" hidden="1">"c98"</definedName>
    <definedName name="IQ_BUILDINGS" hidden="1">"c99"</definedName>
    <definedName name="IQ_BUSINESS_DESCRIPTION" hidden="1">"c322"</definedName>
    <definedName name="IQ_BV_OVER_SHARES" hidden="1">"c1349"</definedName>
    <definedName name="IQ_BV_SHARE" hidden="1">"c100"</definedName>
    <definedName name="IQ_CAL_Q" hidden="1">"c101"</definedName>
    <definedName name="IQ_CAL_Y" hidden="1">"c102"</definedName>
    <definedName name="IQ_CAPEX" hidden="1">"c103"</definedName>
    <definedName name="IQ_CAPEX_10YR_ANN_GROWTH" hidden="1">"c104"</definedName>
    <definedName name="IQ_CAPEX_1YR_ANN_GROWTH" hidden="1">"c105"</definedName>
    <definedName name="IQ_CAPEX_2YR_ANN_GROWTH" hidden="1">"c106"</definedName>
    <definedName name="IQ_CAPEX_3YR_ANN_GROWTH" hidden="1">"c107"</definedName>
    <definedName name="IQ_CAPEX_5YR_ANN_GROWTH" hidden="1">"c108"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IZED_INTEREST" hidden="1">"c2076"</definedName>
    <definedName name="IQ_CASH" hidden="1">"c1458"</definedName>
    <definedName name="IQ_CASH_ACQUIRE_CF" hidden="1">"c1630"</definedName>
    <definedName name="IQ_CASH_CONVERSION" hidden="1">"c117"</definedName>
    <definedName name="IQ_CASH_DUE_BANKS" hidden="1">"c1351"</definedName>
    <definedName name="IQ_CASH_EQUIV" hidden="1">"c118"</definedName>
    <definedName name="IQ_CASH_FINAN" hidden="1">"c119"</definedName>
    <definedName name="IQ_CASH_INTEREST" hidden="1">"c120"</definedName>
    <definedName name="IQ_CASH_INVEST" hidden="1">"c121"</definedName>
    <definedName name="IQ_CASH_OPER" hidden="1">"c122"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FO_10YR_ANN_GROWTH" hidden="1">"c126"</definedName>
    <definedName name="IQ_CFO_1YR_ANN_GROWTH" hidden="1">"c127"</definedName>
    <definedName name="IQ_CFO_2YR_ANN_GROWTH" hidden="1">"c128"</definedName>
    <definedName name="IQ_CFO_3YR_ANN_GROWTH" hidden="1">"c129"</definedName>
    <definedName name="IQ_CFO_5YR_ANN_GROWTH" hidden="1">"c130"</definedName>
    <definedName name="IQ_CFO_7YR_ANN_GROWTH" hidden="1">"c131"</definedName>
    <definedName name="IQ_CFO_CURRENT_LIAB" hidden="1">"c132"</definedName>
    <definedName name="IQ_CH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ORY" hidden="1">"c151"</definedName>
    <definedName name="IQ_CHANGE_NET_WORKING_CAPITAL" hidden="1">"c1909"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GROSS" hidden="1">"c162"</definedName>
    <definedName name="IQ_CHARGE_OFFS_NET" hidden="1">"c163"</definedName>
    <definedName name="IQ_CHARGE_OFFS_RECOVERED" hidden="1">"c164"</definedName>
    <definedName name="IQ_CHARGE_OFFS_TOTAL_AVG_LOANS" hidden="1">"c165"</definedName>
    <definedName name="IQ_CITY" hidden="1">"c166"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ASSA_OUTSTANDING_BS_DATE" hidden="1">"c1971"</definedName>
    <definedName name="IQ_CLASSA_OUTSTANDING_FILING_DATE" hidden="1">"c1973"</definedName>
    <definedName name="IQ_CLOSEPRICE" hidden="1">"c174"</definedName>
    <definedName name="IQ_CLOSEPRICE_ADJ" hidden="1">"c2115"</definedName>
    <definedName name="IQ_COGS" hidden="1">"c175"</definedName>
    <definedName name="IQ_COMBINED_RATIO" hidden="1">"c176"</definedName>
    <definedName name="IQ_COMMERCIAL_DOM" hidden="1">"c177"</definedName>
    <definedName name="IQ_COMMERCIAL_FIRE_WRITTEN" hidden="1">"c178"</definedName>
    <definedName name="IQ_COMMERCIAL_MORT" hidden="1">"c179"</definedName>
    <definedName name="IQ_COMMISS_FEES" hidden="1">"c180"</definedName>
    <definedName name="IQ_COMMISSION_DEF" hidden="1">"c181"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IT" hidden="1">"c188"</definedName>
    <definedName name="IQ_COMMON_APIC_UTI" hidden="1">"c189"</definedName>
    <definedName name="IQ_COMMON_DIV_CF" hidden="1">"c190"</definedName>
    <definedName name="IQ_COMMON_EQUITY_10YR_ANN_GROWTH" hidden="1">"c191"</definedName>
    <definedName name="IQ_COMMON_EQUITY_1YR_ANN_GROWTH" hidden="1">"c192"</definedName>
    <definedName name="IQ_COMMON_EQUITY_2YR_ANN_GROWTH" hidden="1">"c193"</definedName>
    <definedName name="IQ_COMMON_EQUITY_3YR_ANN_GROWTH" hidden="1">"c194"</definedName>
    <definedName name="IQ_COMMON_EQUITY_5YR_ANN_GROWTH" hidden="1">"c195"</definedName>
    <definedName name="IQ_COMMON_EQUITY_7YR_ANN_GROWTH" hidden="1">"c196"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NAME" hidden="1">"c215"</definedName>
    <definedName name="IQ_COMPANY_NAME_LONG" hidden="1">"c1585"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NSTRUCTION_LOANS" hidden="1">"c222"</definedName>
    <definedName name="IQ_CONSUMER_LOANS" hidden="1">"c223"</definedName>
    <definedName name="IQ_COST_BORROWINGS" hidden="1">"c225"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TOTAL_BORROWINGS" hidden="1">"c229"</definedName>
    <definedName name="IQ_COUNTRY_NAME" hidden="1">"c230"</definedName>
    <definedName name="IQ_COVERED_POPS" hidden="1">"c2124"</definedName>
    <definedName name="IQ_CQ">5000</definedName>
    <definedName name="IQ_CREDIT_CARD_FEE_BNK" hidden="1">"c231"</definedName>
    <definedName name="IQ_CREDIT_CARD_FEE_FIN" hidden="1">"c1583"</definedName>
    <definedName name="IQ_CREDIT_LOSS_CF" hidden="1">"c232"</definedName>
    <definedName name="IQ_CUMULATIVE_SPLIT_FACTOR" hidden="1">"c2094"</definedName>
    <definedName name="IQ_CURR_DOMESTIC_TAXES" hidden="1">"c2074"</definedName>
    <definedName name="IQ_CURR_FOREIGN_TAXES" hidden="1">"c2075"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IT" hidden="1">"c239"</definedName>
    <definedName name="IQ_CURRENCY_GAIN_UTI" hidden="1">"c240"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IT" hidden="1">"c1570"</definedName>
    <definedName name="IQ_CURRENT_PORT_DEBT_UTI" hidden="1">"c1571"</definedName>
    <definedName name="IQ_CURRENT_PORT_LEASES" hidden="1">"c245"</definedName>
    <definedName name="IQ_CURRENT_RATIO" hidden="1">"c246"</definedName>
    <definedName name="IQ_CY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IT" hidden="1">"c254"</definedName>
    <definedName name="IQ_DA_CF_UTI" hidden="1">"c255"</definedName>
    <definedName name="IQ_DA_FIN" hidden="1">"c256"</definedName>
    <definedName name="IQ_DA_INS" hidden="1">"c257"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IT" hidden="1">"c270"</definedName>
    <definedName name="IQ_DA_SUPPL_UTI" hidden="1">"c271"</definedName>
    <definedName name="IQ_DA_UTI" hidden="1">"c272"</definedName>
    <definedName name="IQ_DAILY">500000</definedName>
    <definedName name="IQ_DAYS_COVER_SHORT" hidden="1">"c1578"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OTHER_COST" hidden="1">"c284"</definedName>
    <definedName name="IQ_DEF_BENEFIT_ROA" hidden="1">"c285"</definedName>
    <definedName name="IQ_DEF_BENEFIT_SERVICE_COST" hidden="1">"c286"</definedName>
    <definedName name="IQ_DEF_BENEFIT_TOTAL_COST" hidden="1">"c287"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IT" hidden="1">"c297"</definedName>
    <definedName name="IQ_DEF_CHARGES_LT_UTI" hidden="1">"c298"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POSITS_FIN" hidden="1">"c321"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SCRIPTION_LONG" hidden="1">"c1520"</definedName>
    <definedName name="IQ_DEVELOP_LAND" hidden="1">"c323"</definedName>
    <definedName name="IQ_DIFF_LASTCLOSE_TARGET_PRICE" hidden="1">"c1854"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TR_EXCESS_EARN" hidden="1">"c329"</definedName>
    <definedName name="IQ_DIV_PAYMENT_DATE" hidden="1">"c2106"</definedName>
    <definedName name="IQ_DIV_RECORD_DATE" hidden="1">"c2105"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NTM" hidden="1">700000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PS_10YR_ANN_GROWTH" hidden="1">"c337"</definedName>
    <definedName name="IQ_DPS_1YR_ANN_GROWTH" hidden="1">"c338"</definedName>
    <definedName name="IQ_DPS_2YR_ANN_GROWTH" hidden="1">"c339"</definedName>
    <definedName name="IQ_DPS_3YR_ANN_GROWTH" hidden="1">"c340"</definedName>
    <definedName name="IQ_DPS_5YR_ANN_GROWTH" hidden="1">"c341"</definedName>
    <definedName name="IQ_DPS_7YR_ANN_GROWTH" hidden="1">"c342"</definedName>
    <definedName name="IQ_EARNING_ASSET_YIELD" hidden="1">"c343"</definedName>
    <definedName name="IQ_EARNING_CO" hidden="1">"c344"</definedName>
    <definedName name="IQ_EARNING_CO_10YR_ANN_GROWTH" hidden="1">"c345"</definedName>
    <definedName name="IQ_EARNING_CO_1YR_ANN_GROWTH" hidden="1">"c346"</definedName>
    <definedName name="IQ_EARNING_CO_2YR_ANN_GROWTH" hidden="1">"c347"</definedName>
    <definedName name="IQ_EARNING_CO_3YR_ANN_GROWTH" hidden="1">"c348"</definedName>
    <definedName name="IQ_EARNING_CO_5YR_ANN_GROWTH" hidden="1">"c349"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BIT" hidden="1">"c352"</definedName>
    <definedName name="IQ_EBIT_10YR_ANN_GROWTH" hidden="1">"c353"</definedName>
    <definedName name="IQ_EBIT_1YR_ANN_GROWTH" hidden="1">"c354"</definedName>
    <definedName name="IQ_EBIT_2YR_ANN_GROWTH" hidden="1">"c355"</definedName>
    <definedName name="IQ_EBIT_3YR_ANN_GROWTH" hidden="1">"c356"</definedName>
    <definedName name="IQ_EBIT_5YR_ANN_GROWTH" hidden="1">"c357"</definedName>
    <definedName name="IQ_EBIT_7YR_ANN_GROWTH" hidden="1">"c358"</definedName>
    <definedName name="IQ_EBIT_INT" hidden="1">"c360"</definedName>
    <definedName name="IQ_EBIT_MARGIN" hidden="1">"c359"</definedName>
    <definedName name="IQ_EBIT_OVER_IE" hidden="1">"c1369"</definedName>
    <definedName name="IQ_EBITA" hidden="1">"c1910"</definedName>
    <definedName name="IQ_EBITA_10YR_ANN_GROWTH" hidden="1">"c1954"</definedName>
    <definedName name="IQ_EBITA_1YR_ANN_GROWTH" hidden="1">"c1949"</definedName>
    <definedName name="IQ_EBITA_2YR_ANN_GROWTH" hidden="1">"c1950"</definedName>
    <definedName name="IQ_EBITA_3YR_ANN_GROWTH" hidden="1">"c1951"</definedName>
    <definedName name="IQ_EBITA_5YR_ANN_GROWTH" hidden="1">"c1952"</definedName>
    <definedName name="IQ_EBITA_7YR_ANN_GROWTH" hidden="1">"c1953"</definedName>
    <definedName name="IQ_EBITA_MARGIN" hidden="1">"c1963"</definedName>
    <definedName name="IQ_EBITDA" hidden="1">"c361"</definedName>
    <definedName name="IQ_EBITDA_10YR_ANN_GROWTH" hidden="1">"c362"</definedName>
    <definedName name="IQ_EBITDA_1YR_ANN_GROWTH" hidden="1">"c363"</definedName>
    <definedName name="IQ_EBITDA_2YR_ANN_GROWTH" hidden="1">"c364"</definedName>
    <definedName name="IQ_EBITDA_3YR_ANN_GROWTH" hidden="1">"c365"</definedName>
    <definedName name="IQ_EBITDA_5YR_ANN_GROWTH" hidden="1">"c366"</definedName>
    <definedName name="IQ_EBITDA_7YR_ANN_GROWTH" hidden="1">"c367"</definedName>
    <definedName name="IQ_EBITDA_CAPEX_INT" hidden="1">"c368"</definedName>
    <definedName name="IQ_EBITDA_CAPEX_OVER_TOTAL_IE" hidden="1">"c1370"</definedName>
    <definedName name="IQ_EBITDA_INT" hidden="1">"c373"</definedName>
    <definedName name="IQ_EBITDA_MARGIN" hidden="1">"c372"</definedName>
    <definedName name="IQ_EBITDA_OVER_TOTAL_IE" hidden="1">"c1371"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IT" hidden="1">"c389"</definedName>
    <definedName name="IQ_EBT_UTI" hidden="1">"c390"</definedName>
    <definedName name="IQ_EFFECT_SPECIAL_CHARGE" hidden="1">"c1595"</definedName>
    <definedName name="IQ_EFFECT_TAX_RATE" hidden="1">"c1899"</definedName>
    <definedName name="IQ_EFFICIENCY_RATIO" hidden="1">"c391"</definedName>
    <definedName name="IQ_EMPLOYEES" hidden="1">"c392"</definedName>
    <definedName name="IQ_ENTERPRISE_VALUE" hidden="1">"c1348"</definedName>
    <definedName name="IQ_EPS_10YR_ANN_GROWTH" hidden="1">"c393"</definedName>
    <definedName name="IQ_EPS_1YR_ANN_GROWTH" hidden="1">"c394"</definedName>
    <definedName name="IQ_EPS_2YR_ANN_GROWTH" hidden="1">"c395"</definedName>
    <definedName name="IQ_EPS_3YR_ANN_GROWTH" hidden="1">"c396"</definedName>
    <definedName name="IQ_EPS_5YR_ANN_GROWTH" hidden="1">"c397"</definedName>
    <definedName name="IQ_EPS_7YR_ANN_GROWTH" hidden="1">"c398"</definedName>
    <definedName name="IQ_EPS_EST" hidden="1">"c399"</definedName>
    <definedName name="IQ_EPS_HIGH_EST" hidden="1">"c400"</definedName>
    <definedName name="IQ_EPS_LOW_EST" hidden="1">"c401"</definedName>
    <definedName name="IQ_EPS_MEDIAN_EST" hidden="1">"c1661"</definedName>
    <definedName name="IQ_EPS_NORM" hidden="1">"c1902"</definedName>
    <definedName name="IQ_EPS_NUM_EST" hidden="1">"c402"</definedName>
    <definedName name="IQ_EPS_STDDEV_EST" hidden="1">"c403"</definedName>
    <definedName name="IQ_EQUITY_AFFIL" hidden="1">"c1451"</definedName>
    <definedName name="IQ_EQUITY_METHOD" hidden="1">"c404"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" hidden="1">"c1648"</definedName>
    <definedName name="IQ_EST_CURRENCY" hidden="1">"c2140"</definedName>
    <definedName name="IQ_EST_DATE" hidden="1">"c1634"</definedName>
    <definedName name="IQ_EST_EPS_DIFF" hidden="1">"c1864"</definedName>
    <definedName name="IQ_EST_EPS_GROWTH_1YR" hidden="1">"c1636"</definedName>
    <definedName name="IQ_EST_EPS_GROWTH_5YR" hidden="1">"c1655"</definedName>
    <definedName name="IQ_EST_EPS_GROWTH_Q_1YR" hidden="1">"c1641"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XCHANGE" hidden="1">"c405"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LORE_DRILL" hidden="1">"c409"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IT" hidden="1">"c415"</definedName>
    <definedName name="IQ_EXTRA_ACC_ITEMS_UTI" hidden="1">"c416"</definedName>
    <definedName name="IQ_EXTRA_ITEMS" hidden="1">"c1459"</definedName>
    <definedName name="IQ_FDIC" hidden="1">"c417"</definedName>
    <definedName name="IQ_FFO" hidden="1">"c1574"</definedName>
    <definedName name="IQ_FH">100000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LING_CURRENCY" hidden="1">"c2129"</definedName>
    <definedName name="IQ_FILINGDATE_BS" hidden="1">"c424"</definedName>
    <definedName name="IQ_FILINGDATE_CF" hidden="1">"c425"</definedName>
    <definedName name="IQ_FILINGDATE_IS" hidden="1">"c426"</definedName>
    <definedName name="IQ_FIN_DIV_ASSETS_CURRENT" hidden="1">"c427"</definedName>
    <definedName name="IQ_FIN_DIV_ASSETS_LT" hidden="1">"c428"</definedName>
    <definedName name="IQ_FIN_DIV_DEBT_CURRENT" hidden="1">"c429"</definedName>
    <definedName name="IQ_FIN_DIV_DEBT_LT" hidden="1">"c430"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REV" hidden="1">"c437"</definedName>
    <definedName name="IQ_FINANCING_CASH" hidden="1">"c1405"</definedName>
    <definedName name="IQ_FINANCING_CASH_SUPPL" hidden="1">"c1406"</definedName>
    <definedName name="IQ_FINISHED_INV" hidden="1">"c438"</definedName>
    <definedName name="IQ_FIRST_YEAR_LIFE" hidden="1">"c439"</definedName>
    <definedName name="IQ_FISCAL_Q" hidden="1">"c440"</definedName>
    <definedName name="IQ_FISCAL_Y" hidden="1">"c441"</definedName>
    <definedName name="IQ_FIVE_PERCENT_OWNER" hidden="1">"c442"</definedName>
    <definedName name="IQ_FIVEPERCENT_PERCENT" hidden="1">"c443"</definedName>
    <definedName name="IQ_FIVEPERCENT_SHARES" hidden="1">"c444"</definedName>
    <definedName name="IQ_FIXED_ASSET_TURNS" hidden="1">"c445"</definedName>
    <definedName name="IQ_FLOAT_PERCENT" hidden="1">"c1575"</definedName>
    <definedName name="IQ_FOREIGN_DEP_IB" hidden="1">"c446"</definedName>
    <definedName name="IQ_FOREIGN_DEP_NON_IB" hidden="1">"c447"</definedName>
    <definedName name="IQ_FOREIGN_EXCHANGE" hidden="1">"c1376"</definedName>
    <definedName name="IQ_FOREIGN_LOANS" hidden="1">"c448"</definedName>
    <definedName name="IQ_FQ">500</definedName>
    <definedName name="IQ_FUEL" hidden="1">"c449"</definedName>
    <definedName name="IQ_FULL_TIME" hidden="1">"c450"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Y">1000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OODWILL_NET" hidden="1">"c1380"</definedName>
    <definedName name="IQ_GP" hidden="1">"c511"</definedName>
    <definedName name="IQ_GP_10YR_ANN_GROWTH" hidden="1">"c512"</definedName>
    <definedName name="IQ_GP_1YR_ANN_GROWTH" hidden="1">"c513"</definedName>
    <definedName name="IQ_GP_2YR_ANN_GROWTH" hidden="1">"c514"</definedName>
    <definedName name="IQ_GP_3YR_ANN_GROWTH" hidden="1">"c515"</definedName>
    <definedName name="IQ_GP_5YR_ANN_GROWTH" hidden="1">"c516"</definedName>
    <definedName name="IQ_GP_7YR_ANN_GROWTH" hidden="1">"c517"</definedName>
    <definedName name="IQ_GPPE" hidden="1">"c518"</definedName>
    <definedName name="IQ_GROSS_DIVID" hidden="1">"c1446"</definedName>
    <definedName name="IQ_GROSS_LOANS" hidden="1">"c521"</definedName>
    <definedName name="IQ_GROSS_LOANS_10YR_ANN_GROWTH" hidden="1">"c522"</definedName>
    <definedName name="IQ_GROSS_LOANS_1YR_ANN_GROWTH" hidden="1">"c523"</definedName>
    <definedName name="IQ_GROSS_LOANS_2YR_ANN_GROWTH" hidden="1">"c524"</definedName>
    <definedName name="IQ_GROSS_LOANS_3YR_ANN_GROWTH" hidden="1">"c525"</definedName>
    <definedName name="IQ_GROSS_LOANS_5YR_ANN_GROWTH" hidden="1">"c526"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ROFIT" hidden="1">"c1378"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IT" hidden="1">"c1480"</definedName>
    <definedName name="IQ_GW_INTAN_AMORT_UTI" hidden="1">"c1481"</definedName>
    <definedName name="IQ_HIGHPRICE" hidden="1">"c545"</definedName>
    <definedName name="IQ_HOMEOWNERS_WRITTEN" hidden="1">"c546"</definedName>
    <definedName name="IQ_IMPAIR_OIL" hidden="1">"c547"</definedName>
    <definedName name="IQ_IMPAIRMENT_GW" hidden="1">"c548"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S_ANNUITY_LIAB" hidden="1">"c563"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UR_RECEIV" hidden="1">"c1600"</definedName>
    <definedName name="IQ_INT_BORROW" hidden="1">"c583"</definedName>
    <definedName name="IQ_INT_DEPOSITS" hidden="1">"c584"</definedName>
    <definedName name="IQ_INT_DIV_INC" hidden="1">"c585"</definedName>
    <definedName name="IQ_INT_EXP_BR" hidden="1">"c586"</definedName>
    <definedName name="IQ_INT_EXP_COVERAGE" hidden="1">"c587"</definedName>
    <definedName name="IQ_INT_EXP_FIN" hidden="1">"c588"</definedName>
    <definedName name="IQ_INT_EXP_INS" hidden="1">"c589"</definedName>
    <definedName name="IQ_INT_EXP_LTD" hidden="1">"c2086"</definedName>
    <definedName name="IQ_INT_EXP_REIT" hidden="1">"c590"</definedName>
    <definedName name="IQ_INT_EXP_TOTAL" hidden="1">"c591"</definedName>
    <definedName name="IQ_INT_EXP_UTI" hidden="1">"c592"</definedName>
    <definedName name="IQ_INT_INC_BR" hidden="1">"c593"</definedName>
    <definedName name="IQ_INT_INC_FIN" hidden="1">"c594"</definedName>
    <definedName name="IQ_INT_INC_INVEST" hidden="1">"c595"</definedName>
    <definedName name="IQ_INT_INC_LOANS" hidden="1">"c596"</definedName>
    <definedName name="IQ_INT_INC_REIT" hidden="1">"c597"</definedName>
    <definedName name="IQ_INT_INC_TOTAL" hidden="1">"c598"</definedName>
    <definedName name="IQ_INT_INC_UTI" hidden="1">"c599"</definedName>
    <definedName name="IQ_INT_INV_INC" hidden="1">"c600"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ANGIBLES_NET" hidden="1">"c1407"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V_10YR_ANN_GROWTH" hidden="1">"c1930"</definedName>
    <definedName name="IQ_INV_1YR_ANN_GROWTH" hidden="1">"c1925"</definedName>
    <definedName name="IQ_INV_2YR_ANN_GROWTH" hidden="1">"c1926"</definedName>
    <definedName name="IQ_INV_3YR_ANN_GROWTH" hidden="1">"c1927"</definedName>
    <definedName name="IQ_INV_5YR_ANN_GROWTH" hidden="1">"c1928"</definedName>
    <definedName name="IQ_INV_7YR_ANN_GROWTH" hidden="1">"c1929"</definedName>
    <definedName name="IQ_INV_BANKING_FEE" hidden="1">"c620"</definedName>
    <definedName name="IQ_INV_METHOD" hidden="1">"c621"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IT" hidden="1">"c633"</definedName>
    <definedName name="IQ_INVEST_LOANS_CF_UTI" hidden="1">"c634"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IT" hidden="1">"c642"</definedName>
    <definedName name="IQ_INVEST_SECURITY_CF_UTI" hidden="1">"c643"</definedName>
    <definedName name="IQ_IPRD" hidden="1">"c644"</definedName>
    <definedName name="IQ_ISS_DEBT_NET" hidden="1">"c1391"</definedName>
    <definedName name="IQ_ISS_STOCK_NET" hidden="1">"c1601"</definedName>
    <definedName name="IQ_LAND" hidden="1">"c645"</definedName>
    <definedName name="IQ_LAST_SPLIT_DATE" hidden="1">"c2095"</definedName>
    <definedName name="IQ_LAST_SPLIT_FACTOR" hidden="1">"c2093"</definedName>
    <definedName name="IQ_LASTSALEPRICE" hidden="1">"c646"</definedName>
    <definedName name="IQ_LASTSALEPRICE_DATE" hidden="1">"c2109"</definedName>
    <definedName name="IQ_LATESTK" hidden="1">1000</definedName>
    <definedName name="IQ_LATESTQ" hidden="1">500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GROWTH" hidden="1">"c1942"</definedName>
    <definedName name="IQ_LFCF_1YR_ANN_GROWTH" hidden="1">"c1937"</definedName>
    <definedName name="IQ_LFCF_2YR_ANN_GROWTH" hidden="1">"c1938"</definedName>
    <definedName name="IQ_LFCF_3YR_ANN_GROWTH" hidden="1">"c1939"</definedName>
    <definedName name="IQ_LFCF_5YR_ANN_GROWTH" hidden="1">"c1940"</definedName>
    <definedName name="IQ_LFCF_7YR_ANN_GROWTH" hidden="1">"c1941"</definedName>
    <definedName name="IQ_LFCF_MARGIN" hidden="1">"c1961"</definedName>
    <definedName name="IQ_LICENSED_POPS" hidden="1">"c2123"</definedName>
    <definedName name="IQ_LIFOR" hidden="1">"c655"</definedName>
    <definedName name="IQ_LL" hidden="1">"c656"</definedName>
    <definedName name="IQ_LOAN_LEASE_RECEIV" hidden="1">"c657"</definedName>
    <definedName name="IQ_LOAN_LOSS" hidden="1">"c1386"</definedName>
    <definedName name="IQ_LOAN_SERVICE_REV" hidden="1">"c658"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IT" hidden="1">"c664"</definedName>
    <definedName name="IQ_LOANS_CF_UTI" hidden="1">"c665"</definedName>
    <definedName name="IQ_LOANS_FOR_SALE" hidden="1">"c666"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LOSS_EXP" hidden="1">"c672"</definedName>
    <definedName name="IQ_LOWPRICE" hidden="1">"c673"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IT" hidden="1">"c686"</definedName>
    <definedName name="IQ_LT_DEBT_ISSUED_UTI" hidden="1">"c687"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IT" hidden="1">"c700"</definedName>
    <definedName name="IQ_LT_INVEST_UTI" hidden="1">"c701"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>2000</definedName>
    <definedName name="IQ_LTM_REVENUE_OVER_EMPLOYEES" hidden="1">"c1437"</definedName>
    <definedName name="IQ_LTMMONTH" hidden="1">120000</definedName>
    <definedName name="IQ_MACHINERY" hidden="1">"c711"</definedName>
    <definedName name="IQ_MAINT_REPAIR" hidden="1">"c2087"</definedName>
    <definedName name="IQ_MARKETCAP" hidden="1">"c712"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IT" hidden="1">"c724"</definedName>
    <definedName name="IQ_MERGER_RESTRUCTURE_UTI" hidden="1">"c725"</definedName>
    <definedName name="IQ_MERGER_UTI" hidden="1">"c726"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M_ACCOUNT" hidden="1">"c743"</definedName>
    <definedName name="IQ_MONTH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TD" hidden="1">800000</definedName>
    <definedName name="IQ_NAMES_REVISION_DATE_" hidden="1">43168.7200925926</definedName>
    <definedName name="IQ_NET_CHANGE" hidden="1">"c749"</definedName>
    <definedName name="IQ_NET_DEBT" hidden="1">"c1584"</definedName>
    <definedName name="IQ_NET_DEBT_EBITDA" hidden="1">"c750"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IT" hidden="1">"c756"</definedName>
    <definedName name="IQ_NET_DEBT_ISSUED_UTI" hidden="1">"c757"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T_INC_10YR_ANN_GROWTH" hidden="1">"c758"</definedName>
    <definedName name="IQ_NET_INT_INC_1YR_ANN_GROWTH" hidden="1">"c759"</definedName>
    <definedName name="IQ_NET_INT_INC_2YR_ANN_GROWTH" hidden="1">"c760"</definedName>
    <definedName name="IQ_NET_INT_INC_3YR_ANN_GROWTH" hidden="1">"c761"</definedName>
    <definedName name="IQ_NET_INT_INC_5YR_ANN_GROWTH" hidden="1">"c762"</definedName>
    <definedName name="IQ_NET_INT_INC_7YR_ANN_GROWTH" hidden="1">"c763"</definedName>
    <definedName name="IQ_NET_INT_INC_BNK" hidden="1">"c764"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LOANS" hidden="1">"c772"</definedName>
    <definedName name="IQ_NET_LOANS_10YR_ANN_GROWTH" hidden="1">"c773"</definedName>
    <definedName name="IQ_NET_LOANS_1YR_ANN_GROWTH" hidden="1">"c774"</definedName>
    <definedName name="IQ_NET_LOANS_2YR_ANN_GROWTH" hidden="1">"c775"</definedName>
    <definedName name="IQ_NET_LOANS_3YR_ANN_GROWTH" hidden="1">"c776"</definedName>
    <definedName name="IQ_NET_LOANS_5YR_ANN_GROWTH" hidden="1">"c777"</definedName>
    <definedName name="IQ_NET_LOANS_7YR_ANN_GROWTH" hidden="1">"c778"</definedName>
    <definedName name="IQ_NET_LOANS_TOTAL_DEPOSITS" hidden="1">"c779"</definedName>
    <definedName name="IQ_NET_RENTAL_EXP_FN" hidden="1">"c780"</definedName>
    <definedName name="IQ_NI" hidden="1">"c781"</definedName>
    <definedName name="IQ_NI_10YR_ANN_GROWTH" hidden="1">"c782"</definedName>
    <definedName name="IQ_NI_1YR_ANN_GROWTH" hidden="1">"c783"</definedName>
    <definedName name="IQ_NI_2YR_ANN_GROWTH" hidden="1">"c784"</definedName>
    <definedName name="IQ_NI_3YR_ANN_GROWTH" hidden="1">"c785"</definedName>
    <definedName name="IQ_NI_5YR_ANN_GROWTH" hidden="1">"c786"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BEFORE_CAPITALIZED" hidden="1">"c792"</definedName>
    <definedName name="IQ_NI_CF" hidden="1">"c793"</definedName>
    <definedName name="IQ_NI_MARGIN" hidden="1">"c794"</definedName>
    <definedName name="IQ_NI_NORM" hidden="1">"c1901"</definedName>
    <definedName name="IQ_NI_NORM_10YR_ANN_GROWTH" hidden="1">"c1960"</definedName>
    <definedName name="IQ_NI_NORM_1YR_ANN_GROWTH" hidden="1">"c1955"</definedName>
    <definedName name="IQ_NI_NORM_2YR_ANN_GROWTH" hidden="1">"c1956"</definedName>
    <definedName name="IQ_NI_NORM_3YR_ANN_GROWTH" hidden="1">"c1957"</definedName>
    <definedName name="IQ_NI_NORM_5YR_ANN_GROWTH" hidden="1">"c1958"</definedName>
    <definedName name="IQ_NI_NORM_7YR_ANN_GROWTH" hidden="1">"c1959"</definedName>
    <definedName name="IQ_NI_NORM_MARGIN" hidden="1">"c1964"</definedName>
    <definedName name="IQ_NI_SFAS" hidden="1">"c795"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"c800"</definedName>
    <definedName name="IQ_NON_INT_EXP" hidden="1">"c801"</definedName>
    <definedName name="IQ_NON_INT_INC" hidden="1">"c802"</definedName>
    <definedName name="IQ_NON_INT_INC_10YR_ANN_GROWTH" hidden="1">"c803"</definedName>
    <definedName name="IQ_NON_INT_INC_1YR_ANN_GROWTH" hidden="1">"c804"</definedName>
    <definedName name="IQ_NON_INT_INC_2YR_ANN_GROWTH" hidden="1">"c805"</definedName>
    <definedName name="IQ_NON_INT_INC_3YR_ANN_GROWTH" hidden="1">"c806"</definedName>
    <definedName name="IQ_NON_INT_INC_5YR_ANN_GROWTH" hidden="1">"c807"</definedName>
    <definedName name="IQ_NON_INT_INC_7YR_ANN_GROWTH" hidden="1">"c808"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GROWTH" hidden="1">"c811"</definedName>
    <definedName name="IQ_NON_PERF_ASSETS_1YR_ANN_GROWTH" hidden="1">"c812"</definedName>
    <definedName name="IQ_NON_PERF_ASSETS_2YR_ANN_GROWTH" hidden="1">"c813"</definedName>
    <definedName name="IQ_NON_PERF_ASSETS_3YR_ANN_GROWTH" hidden="1">"c814"</definedName>
    <definedName name="IQ_NON_PERF_ASSETS_5YR_ANN_GROWTH" hidden="1">"c815"</definedName>
    <definedName name="IQ_NON_PERF_ASSETS_7YR_ANN_GROWTH" hidden="1">"c816"</definedName>
    <definedName name="IQ_NON_PERF_ASSETS_TOTAL_ASSETS" hidden="1">"c817"</definedName>
    <definedName name="IQ_NON_PERF_LOANS_10YR_ANN_GROWTH" hidden="1">"c818"</definedName>
    <definedName name="IQ_NON_PERF_LOANS_1YR_ANN_GROWTH" hidden="1">"c819"</definedName>
    <definedName name="IQ_NON_PERF_LOANS_2YR_ANN_GROWTH" hidden="1">"c820"</definedName>
    <definedName name="IQ_NON_PERF_LOANS_3YR_ANN_GROWTH" hidden="1">"c821"</definedName>
    <definedName name="IQ_NON_PERF_LOANS_5YR_ANN_GROWTH" hidden="1">"c822"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UTIL_REV" hidden="1">"c2089"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W_ACCOUNT" hidden="1">"c828"</definedName>
    <definedName name="IQ_NPPE" hidden="1">"c829"</definedName>
    <definedName name="IQ_NPPE_10YR_ANN_GROWTH" hidden="1">"c830"</definedName>
    <definedName name="IQ_NPPE_1YR_ANN_GROWTH" hidden="1">"c831"</definedName>
    <definedName name="IQ_NPPE_2YR_ANN_GROWTH" hidden="1">"c832"</definedName>
    <definedName name="IQ_NPPE_3YR_ANN_GROWTH" hidden="1">"c833"</definedName>
    <definedName name="IQ_NPPE_5YR_ANN_GROWTH" hidden="1">"c834"</definedName>
    <definedName name="IQ_NPPE_7YR_ANN_GROWTH" hidden="1">"c835"</definedName>
    <definedName name="IQ_NTM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CCUPY_EXP" hidden="1">"c839"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CLOSE_BALANCE_GAS" hidden="1">"c2049"</definedName>
    <definedName name="IQ_OG_CLOSE_BALANCE_OIL" hidden="1">"c2037"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RESERVES_GAS" hidden="1">"c2053"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T_DISC_GAS" hidden="1">"c2043"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IMPROVED_RECOVERY_GAS" hidden="1">"c2044"</definedName>
    <definedName name="IQ_OG_IMPROVED_RECOVERY_OIL" hidden="1">"c2032"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OIL" hidden="1">"c2035"</definedName>
    <definedName name="IQ_OG_PURCHASES_GAS" hidden="1">"c2045"</definedName>
    <definedName name="IQ_OG_PURCHASES_OIL" hidden="1">"c2033"</definedName>
    <definedName name="IQ_OG_REVISIONS_GAS" hidden="1">"c2042"</definedName>
    <definedName name="IQ_OG_REVISIONS_OIL" hidden="1">"c2030"</definedName>
    <definedName name="IQ_OG_SALES_IN_PLACE_GAS" hidden="1">"c2046"</definedName>
    <definedName name="IQ_OG_SALES_IN_PLACE_OIL" hidden="1">"c2034"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PRODUCTION" hidden="1">"c2060"</definedName>
    <definedName name="IQ_OG_TOTAL_OIL_PRODUCTON" hidden="1">"c2059"</definedName>
    <definedName name="IQ_OG_UNDEVELOPED_RESERVES_GAS" hidden="1">"c2051"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ED" hidden="1">"c2116"</definedName>
    <definedName name="IQ_OPTIONS_ISSUED" hidden="1">"c857"</definedName>
    <definedName name="IQ_ORDER_BACKLOG" hidden="1">"c2090"</definedName>
    <definedName name="IQ_OTHER_ADJUST_GROSS_LOANS" hidden="1">"c859"</definedName>
    <definedName name="IQ_OTHER_ASSETS" hidden="1">"c860"</definedName>
    <definedName name="IQ_OTHER_ASSETS_BNK" hidden="1">"c861"</definedName>
    <definedName name="IQ_OTHER_ASSETS_BR" hidden="1">"c862"</definedName>
    <definedName name="IQ_OTHER_ASSETS_FIN" hidden="1">"c863"</definedName>
    <definedName name="IQ_OTHER_ASSETS_INS" hidden="1">"c864"</definedName>
    <definedName name="IQ_OTHER_ASSETS_REIT" hidden="1">"c865"</definedName>
    <definedName name="IQ_OTHER_ASSETS_UTI" hidden="1">"c866"</definedName>
    <definedName name="IQ_OTHER_BEARING_LIAB" hidden="1">"c1608"</definedName>
    <definedName name="IQ_OTHER_BENEFITS_OBLIGATION" hidden="1">"c867"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REIT" hidden="1">"c882"</definedName>
    <definedName name="IQ_OTHER_CL_SUPPL_UTI" hidden="1">"c883"</definedName>
    <definedName name="IQ_OTHER_CL_UTI" hidden="1">"c884"</definedName>
    <definedName name="IQ_OTHER_CURRENT_ASSETS" hidden="1">"c1403"</definedName>
    <definedName name="IQ_OTHER_CURRENT_LIAB" hidden="1">"c1404"</definedName>
    <definedName name="IQ_OTHER_DEP" hidden="1">"c885"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IT" hidden="1">"c912"</definedName>
    <definedName name="IQ_OTHER_INTAN_UTI" hidden="1">"c913"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IT" hidden="1">"c940"</definedName>
    <definedName name="IQ_OTHER_LIAB_LT_UTI" hidden="1">"c941"</definedName>
    <definedName name="IQ_OTHER_LIAB_REIT" hidden="1">"c942"</definedName>
    <definedName name="IQ_OTHER_LIAB_UTI" hidden="1">"c943"</definedName>
    <definedName name="IQ_OTHER_LIAB_WRITTEN" hidden="1">"c944"</definedName>
    <definedName name="IQ_OTHER_LOANS" hidden="1">"c945"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TOTAL" hidden="1">"c954"</definedName>
    <definedName name="IQ_OTHER_NON_INT_INC" hidden="1">"c955"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UTSTANDING_BS_DATE" hidden="1">"c2128"</definedName>
    <definedName name="IQ_OUTSTANDING_FILING_DATE" hidden="1">"c2127"</definedName>
    <definedName name="IQ_PART_TIME" hidden="1">"c1024"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RATIO" hidden="1">"c1610"</definedName>
    <definedName name="IQ_PENSION" hidden="1">"c1031"</definedName>
    <definedName name="IQ_PERIODDATE" hidden="1">"c1414"</definedName>
    <definedName name="IQ_PERIODDATE_BS" hidden="1">"c1032"</definedName>
    <definedName name="IQ_PERIODDATE_CF" hidden="1">"c1033"</definedName>
    <definedName name="IQ_PERIODDATE_IS" hidden="1">"c1034"</definedName>
    <definedName name="IQ_PERIODLENGTH_CF" hidden="1">"c1502"</definedName>
    <definedName name="IQ_PERIODLENGTH_IS" hidden="1">"c1503"</definedName>
    <definedName name="IQ_PERTYPE" hidden="1">"c1611"</definedName>
    <definedName name="IQ_PLL" hidden="1">"c2114"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ST_RETIRE_EXP" hidden="1">"c1039"</definedName>
    <definedName name="IQ_POSTPAID_CHURN" hidden="1">"c2121"</definedName>
    <definedName name="IQ_POSTPAID_SUBS" hidden="1">"c2118"</definedName>
    <definedName name="IQ_PRE_OPEN_COST" hidden="1">"c1040"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IT" hidden="1">"c1058"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ICE_OVER_BVPS" hidden="1">"c1412"</definedName>
    <definedName name="IQ_PRICE_OVER_LTM_EPS" hidden="1">"c1413"</definedName>
    <definedName name="IQ_PRICE_TARGET" hidden="1">"c82"</definedName>
    <definedName name="IQ_PRICEDATE" hidden="1">"c1069"</definedName>
    <definedName name="IQ_PRICING_DATE" hidden="1">"c1613"</definedName>
    <definedName name="IQ_PRIMARY_INDUSTRY" hidden="1">"c1070"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FESSIONAL" hidden="1">"c1071"</definedName>
    <definedName name="IQ_PROFESSIONAL_TITLE" hidden="1">"c1072"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ISION_10YR_ANN_GROWTH" hidden="1">"c1077"</definedName>
    <definedName name="IQ_PROVISION_1YR_ANN_GROWTH" hidden="1">"c1078"</definedName>
    <definedName name="IQ_PROVISION_2YR_ANN_GROWTH" hidden="1">"c1079"</definedName>
    <definedName name="IQ_PROVISION_3YR_ANN_GROWTH" hidden="1">"c1080"</definedName>
    <definedName name="IQ_PROVISION_5YR_ANN_GROWTH" hidden="1">"c1081"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QTD" hidden="1">750000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D_EXP" hidden="1">"c1090"</definedName>
    <definedName name="IQ_RD_EXP_FN" hidden="1">"c1091"</definedName>
    <definedName name="IQ_RE" hidden="1">"c1092"</definedName>
    <definedName name="IQ_REAL_ESTATE" hidden="1">"c1093"</definedName>
    <definedName name="IQ_REAL_ESTATE_ASSETS" hidden="1">"c1094"</definedName>
    <definedName name="IQ_REDEEM_PREF_STOCK" hidden="1">"c1417"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NTAL_REV" hidden="1">"c1101"</definedName>
    <definedName name="IQ_RESEARCH_DEV" hidden="1">"c1419"</definedName>
    <definedName name="IQ_RESIDENTIAL_LOANS" hidden="1">"c1102"</definedName>
    <definedName name="IQ_RESTATEMENT_BS" hidden="1">"c1643"</definedName>
    <definedName name="IQ_RESTATEMENT_CF" hidden="1">"c1644"</definedName>
    <definedName name="IQ_RESTATEMENT_IS" hidden="1">"c1642"</definedName>
    <definedName name="IQ_RESTRICTED_CASH" hidden="1">"c1103"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IT" hidden="1">"c1110"</definedName>
    <definedName name="IQ_RESTRUCTURE_UTI" hidden="1">"c1111"</definedName>
    <definedName name="IQ_RESTRUCTURED_LOANS" hidden="1">"c1112"</definedName>
    <definedName name="IQ_RETAIL_AVG_STORE_SIZE_GROSS" hidden="1">"c2066"</definedName>
    <definedName name="IQ_RETAIL_AVG_STORE_SIZE_NET" hidden="1">"c2067"</definedName>
    <definedName name="IQ_RETAIL_CLOSED_STORES" hidden="1">"c2063"</definedName>
    <definedName name="IQ_RETAIL_OPENED_STORES" hidden="1">"c2062"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Q_FOOTAGE" hidden="1">"c2064"</definedName>
    <definedName name="IQ_RETAIL_STORE_SELLING_AREA" hidden="1">"c2065"</definedName>
    <definedName name="IQ_RETAIL_TOTAL_STORES" hidden="1">"c2061"</definedName>
    <definedName name="IQ_RETAINED_EARN" hidden="1">"c1420"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S" hidden="1">"c1116"</definedName>
    <definedName name="IQ_RETURN_CAPITAL" hidden="1">"c1117"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S" hidden="1">"c1121"</definedName>
    <definedName name="IQ_RETURN_INVESTMENT" hidden="1">"c1421"</definedName>
    <definedName name="IQ_REV" hidden="1">"c1122"</definedName>
    <definedName name="IQ_REV_BEFORE_LL" hidden="1">"c1123"</definedName>
    <definedName name="IQ_REV_UTI" hidden="1">"c1125"</definedName>
    <definedName name="IQ_REVENUE" hidden="1">"c1422"</definedName>
    <definedName name="IQ_SALARY" hidden="1">"c1130"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ME_STORE" hidden="1">"c1149"</definedName>
    <definedName name="IQ_SAVING_DEP" hidden="1">"c1150"</definedName>
    <definedName name="IQ_SECUR_RECEIV" hidden="1">"c1151"</definedName>
    <definedName name="IQ_SECURITY_BORROW" hidden="1">"c1152"</definedName>
    <definedName name="IQ_SECURITY_OWN" hidden="1">"c1153"</definedName>
    <definedName name="IQ_SECURITY_RESELL" hidden="1">"c1154"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IT" hidden="1">"c1161"</definedName>
    <definedName name="IQ_SGA_SUPPL" hidden="1">"c1162"</definedName>
    <definedName name="IQ_SGA_UTI" hidden="1">"c1163"</definedName>
    <definedName name="IQ_SHAREOUTSTANDING" hidden="1">"c1347"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"c1166"</definedName>
    <definedName name="IQ_SOFTWARE" hidden="1">"c1167"</definedName>
    <definedName name="IQ_SOURCE" hidden="1">"c1168"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IT" hidden="1">"c1174"</definedName>
    <definedName name="IQ_SPECIAL_DIV_CF_UTI" hidden="1">"c1175"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IT" hidden="1">"c1186"</definedName>
    <definedName name="IQ_ST_DEBT_ISSUED_UTI" hidden="1">"c1187"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IT" hidden="1">"c1194"</definedName>
    <definedName name="IQ_ST_DEBT_REPAID_UTI" hidden="1">"c1195"</definedName>
    <definedName name="IQ_ST_DEBT_UTI" hidden="1">"c1196"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UTORY_SURPLUS" hidden="1">"c1201"</definedName>
    <definedName name="IQ_STOCK_BASED" hidden="1">"c1202"</definedName>
    <definedName name="IQ_STOCK_BASED_CF" hidden="1">"c1203"</definedName>
    <definedName name="IQ_STRIKE_PRICE_ISSUED" hidden="1">"c1645"</definedName>
    <definedName name="IQ_STRIKE_PRICE_OS" hidden="1">"c1646"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VA" hidden="1">"c1214"</definedName>
    <definedName name="IQ_TAX_BENEFIT_OPTIONS" hidden="1">"c1215"</definedName>
    <definedName name="IQ_TAX_EQUIV_NET_INT_INC" hidden="1">"c1216"</definedName>
    <definedName name="IQ_TBV" hidden="1">"c1906"</definedName>
    <definedName name="IQ_TBV_10YR_ANN_GROWTH" hidden="1">"c1936"</definedName>
    <definedName name="IQ_TBV_1YR_ANN_GROWTH" hidden="1">"c1931"</definedName>
    <definedName name="IQ_TBV_2YR_ANN_GROWTH" hidden="1">"c1932"</definedName>
    <definedName name="IQ_TBV_3YR_ANN_GROWTH" hidden="1">"c1933"</definedName>
    <definedName name="IQ_TBV_5YR_ANN_GROWTH" hidden="1">"c1934"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MPLOYEE_AVG" hidden="1">"c1225"</definedName>
    <definedName name="IQ_TEV_TOTAL_REV" hidden="1">"c1226"</definedName>
    <definedName name="IQ_TEV_TOTAL_REV_AVG" hidden="1">"c1227"</definedName>
    <definedName name="IQ_TIER_ONE_RATIO" hidden="1">"c1229"</definedName>
    <definedName name="IQ_TIME_DEP" hidden="1">"c1230"</definedName>
    <definedName name="IQ_TODAY" hidden="1">0</definedName>
    <definedName name="IQ_TOT_ADJ_INC" hidden="1">"c1616"</definedName>
    <definedName name="IQ_TOTAL_AR_BR" hidden="1">"c1231"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GROWTH" hidden="1">"c1235"</definedName>
    <definedName name="IQ_TOTAL_ASSETS_1YR_ANN_GROWTH" hidden="1">"c1236"</definedName>
    <definedName name="IQ_TOTAL_ASSETS_2YR_ANN_GROWTH" hidden="1">"c1237"</definedName>
    <definedName name="IQ_TOTAL_ASSETS_3YR_ANN_GROWTH" hidden="1">"c1238"</definedName>
    <definedName name="IQ_TOTAL_ASSETS_5YR_ANN_GROWTH" hidden="1">"c1239"</definedName>
    <definedName name="IQ_TOTAL_ASSETS_7YR_ANN_GROWTH" hidden="1">"c1240"</definedName>
    <definedName name="IQ_TOTAL_AVG_CE_TOTAL_AVG_ASSETS" hidden="1">"c1241"</definedName>
    <definedName name="IQ_TOTAL_AVG_EQUITY_TOTAL_AVG_ASSETS" hidden="1">"c1242"</definedName>
    <definedName name="IQ_TOTAL_CA" hidden="1">"c1243"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URN" hidden="1">"c2122"</definedName>
    <definedName name="IQ_TOTAL_CL" hidden="1">"c1245"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EBITDA" hidden="1">"c1249"</definedName>
    <definedName name="IQ_TOTAL_DEBT_EQUITY" hidden="1">"c1250"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IT" hidden="1">"c1263"</definedName>
    <definedName name="IQ_TOTAL_DEBT_REPAID_UTI" hidden="1">"c1264"</definedName>
    <definedName name="IQ_TOTAL_DEPOSITS" hidden="1">"c1265"</definedName>
    <definedName name="IQ_TOTAL_DIV_PAID_CF" hidden="1">"c1266"</definedName>
    <definedName name="IQ_TOTAL_EMPLOYEES" hidden="1">"c1522"</definedName>
    <definedName name="IQ_TOTAL_EQUITY" hidden="1">"c1267"</definedName>
    <definedName name="IQ_TOTAL_EQUITY_10YR_ANN_GROWTH" hidden="1">"c1268"</definedName>
    <definedName name="IQ_TOTAL_EQUITY_1YR_ANN_GROWTH" hidden="1">"c1269"</definedName>
    <definedName name="IQ_TOTAL_EQUITY_2YR_ANN_GROWTH" hidden="1">"c1270"</definedName>
    <definedName name="IQ_TOTAL_EQUITY_3YR_ANN_GROWTH" hidden="1">"c1271"</definedName>
    <definedName name="IQ_TOTAL_EQUITY_5YR_ANN_GROWTH" hidden="1">"c1272"</definedName>
    <definedName name="IQ_TOTAL_EQUITY_7YR_ANN_GROWTH" hidden="1">"c1273"</definedName>
    <definedName name="IQ_TOTAL_EQUITY_ALLOWANCE_TOTAL_LOANS" hidden="1">"c1274"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FIN" hidden="1">"c1280"</definedName>
    <definedName name="IQ_TOTAL_LIAB_INS" hidden="1">"c1281"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EXP" hidden="1">"c1291"</definedName>
    <definedName name="IQ_TOTAL_PENSION_OBLIGATION" hidden="1">"c1292"</definedName>
    <definedName name="IQ_TOTAL_PROVED_RESERVES_OIL" hidden="1">"c2040"</definedName>
    <definedName name="IQ_TOTAL_RECEIV" hidden="1">"c1293"</definedName>
    <definedName name="IQ_TOTAL_REV" hidden="1">"c1294"</definedName>
    <definedName name="IQ_TOTAL_REV_10YR_ANN_GROWTH" hidden="1">"c1295"</definedName>
    <definedName name="IQ_TOTAL_REV_1YR_ANN_GROWTH" hidden="1">"c1296"</definedName>
    <definedName name="IQ_TOTAL_REV_2YR_ANN_GROWTH" hidden="1">"c1297"</definedName>
    <definedName name="IQ_TOTAL_REV_3YR_ANN_GROWTH" hidden="1">"c1298"</definedName>
    <definedName name="IQ_TOTAL_REV_5YR_ANN_GROWTH" hidden="1">"c1299"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IT" hidden="1">"c1307"</definedName>
    <definedName name="IQ_TOTAL_REV_SHARE" hidden="1">"c1912"</definedName>
    <definedName name="IQ_TOTAL_REV_UTI" hidden="1">"c1308"</definedName>
    <definedName name="IQ_TOTAL_REVENUE" hidden="1">"c1436"</definedName>
    <definedName name="IQ_TOTAL_SPECIAL" hidden="1">"c1618"</definedName>
    <definedName name="IQ_TOTAL_ST_BORROW" hidden="1">"c1424"</definedName>
    <definedName name="IQ_TOTAL_SUBS" hidden="1">"c2119"</definedName>
    <definedName name="IQ_TOTAL_UNUSUAL" hidden="1">"c1508"</definedName>
    <definedName name="IQ_TRADE_AR" hidden="1">"c1345"</definedName>
    <definedName name="IQ_TRADE_PRINCIPAL" hidden="1">"c1309"</definedName>
    <definedName name="IQ_TRADING_ASSETS" hidden="1">"c1310"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UST_INC" hidden="1">"c1319"</definedName>
    <definedName name="IQ_TRUST_PREF" hidden="1">"c1320"</definedName>
    <definedName name="IQ_UFCF_10YR_ANN_GROWTH" hidden="1">"c1948"</definedName>
    <definedName name="IQ_UFCF_1YR_ANN_GROWTH" hidden="1">"c1943"</definedName>
    <definedName name="IQ_UFCF_2YR_ANN_GROWTH" hidden="1">"c1944"</definedName>
    <definedName name="IQ_UFCF_3YR_ANN_GROWTH" hidden="1">"c1945"</definedName>
    <definedName name="IQ_UFCF_5YR_ANN_GROWTH" hidden="1">"c1946"</definedName>
    <definedName name="IQ_UFCF_7YR_ANN_GROWTH" hidden="1">"c1947"</definedName>
    <definedName name="IQ_UFCF_MARGIN" hidden="1">"c1962"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LEVERED_FCF" hidden="1">"c1908"</definedName>
    <definedName name="IQ_UNPAID_CLAIMS" hidden="1">"c1330"</definedName>
    <definedName name="IQ_UNREALIZED_GAIN" hidden="1">"c1619"</definedName>
    <definedName name="IQ_UNUSUAL_EXP" hidden="1">"c1456"</definedName>
    <definedName name="IQ_US_GAAP" hidden="1">"c1331"</definedName>
    <definedName name="IQ_UTIL_PPE_NET" hidden="1">"c1620"</definedName>
    <definedName name="IQ_UTIL_REV" hidden="1">"c2091"</definedName>
    <definedName name="IQ_UV_PENSION_LIAB" hidden="1">"c1332"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UME" hidden="1">"c1333"</definedName>
    <definedName name="IQ_WEEK">50000</definedName>
    <definedName name="IQ_WEIGHTED_AVG_PRICE" hidden="1">"c1334"</definedName>
    <definedName name="IQ_WIP_INV" hidden="1">"c1335"</definedName>
    <definedName name="IQ_WORKMEN_WRITTEN" hidden="1">"c1336"</definedName>
    <definedName name="IQ_XDIV_DATE" hidden="1">"c2104"</definedName>
    <definedName name="IQ_YEARHIGH" hidden="1">"c1337"</definedName>
    <definedName name="IQ_YEARLOW" hidden="1">"c1338"</definedName>
    <definedName name="IQ_YTD">3000</definedName>
    <definedName name="IQ_YTDMONTH" hidden="1">130000</definedName>
    <definedName name="IQ_Z_SCORE" hidden="1">"c1339"</definedName>
    <definedName name="LoopRange" localSheetId="2">Values!$D:$D</definedName>
    <definedName name="n" hidden="1">[1]PROD_MB_MAAND!$E$71</definedName>
    <definedName name="Out.Headings">Output!$1:$1</definedName>
    <definedName name="Out.Tickers">Output!$B:$B</definedName>
    <definedName name="_xlnm.Print_Area" localSheetId="5">FAS!$C$15:$Q$260</definedName>
    <definedName name="_xlnm.Print_Area" localSheetId="6">'FAS (RACE)'!$C$15:$Q$260</definedName>
    <definedName name="_xlnm.Print_Area" localSheetId="7">'FAS (VOW)'!$C$15:$Q$260</definedName>
    <definedName name="ROIC.Forecasts" localSheetId="5">FAS!$BA$17:$BA$711</definedName>
    <definedName name="ROIC.Forecasts" localSheetId="6">'FAS (RACE)'!$BA$17:$BA$711</definedName>
    <definedName name="ROIC.Forecasts" localSheetId="7">'FAS (VOW)'!$BA$17:$BA$711</definedName>
    <definedName name="ROIC.HIstFields" localSheetId="5">FAS!$B$17:$B$761</definedName>
    <definedName name="ROIC.HIstFields" localSheetId="6">'FAS (RACE)'!$B$17:$B$761</definedName>
    <definedName name="ROIC.HIstFields" localSheetId="7">'FAS (VOW)'!$B$17:$B$761</definedName>
    <definedName name="ROIC.Ticker" localSheetId="5">FAS!$B$1</definedName>
    <definedName name="ROIC.Ticker" localSheetId="6">'FAS (RACE)'!$B$1</definedName>
    <definedName name="ROIC.Ticker" localSheetId="7">'FAS (VOW)'!$B$1</definedName>
    <definedName name="ROIC.Years" localSheetId="5">FAS!$A$14:$BS$14</definedName>
    <definedName name="ROIC.Years" localSheetId="6">'FAS (RACE)'!$A$14:$BS$14</definedName>
    <definedName name="ROIC.Years" localSheetId="7">'FAS (VOW)'!$A$14:$BS$14</definedName>
    <definedName name="Tickers">Tickers!$A:$A</definedName>
    <definedName name="v" hidden="1">[1]PROD_MB_MAAND!$C$60:$C$66</definedName>
    <definedName name="Value.Headings">Values!$C:$C</definedName>
    <definedName name="Value.Start.Periods">Values!$G:$G</definedName>
    <definedName name="Value.Updates">Values!$E:$E</definedName>
  </definedNames>
  <calcPr calcId="191029" iterateDelta="9.999999999999445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43" i="277" l="1"/>
  <c r="C642" i="277"/>
  <c r="C641" i="277"/>
  <c r="C640" i="277"/>
  <c r="C639" i="277"/>
  <c r="C638" i="277"/>
  <c r="C637" i="277"/>
  <c r="C636" i="277"/>
  <c r="C635" i="277"/>
  <c r="C634" i="277"/>
  <c r="C632" i="277"/>
  <c r="C631" i="277"/>
  <c r="C630" i="277"/>
  <c r="C629" i="277"/>
  <c r="C608" i="277"/>
  <c r="C607" i="277"/>
  <c r="C605" i="277"/>
  <c r="C604" i="277"/>
  <c r="C603" i="277"/>
  <c r="C593" i="277"/>
  <c r="C592" i="277"/>
  <c r="C591" i="277"/>
  <c r="C590" i="277"/>
  <c r="C589" i="277"/>
  <c r="C588" i="277"/>
  <c r="C587" i="277"/>
  <c r="C586" i="277"/>
  <c r="C583" i="277"/>
  <c r="C582" i="277"/>
  <c r="R577" i="277"/>
  <c r="Q577" i="277"/>
  <c r="P577" i="277"/>
  <c r="O577" i="277"/>
  <c r="N577" i="277"/>
  <c r="M577" i="277"/>
  <c r="L577" i="277"/>
  <c r="K577" i="277"/>
  <c r="J577" i="277"/>
  <c r="I577" i="277"/>
  <c r="H577" i="277"/>
  <c r="G577" i="277"/>
  <c r="F577" i="277"/>
  <c r="E577" i="277"/>
  <c r="D577" i="277"/>
  <c r="C576" i="277"/>
  <c r="R573" i="277"/>
  <c r="Q573" i="277"/>
  <c r="P573" i="277"/>
  <c r="O573" i="277"/>
  <c r="N573" i="277"/>
  <c r="M573" i="277"/>
  <c r="L573" i="277"/>
  <c r="K573" i="277"/>
  <c r="J573" i="277"/>
  <c r="I573" i="277"/>
  <c r="H573" i="277"/>
  <c r="G573" i="277"/>
  <c r="F573" i="277"/>
  <c r="E573" i="277"/>
  <c r="D573" i="277"/>
  <c r="C572" i="277"/>
  <c r="R569" i="277"/>
  <c r="Q569" i="277"/>
  <c r="P569" i="277"/>
  <c r="O569" i="277"/>
  <c r="N569" i="277"/>
  <c r="M569" i="277"/>
  <c r="L569" i="277"/>
  <c r="K569" i="277"/>
  <c r="J569" i="277"/>
  <c r="I569" i="277"/>
  <c r="H569" i="277"/>
  <c r="G569" i="277"/>
  <c r="F569" i="277"/>
  <c r="E569" i="277"/>
  <c r="D569" i="277"/>
  <c r="C568" i="277"/>
  <c r="R565" i="277"/>
  <c r="Q565" i="277"/>
  <c r="P565" i="277"/>
  <c r="O565" i="277"/>
  <c r="N565" i="277"/>
  <c r="M565" i="277"/>
  <c r="L565" i="277"/>
  <c r="L513" i="277" s="1"/>
  <c r="K565" i="277"/>
  <c r="J565" i="277"/>
  <c r="J513" i="277" s="1"/>
  <c r="I565" i="277"/>
  <c r="I513" i="277" s="1"/>
  <c r="H565" i="277"/>
  <c r="G565" i="277"/>
  <c r="F565" i="277"/>
  <c r="E565" i="277"/>
  <c r="D565" i="277"/>
  <c r="C564" i="277"/>
  <c r="C563" i="277"/>
  <c r="R561" i="277"/>
  <c r="R511" i="277" s="1"/>
  <c r="Q561" i="277"/>
  <c r="Q511" i="277" s="1"/>
  <c r="P561" i="277"/>
  <c r="O561" i="277"/>
  <c r="N561" i="277"/>
  <c r="N511" i="277" s="1"/>
  <c r="M561" i="277"/>
  <c r="L561" i="277"/>
  <c r="L511" i="277" s="1"/>
  <c r="K561" i="277"/>
  <c r="J561" i="277"/>
  <c r="I561" i="277"/>
  <c r="H561" i="277"/>
  <c r="G561" i="277"/>
  <c r="G511" i="277" s="1"/>
  <c r="F561" i="277"/>
  <c r="F511" i="277" s="1"/>
  <c r="E561" i="277"/>
  <c r="E511" i="277" s="1"/>
  <c r="D561" i="277"/>
  <c r="C560" i="277"/>
  <c r="R558" i="277"/>
  <c r="Q558" i="277"/>
  <c r="P558" i="277"/>
  <c r="O558" i="277"/>
  <c r="N558" i="277"/>
  <c r="M558" i="277"/>
  <c r="L558" i="277"/>
  <c r="K558" i="277"/>
  <c r="J558" i="277"/>
  <c r="I558" i="277"/>
  <c r="I512" i="277" s="1"/>
  <c r="H558" i="277"/>
  <c r="G558" i="277"/>
  <c r="F558" i="277"/>
  <c r="E558" i="277"/>
  <c r="D558" i="277"/>
  <c r="R554" i="277"/>
  <c r="Q554" i="277"/>
  <c r="P554" i="277"/>
  <c r="O554" i="277"/>
  <c r="N554" i="277"/>
  <c r="M554" i="277"/>
  <c r="L554" i="277"/>
  <c r="K554" i="277"/>
  <c r="J554" i="277"/>
  <c r="I554" i="277"/>
  <c r="H554" i="277"/>
  <c r="G554" i="277"/>
  <c r="F554" i="277"/>
  <c r="E554" i="277"/>
  <c r="D554" i="277"/>
  <c r="C553" i="277"/>
  <c r="C552" i="277"/>
  <c r="R549" i="277"/>
  <c r="Q549" i="277"/>
  <c r="Q508" i="277" s="1"/>
  <c r="P549" i="277"/>
  <c r="O549" i="277"/>
  <c r="N549" i="277"/>
  <c r="N508" i="277" s="1"/>
  <c r="M549" i="277"/>
  <c r="M508" i="277" s="1"/>
  <c r="L549" i="277"/>
  <c r="L508" i="277" s="1"/>
  <c r="K549" i="277"/>
  <c r="J549" i="277"/>
  <c r="I549" i="277"/>
  <c r="H549" i="277"/>
  <c r="G549" i="277"/>
  <c r="G508" i="277" s="1"/>
  <c r="F549" i="277"/>
  <c r="E549" i="277"/>
  <c r="E508" i="277" s="1"/>
  <c r="D549" i="277"/>
  <c r="C548" i="277"/>
  <c r="C545" i="277"/>
  <c r="R543" i="277"/>
  <c r="Q543" i="277"/>
  <c r="P543" i="277"/>
  <c r="O543" i="277"/>
  <c r="N543" i="277"/>
  <c r="M543" i="277"/>
  <c r="L543" i="277"/>
  <c r="K543" i="277"/>
  <c r="J543" i="277"/>
  <c r="I543" i="277"/>
  <c r="H543" i="277"/>
  <c r="G543" i="277"/>
  <c r="F543" i="277"/>
  <c r="E543" i="277"/>
  <c r="D543" i="277"/>
  <c r="C542" i="277"/>
  <c r="C540" i="277"/>
  <c r="C539" i="277"/>
  <c r="R537" i="277"/>
  <c r="Q537" i="277"/>
  <c r="P537" i="277"/>
  <c r="O537" i="277"/>
  <c r="N537" i="277"/>
  <c r="M537" i="277"/>
  <c r="L537" i="277"/>
  <c r="K537" i="277"/>
  <c r="J537" i="277"/>
  <c r="I537" i="277"/>
  <c r="H537" i="277"/>
  <c r="G537" i="277"/>
  <c r="F537" i="277"/>
  <c r="E537" i="277"/>
  <c r="D537" i="277"/>
  <c r="C536" i="277"/>
  <c r="C534" i="277"/>
  <c r="C533" i="277"/>
  <c r="R531" i="277"/>
  <c r="Q531" i="277"/>
  <c r="P531" i="277"/>
  <c r="O531" i="277"/>
  <c r="N531" i="277"/>
  <c r="M531" i="277"/>
  <c r="L531" i="277"/>
  <c r="K531" i="277"/>
  <c r="J531" i="277"/>
  <c r="I531" i="277"/>
  <c r="H531" i="277"/>
  <c r="G531" i="277"/>
  <c r="F531" i="277"/>
  <c r="E531" i="277"/>
  <c r="D531" i="277"/>
  <c r="C530" i="277"/>
  <c r="C528" i="277"/>
  <c r="R526" i="277"/>
  <c r="Q526" i="277"/>
  <c r="Q507" i="277" s="1"/>
  <c r="P526" i="277"/>
  <c r="P507" i="277" s="1"/>
  <c r="O526" i="277"/>
  <c r="O507" i="277" s="1"/>
  <c r="N526" i="277"/>
  <c r="M526" i="277"/>
  <c r="L526" i="277"/>
  <c r="L507" i="277" s="1"/>
  <c r="K526" i="277"/>
  <c r="J526" i="277"/>
  <c r="J507" i="277" s="1"/>
  <c r="I526" i="277"/>
  <c r="H526" i="277"/>
  <c r="G526" i="277"/>
  <c r="F526" i="277"/>
  <c r="E526" i="277"/>
  <c r="E507" i="277" s="1"/>
  <c r="D526" i="277"/>
  <c r="D507" i="277" s="1"/>
  <c r="C525" i="277"/>
  <c r="C523" i="277"/>
  <c r="C522" i="277"/>
  <c r="C518" i="277"/>
  <c r="R515" i="277"/>
  <c r="Q515" i="277"/>
  <c r="P515" i="277"/>
  <c r="O515" i="277"/>
  <c r="N515" i="277"/>
  <c r="M515" i="277"/>
  <c r="L515" i="277"/>
  <c r="K515" i="277"/>
  <c r="J515" i="277"/>
  <c r="I515" i="277"/>
  <c r="H515" i="277"/>
  <c r="G515" i="277"/>
  <c r="F515" i="277"/>
  <c r="E515" i="277"/>
  <c r="D515" i="277"/>
  <c r="R513" i="277"/>
  <c r="Q513" i="277"/>
  <c r="P513" i="277"/>
  <c r="O513" i="277"/>
  <c r="N513" i="277"/>
  <c r="M513" i="277"/>
  <c r="K513" i="277"/>
  <c r="H513" i="277"/>
  <c r="G513" i="277"/>
  <c r="F513" i="277"/>
  <c r="E513" i="277"/>
  <c r="D513" i="277"/>
  <c r="C513" i="277"/>
  <c r="R512" i="277"/>
  <c r="Q512" i="277"/>
  <c r="P512" i="277"/>
  <c r="O512" i="277"/>
  <c r="N512" i="277"/>
  <c r="M512" i="277"/>
  <c r="L512" i="277"/>
  <c r="K512" i="277"/>
  <c r="J512" i="277"/>
  <c r="H512" i="277"/>
  <c r="G512" i="277"/>
  <c r="F512" i="277"/>
  <c r="E512" i="277"/>
  <c r="D512" i="277"/>
  <c r="C512" i="277"/>
  <c r="P511" i="277"/>
  <c r="O511" i="277"/>
  <c r="M511" i="277"/>
  <c r="K511" i="277"/>
  <c r="J511" i="277"/>
  <c r="I511" i="277"/>
  <c r="H511" i="277"/>
  <c r="D511" i="277"/>
  <c r="C511" i="277"/>
  <c r="R510" i="277"/>
  <c r="Q510" i="277"/>
  <c r="P510" i="277"/>
  <c r="O510" i="277"/>
  <c r="N510" i="277"/>
  <c r="M510" i="277"/>
  <c r="L510" i="277"/>
  <c r="K510" i="277"/>
  <c r="J510" i="277"/>
  <c r="I510" i="277"/>
  <c r="H510" i="277"/>
  <c r="G510" i="277"/>
  <c r="F510" i="277"/>
  <c r="E510" i="277"/>
  <c r="D510" i="277"/>
  <c r="R508" i="277"/>
  <c r="P508" i="277"/>
  <c r="O508" i="277"/>
  <c r="K508" i="277"/>
  <c r="J508" i="277"/>
  <c r="I508" i="277"/>
  <c r="H508" i="277"/>
  <c r="F508" i="277"/>
  <c r="D508" i="277"/>
  <c r="R507" i="277"/>
  <c r="N507" i="277"/>
  <c r="M507" i="277"/>
  <c r="K507" i="277"/>
  <c r="I507" i="277"/>
  <c r="H507" i="277"/>
  <c r="G507" i="277"/>
  <c r="F507" i="277"/>
  <c r="C505" i="277"/>
  <c r="Y490" i="277"/>
  <c r="Y2" i="277" s="1"/>
  <c r="T490" i="277"/>
  <c r="R490" i="277"/>
  <c r="U488" i="277"/>
  <c r="D488" i="277"/>
  <c r="V486" i="277"/>
  <c r="Q486" i="277"/>
  <c r="O486" i="277"/>
  <c r="L486" i="277"/>
  <c r="Y478" i="277"/>
  <c r="X478" i="277"/>
  <c r="W478" i="277"/>
  <c r="V478" i="277"/>
  <c r="U478" i="277"/>
  <c r="T478" i="277"/>
  <c r="S478" i="277"/>
  <c r="R478" i="277"/>
  <c r="Q478" i="277"/>
  <c r="P478" i="277"/>
  <c r="O478" i="277"/>
  <c r="N478" i="277"/>
  <c r="M478" i="277"/>
  <c r="L478" i="277"/>
  <c r="K478" i="277"/>
  <c r="J478" i="277"/>
  <c r="I478" i="277"/>
  <c r="H478" i="277"/>
  <c r="G478" i="277"/>
  <c r="F478" i="277"/>
  <c r="E478" i="277"/>
  <c r="D478" i="277"/>
  <c r="D471" i="277"/>
  <c r="Y465" i="277"/>
  <c r="X465" i="277"/>
  <c r="W465" i="277"/>
  <c r="V465" i="277"/>
  <c r="U465" i="277"/>
  <c r="T465" i="277"/>
  <c r="S465" i="277"/>
  <c r="R465" i="277"/>
  <c r="Q465" i="277"/>
  <c r="P465" i="277"/>
  <c r="O465" i="277"/>
  <c r="N465" i="277"/>
  <c r="M465" i="277"/>
  <c r="L465" i="277"/>
  <c r="K465" i="277"/>
  <c r="J465" i="277"/>
  <c r="I465" i="277"/>
  <c r="H465" i="277"/>
  <c r="G465" i="277"/>
  <c r="F465" i="277"/>
  <c r="E465" i="277"/>
  <c r="D465" i="277"/>
  <c r="O455" i="277"/>
  <c r="N455" i="277"/>
  <c r="M455" i="277"/>
  <c r="L455" i="277"/>
  <c r="K455" i="277"/>
  <c r="J455" i="277"/>
  <c r="I455" i="277"/>
  <c r="H455" i="277"/>
  <c r="G455" i="277"/>
  <c r="F455" i="277"/>
  <c r="E455" i="277"/>
  <c r="D455" i="277"/>
  <c r="O453" i="277"/>
  <c r="N453" i="277"/>
  <c r="M453" i="277"/>
  <c r="L453" i="277"/>
  <c r="K453" i="277"/>
  <c r="J453" i="277"/>
  <c r="I453" i="277"/>
  <c r="H453" i="277"/>
  <c r="G453" i="277"/>
  <c r="F453" i="277"/>
  <c r="E453" i="277"/>
  <c r="D453" i="277"/>
  <c r="O451" i="277"/>
  <c r="N451" i="277"/>
  <c r="M451" i="277"/>
  <c r="L451" i="277"/>
  <c r="K451" i="277"/>
  <c r="J451" i="277"/>
  <c r="I451" i="277"/>
  <c r="H451" i="277"/>
  <c r="G451" i="277"/>
  <c r="F451" i="277"/>
  <c r="E451" i="277"/>
  <c r="D451" i="277"/>
  <c r="Y433" i="277"/>
  <c r="Y488" i="277" s="1"/>
  <c r="X433" i="277"/>
  <c r="X488" i="277" s="1"/>
  <c r="W433" i="277"/>
  <c r="W488" i="277" s="1"/>
  <c r="V433" i="277"/>
  <c r="V488" i="277" s="1"/>
  <c r="U433" i="277"/>
  <c r="T433" i="277"/>
  <c r="T488" i="277" s="1"/>
  <c r="S433" i="277"/>
  <c r="S488" i="277" s="1"/>
  <c r="R433" i="277"/>
  <c r="R488" i="277" s="1"/>
  <c r="Q433" i="277"/>
  <c r="Q488" i="277" s="1"/>
  <c r="P433" i="277"/>
  <c r="P488" i="277" s="1"/>
  <c r="O433" i="277"/>
  <c r="O488" i="277" s="1"/>
  <c r="N433" i="277"/>
  <c r="N488" i="277" s="1"/>
  <c r="M433" i="277"/>
  <c r="M488" i="277" s="1"/>
  <c r="L433" i="277"/>
  <c r="L488" i="277" s="1"/>
  <c r="K433" i="277"/>
  <c r="K488" i="277" s="1"/>
  <c r="J433" i="277"/>
  <c r="J488" i="277" s="1"/>
  <c r="I433" i="277"/>
  <c r="I488" i="277" s="1"/>
  <c r="H433" i="277"/>
  <c r="H488" i="277" s="1"/>
  <c r="G433" i="277"/>
  <c r="G488" i="277" s="1"/>
  <c r="F433" i="277"/>
  <c r="F488" i="277" s="1"/>
  <c r="E433" i="277"/>
  <c r="E488" i="277" s="1"/>
  <c r="D433" i="277"/>
  <c r="Y394" i="277"/>
  <c r="Y476" i="277" s="1"/>
  <c r="X394" i="277"/>
  <c r="X476" i="277" s="1"/>
  <c r="W394" i="277"/>
  <c r="V394" i="277"/>
  <c r="V476" i="277" s="1"/>
  <c r="U394" i="277"/>
  <c r="T394" i="277"/>
  <c r="T476" i="277" s="1"/>
  <c r="S394" i="277"/>
  <c r="R394" i="277"/>
  <c r="R476" i="277" s="1"/>
  <c r="Q394" i="277"/>
  <c r="P394" i="277"/>
  <c r="O394" i="277"/>
  <c r="N394" i="277"/>
  <c r="M394" i="277"/>
  <c r="M476" i="277" s="1"/>
  <c r="L394" i="277"/>
  <c r="L476" i="277" s="1"/>
  <c r="K394" i="277"/>
  <c r="K476" i="277" s="1"/>
  <c r="J394" i="277"/>
  <c r="J476" i="277" s="1"/>
  <c r="I394" i="277"/>
  <c r="H394" i="277"/>
  <c r="H476" i="277" s="1"/>
  <c r="G394" i="277"/>
  <c r="F394" i="277"/>
  <c r="F476" i="277" s="1"/>
  <c r="E394" i="277"/>
  <c r="E476" i="277" s="1"/>
  <c r="D394" i="277"/>
  <c r="Y386" i="277"/>
  <c r="X386" i="277"/>
  <c r="W386" i="277"/>
  <c r="V386" i="277"/>
  <c r="U386" i="277"/>
  <c r="T386" i="277"/>
  <c r="S386" i="277"/>
  <c r="R386" i="277"/>
  <c r="Q386" i="277"/>
  <c r="P386" i="277"/>
  <c r="O386" i="277"/>
  <c r="N386" i="277"/>
  <c r="M386" i="277"/>
  <c r="L386" i="277"/>
  <c r="K386" i="277"/>
  <c r="J386" i="277"/>
  <c r="I386" i="277"/>
  <c r="H386" i="277"/>
  <c r="G386" i="277"/>
  <c r="F386" i="277"/>
  <c r="E386" i="277"/>
  <c r="D386" i="277"/>
  <c r="Y383" i="277"/>
  <c r="X383" i="277"/>
  <c r="X378" i="277" s="1"/>
  <c r="W383" i="277"/>
  <c r="W378" i="277" s="1"/>
  <c r="V383" i="277"/>
  <c r="U383" i="277"/>
  <c r="T383" i="277"/>
  <c r="S383" i="277"/>
  <c r="R383" i="277"/>
  <c r="Q383" i="277"/>
  <c r="P383" i="277"/>
  <c r="O383" i="277"/>
  <c r="N383" i="277"/>
  <c r="N378" i="277" s="1"/>
  <c r="M383" i="277"/>
  <c r="M378" i="277" s="1"/>
  <c r="L383" i="277"/>
  <c r="K383" i="277"/>
  <c r="J383" i="277"/>
  <c r="I383" i="277"/>
  <c r="H383" i="277"/>
  <c r="G383" i="277"/>
  <c r="F383" i="277"/>
  <c r="E383" i="277"/>
  <c r="D383" i="277"/>
  <c r="Y379" i="277"/>
  <c r="Y378" i="277" s="1"/>
  <c r="X379" i="277"/>
  <c r="W379" i="277"/>
  <c r="V379" i="277"/>
  <c r="U379" i="277"/>
  <c r="U378" i="277" s="1"/>
  <c r="T379" i="277"/>
  <c r="T378" i="277" s="1"/>
  <c r="S379" i="277"/>
  <c r="S378" i="277" s="1"/>
  <c r="R379" i="277"/>
  <c r="R378" i="277" s="1"/>
  <c r="Q379" i="277"/>
  <c r="P379" i="277"/>
  <c r="P378" i="277" s="1"/>
  <c r="O379" i="277"/>
  <c r="N379" i="277"/>
  <c r="M379" i="277"/>
  <c r="L379" i="277"/>
  <c r="K379" i="277"/>
  <c r="J379" i="277"/>
  <c r="I379" i="277"/>
  <c r="I378" i="277" s="1"/>
  <c r="H379" i="277"/>
  <c r="H378" i="277" s="1"/>
  <c r="G379" i="277"/>
  <c r="G378" i="277" s="1"/>
  <c r="F379" i="277"/>
  <c r="F378" i="277" s="1"/>
  <c r="E379" i="277"/>
  <c r="D379" i="277"/>
  <c r="K378" i="277"/>
  <c r="Y376" i="277"/>
  <c r="X376" i="277"/>
  <c r="W376" i="277"/>
  <c r="V376" i="277"/>
  <c r="U376" i="277"/>
  <c r="T376" i="277"/>
  <c r="S376" i="277"/>
  <c r="R376" i="277"/>
  <c r="Q376" i="277"/>
  <c r="P376" i="277"/>
  <c r="O376" i="277"/>
  <c r="N376" i="277"/>
  <c r="M376" i="277"/>
  <c r="L376" i="277"/>
  <c r="K376" i="277"/>
  <c r="J376" i="277"/>
  <c r="I376" i="277"/>
  <c r="H376" i="277"/>
  <c r="G376" i="277"/>
  <c r="F376" i="277"/>
  <c r="E376" i="277"/>
  <c r="D376" i="277"/>
  <c r="Y371" i="277"/>
  <c r="X371" i="277"/>
  <c r="W371" i="277"/>
  <c r="V371" i="277"/>
  <c r="U371" i="277"/>
  <c r="T371" i="277"/>
  <c r="S371" i="277"/>
  <c r="R371" i="277"/>
  <c r="Q371" i="277"/>
  <c r="P371" i="277"/>
  <c r="O371" i="277"/>
  <c r="N371" i="277"/>
  <c r="M371" i="277"/>
  <c r="L371" i="277"/>
  <c r="K371" i="277"/>
  <c r="J371" i="277"/>
  <c r="I371" i="277"/>
  <c r="H371" i="277"/>
  <c r="G371" i="277"/>
  <c r="F371" i="277"/>
  <c r="E371" i="277"/>
  <c r="D371" i="277"/>
  <c r="Y368" i="277"/>
  <c r="X368" i="277"/>
  <c r="W368" i="277"/>
  <c r="V368" i="277"/>
  <c r="U368" i="277"/>
  <c r="T368" i="277"/>
  <c r="S368" i="277"/>
  <c r="R368" i="277"/>
  <c r="Q368" i="277"/>
  <c r="P368" i="277"/>
  <c r="O368" i="277"/>
  <c r="N368" i="277"/>
  <c r="M368" i="277"/>
  <c r="L368" i="277"/>
  <c r="K368" i="277"/>
  <c r="J368" i="277"/>
  <c r="I368" i="277"/>
  <c r="H368" i="277"/>
  <c r="G368" i="277"/>
  <c r="F368" i="277"/>
  <c r="E368" i="277"/>
  <c r="D368" i="277"/>
  <c r="Y363" i="277"/>
  <c r="Y486" i="277" s="1"/>
  <c r="X363" i="277"/>
  <c r="X486" i="277" s="1"/>
  <c r="W363" i="277"/>
  <c r="W486" i="277" s="1"/>
  <c r="V363" i="277"/>
  <c r="U363" i="277"/>
  <c r="U486" i="277" s="1"/>
  <c r="T363" i="277"/>
  <c r="T486" i="277" s="1"/>
  <c r="S363" i="277"/>
  <c r="S486" i="277" s="1"/>
  <c r="R363" i="277"/>
  <c r="R486" i="277" s="1"/>
  <c r="Q363" i="277"/>
  <c r="P363" i="277"/>
  <c r="P486" i="277" s="1"/>
  <c r="O363" i="277"/>
  <c r="N363" i="277"/>
  <c r="N486" i="277" s="1"/>
  <c r="M363" i="277"/>
  <c r="M486" i="277" s="1"/>
  <c r="L363" i="277"/>
  <c r="K363" i="277"/>
  <c r="K486" i="277" s="1"/>
  <c r="J363" i="277"/>
  <c r="J486" i="277" s="1"/>
  <c r="I363" i="277"/>
  <c r="I486" i="277" s="1"/>
  <c r="H363" i="277"/>
  <c r="H486" i="277" s="1"/>
  <c r="G363" i="277"/>
  <c r="G486" i="277" s="1"/>
  <c r="F363" i="277"/>
  <c r="F486" i="277" s="1"/>
  <c r="E363" i="277"/>
  <c r="E486" i="277" s="1"/>
  <c r="D363" i="277"/>
  <c r="D486" i="277" s="1"/>
  <c r="Y358" i="277"/>
  <c r="Y11" i="277" s="1"/>
  <c r="Y121" i="277" s="1"/>
  <c r="X358" i="277"/>
  <c r="X490" i="277" s="1"/>
  <c r="X2" i="277" s="1"/>
  <c r="W358" i="277"/>
  <c r="W490" i="277" s="1"/>
  <c r="V358" i="277"/>
  <c r="V490" i="277" s="1"/>
  <c r="V1" i="277" s="1"/>
  <c r="U358" i="277"/>
  <c r="U490" i="277" s="1"/>
  <c r="T358" i="277"/>
  <c r="S358" i="277"/>
  <c r="S490" i="277" s="1"/>
  <c r="R358" i="277"/>
  <c r="Q358" i="277"/>
  <c r="Q490" i="277" s="1"/>
  <c r="P358" i="277"/>
  <c r="P490" i="277" s="1"/>
  <c r="O358" i="277"/>
  <c r="O490" i="277" s="1"/>
  <c r="N358" i="277"/>
  <c r="N490" i="277" s="1"/>
  <c r="M358" i="277"/>
  <c r="M490" i="277" s="1"/>
  <c r="L358" i="277"/>
  <c r="L490" i="277" s="1"/>
  <c r="K358" i="277"/>
  <c r="K490" i="277" s="1"/>
  <c r="J358" i="277"/>
  <c r="J490" i="277" s="1"/>
  <c r="I358" i="277"/>
  <c r="I490" i="277" s="1"/>
  <c r="H358" i="277"/>
  <c r="H490" i="277" s="1"/>
  <c r="G358" i="277"/>
  <c r="G490" i="277" s="1"/>
  <c r="F358" i="277"/>
  <c r="F490" i="277" s="1"/>
  <c r="E358" i="277"/>
  <c r="E490" i="277" s="1"/>
  <c r="D358" i="277"/>
  <c r="D490" i="277" s="1"/>
  <c r="X357" i="277"/>
  <c r="S357" i="277"/>
  <c r="N357" i="277"/>
  <c r="Y351" i="277"/>
  <c r="X351" i="277"/>
  <c r="W351" i="277"/>
  <c r="V351" i="277"/>
  <c r="U351" i="277"/>
  <c r="T351" i="277"/>
  <c r="S351" i="277"/>
  <c r="R351" i="277"/>
  <c r="Q351" i="277"/>
  <c r="P351" i="277"/>
  <c r="O351" i="277"/>
  <c r="N351" i="277"/>
  <c r="M351" i="277"/>
  <c r="L351" i="277"/>
  <c r="K351" i="277"/>
  <c r="J351" i="277"/>
  <c r="I351" i="277"/>
  <c r="H351" i="277"/>
  <c r="G351" i="277"/>
  <c r="F351" i="277"/>
  <c r="E351" i="277"/>
  <c r="D351" i="277"/>
  <c r="Y348" i="277"/>
  <c r="X348" i="277"/>
  <c r="W348" i="277"/>
  <c r="W357" i="277" s="1"/>
  <c r="V348" i="277"/>
  <c r="U348" i="277"/>
  <c r="U357" i="277" s="1"/>
  <c r="T348" i="277"/>
  <c r="T357" i="277" s="1"/>
  <c r="S348" i="277"/>
  <c r="R348" i="277"/>
  <c r="Q348" i="277"/>
  <c r="P348" i="277"/>
  <c r="O348" i="277"/>
  <c r="O357" i="277" s="1"/>
  <c r="N348" i="277"/>
  <c r="M348" i="277"/>
  <c r="L348" i="277"/>
  <c r="L357" i="277" s="1"/>
  <c r="K348" i="277"/>
  <c r="K357" i="277" s="1"/>
  <c r="J348" i="277"/>
  <c r="I348" i="277"/>
  <c r="I357" i="277" s="1"/>
  <c r="H348" i="277"/>
  <c r="H357" i="277" s="1"/>
  <c r="G348" i="277"/>
  <c r="F348" i="277"/>
  <c r="E348" i="277"/>
  <c r="D348" i="277"/>
  <c r="D357" i="277" s="1"/>
  <c r="Y339" i="277"/>
  <c r="Y194" i="277" s="1"/>
  <c r="X339" i="277"/>
  <c r="X194" i="277" s="1"/>
  <c r="W339" i="277"/>
  <c r="W194" i="277" s="1"/>
  <c r="V339" i="277"/>
  <c r="V194" i="277" s="1"/>
  <c r="U339" i="277"/>
  <c r="T339" i="277"/>
  <c r="S339" i="277"/>
  <c r="R339" i="277"/>
  <c r="Q339" i="277"/>
  <c r="P339" i="277"/>
  <c r="P194" i="277" s="1"/>
  <c r="O339" i="277"/>
  <c r="N339" i="277"/>
  <c r="M339" i="277"/>
  <c r="M194" i="277" s="1"/>
  <c r="L339" i="277"/>
  <c r="L194" i="277" s="1"/>
  <c r="K339" i="277"/>
  <c r="J339" i="277"/>
  <c r="I339" i="277"/>
  <c r="H339" i="277"/>
  <c r="G339" i="277"/>
  <c r="F339" i="277"/>
  <c r="E339" i="277"/>
  <c r="D339" i="277"/>
  <c r="D156" i="277" s="1"/>
  <c r="D155" i="277" s="1"/>
  <c r="Y332" i="277"/>
  <c r="X332" i="277"/>
  <c r="W332" i="277"/>
  <c r="V332" i="277"/>
  <c r="U332" i="277"/>
  <c r="U331" i="277" s="1"/>
  <c r="T332" i="277"/>
  <c r="S332" i="277"/>
  <c r="S331" i="277" s="1"/>
  <c r="R332" i="277"/>
  <c r="R331" i="277" s="1"/>
  <c r="Q332" i="277"/>
  <c r="Q331" i="277" s="1"/>
  <c r="P332" i="277"/>
  <c r="P331" i="277" s="1"/>
  <c r="O332" i="277"/>
  <c r="N332" i="277"/>
  <c r="N331" i="277" s="1"/>
  <c r="M332" i="277"/>
  <c r="L332" i="277"/>
  <c r="L331" i="277" s="1"/>
  <c r="K332" i="277"/>
  <c r="J332" i="277"/>
  <c r="J331" i="277" s="1"/>
  <c r="I332" i="277"/>
  <c r="I331" i="277" s="1"/>
  <c r="H332" i="277"/>
  <c r="G332" i="277"/>
  <c r="G331" i="277" s="1"/>
  <c r="F332" i="277"/>
  <c r="F331" i="277" s="1"/>
  <c r="E332" i="277"/>
  <c r="E331" i="277" s="1"/>
  <c r="D332" i="277"/>
  <c r="D331" i="277" s="1"/>
  <c r="T331" i="277"/>
  <c r="M331" i="277"/>
  <c r="K331" i="277"/>
  <c r="H331" i="277"/>
  <c r="Y328" i="277"/>
  <c r="X328" i="277"/>
  <c r="W328" i="277"/>
  <c r="V328" i="277"/>
  <c r="U328" i="277"/>
  <c r="T328" i="277"/>
  <c r="S328" i="277"/>
  <c r="R328" i="277"/>
  <c r="Q328" i="277"/>
  <c r="P328" i="277"/>
  <c r="O328" i="277"/>
  <c r="N328" i="277"/>
  <c r="M328" i="277"/>
  <c r="L328" i="277"/>
  <c r="K328" i="277"/>
  <c r="J328" i="277"/>
  <c r="I328" i="277"/>
  <c r="H328" i="277"/>
  <c r="G328" i="277"/>
  <c r="F328" i="277"/>
  <c r="E328" i="277"/>
  <c r="D328" i="277"/>
  <c r="Y326" i="277"/>
  <c r="X326" i="277"/>
  <c r="W326" i="277"/>
  <c r="W325" i="277" s="1"/>
  <c r="V326" i="277"/>
  <c r="V325" i="277" s="1"/>
  <c r="U326" i="277"/>
  <c r="U325" i="277" s="1"/>
  <c r="T326" i="277"/>
  <c r="T325" i="277" s="1"/>
  <c r="S326" i="277"/>
  <c r="S325" i="277" s="1"/>
  <c r="R326" i="277"/>
  <c r="R325" i="277" s="1"/>
  <c r="R505" i="277" s="1"/>
  <c r="R514" i="277" s="1"/>
  <c r="R516" i="277" s="1"/>
  <c r="R519" i="277" s="1"/>
  <c r="Q326" i="277"/>
  <c r="P326" i="277"/>
  <c r="P325" i="277" s="1"/>
  <c r="P505" i="277" s="1"/>
  <c r="P514" i="277" s="1"/>
  <c r="P516" i="277" s="1"/>
  <c r="P519" i="277" s="1"/>
  <c r="O326" i="277"/>
  <c r="O325" i="277" s="1"/>
  <c r="O505" i="277" s="1"/>
  <c r="O514" i="277" s="1"/>
  <c r="O516" i="277" s="1"/>
  <c r="O519" i="277" s="1"/>
  <c r="N326" i="277"/>
  <c r="M326" i="277"/>
  <c r="M325" i="277" s="1"/>
  <c r="M505" i="277" s="1"/>
  <c r="M514" i="277" s="1"/>
  <c r="M516" i="277" s="1"/>
  <c r="M519" i="277" s="1"/>
  <c r="L326" i="277"/>
  <c r="L325" i="277" s="1"/>
  <c r="L505" i="277" s="1"/>
  <c r="K326" i="277"/>
  <c r="K325" i="277" s="1"/>
  <c r="K505" i="277" s="1"/>
  <c r="K514" i="277" s="1"/>
  <c r="K516" i="277" s="1"/>
  <c r="K519" i="277" s="1"/>
  <c r="J326" i="277"/>
  <c r="J325" i="277" s="1"/>
  <c r="J505" i="277" s="1"/>
  <c r="J514" i="277" s="1"/>
  <c r="J516" i="277" s="1"/>
  <c r="J519" i="277" s="1"/>
  <c r="I326" i="277"/>
  <c r="I325" i="277" s="1"/>
  <c r="I505" i="277" s="1"/>
  <c r="I514" i="277" s="1"/>
  <c r="I516" i="277" s="1"/>
  <c r="I519" i="277" s="1"/>
  <c r="H326" i="277"/>
  <c r="H325" i="277" s="1"/>
  <c r="H505" i="277" s="1"/>
  <c r="H514" i="277" s="1"/>
  <c r="H516" i="277" s="1"/>
  <c r="G326" i="277"/>
  <c r="F326" i="277"/>
  <c r="E326" i="277"/>
  <c r="D326" i="277"/>
  <c r="D325" i="277" s="1"/>
  <c r="D505" i="277" s="1"/>
  <c r="D514" i="277" s="1"/>
  <c r="D516" i="277" s="1"/>
  <c r="Y325" i="277"/>
  <c r="X325" i="277"/>
  <c r="Q325" i="277"/>
  <c r="Q505" i="277" s="1"/>
  <c r="N325" i="277"/>
  <c r="N505" i="277" s="1"/>
  <c r="N514" i="277" s="1"/>
  <c r="N516" i="277" s="1"/>
  <c r="N519" i="277" s="1"/>
  <c r="G325" i="277"/>
  <c r="G505" i="277" s="1"/>
  <c r="F325" i="277"/>
  <c r="F505" i="277" s="1"/>
  <c r="F514" i="277" s="1"/>
  <c r="F516" i="277" s="1"/>
  <c r="E325" i="277"/>
  <c r="E505" i="277" s="1"/>
  <c r="Y320" i="277"/>
  <c r="X320" i="277"/>
  <c r="W320" i="277"/>
  <c r="V320" i="277"/>
  <c r="U320" i="277"/>
  <c r="T320" i="277"/>
  <c r="S320" i="277"/>
  <c r="R320" i="277"/>
  <c r="Q320" i="277"/>
  <c r="P320" i="277"/>
  <c r="O320" i="277"/>
  <c r="N320" i="277"/>
  <c r="M320" i="277"/>
  <c r="L320" i="277"/>
  <c r="K320" i="277"/>
  <c r="J320" i="277"/>
  <c r="I320" i="277"/>
  <c r="H320" i="277"/>
  <c r="G320" i="277"/>
  <c r="F320" i="277"/>
  <c r="E320" i="277"/>
  <c r="D320" i="277"/>
  <c r="Y315" i="277"/>
  <c r="X315" i="277"/>
  <c r="X11" i="277" s="1"/>
  <c r="W315" i="277"/>
  <c r="V315" i="277"/>
  <c r="V11" i="277" s="1"/>
  <c r="U315" i="277"/>
  <c r="U11" i="277" s="1"/>
  <c r="U8" i="277" s="1"/>
  <c r="T315" i="277"/>
  <c r="T11" i="277" s="1"/>
  <c r="S315" i="277"/>
  <c r="S11" i="277" s="1"/>
  <c r="S8" i="277" s="1"/>
  <c r="S209" i="277" s="1"/>
  <c r="R315" i="277"/>
  <c r="R11" i="277" s="1"/>
  <c r="Q315" i="277"/>
  <c r="Q11" i="277" s="1"/>
  <c r="Q8" i="277" s="1"/>
  <c r="Q79" i="277" s="1"/>
  <c r="P315" i="277"/>
  <c r="O315" i="277"/>
  <c r="N315" i="277"/>
  <c r="N11" i="277" s="1"/>
  <c r="N8" i="277" s="1"/>
  <c r="N83" i="277" s="1"/>
  <c r="M315" i="277"/>
  <c r="M11" i="277" s="1"/>
  <c r="M8" i="277" s="1"/>
  <c r="M191" i="277" s="1"/>
  <c r="M190" i="277" s="1"/>
  <c r="M189" i="277" s="1"/>
  <c r="L315" i="277"/>
  <c r="L11" i="277" s="1"/>
  <c r="K315" i="277"/>
  <c r="K11" i="277" s="1"/>
  <c r="K8" i="277" s="1"/>
  <c r="J315" i="277"/>
  <c r="J11" i="277" s="1"/>
  <c r="I315" i="277"/>
  <c r="I11" i="277" s="1"/>
  <c r="I8" i="277" s="1"/>
  <c r="H315" i="277"/>
  <c r="H11" i="277" s="1"/>
  <c r="G315" i="277"/>
  <c r="G11" i="277" s="1"/>
  <c r="G8" i="277" s="1"/>
  <c r="F315" i="277"/>
  <c r="E315" i="277"/>
  <c r="D315" i="277"/>
  <c r="D11" i="277" s="1"/>
  <c r="D121" i="277" s="1"/>
  <c r="C302" i="277"/>
  <c r="C298" i="277"/>
  <c r="U211" i="277"/>
  <c r="T211" i="277"/>
  <c r="S211" i="277"/>
  <c r="R211" i="277"/>
  <c r="Q211" i="277"/>
  <c r="P211" i="277"/>
  <c r="O211" i="277"/>
  <c r="N211" i="277"/>
  <c r="M211" i="277"/>
  <c r="L211" i="277"/>
  <c r="K211" i="277"/>
  <c r="J211" i="277"/>
  <c r="I211" i="277"/>
  <c r="H211" i="277"/>
  <c r="G211" i="277"/>
  <c r="F211" i="277"/>
  <c r="E211" i="277"/>
  <c r="D211" i="277"/>
  <c r="T194" i="277"/>
  <c r="R194" i="277"/>
  <c r="Q194" i="277"/>
  <c r="K194" i="277"/>
  <c r="J194" i="277"/>
  <c r="H194" i="277"/>
  <c r="G194" i="277"/>
  <c r="F194" i="277"/>
  <c r="E194" i="277"/>
  <c r="D194" i="277"/>
  <c r="Y158" i="277"/>
  <c r="X158" i="277"/>
  <c r="W158" i="277"/>
  <c r="V158" i="277"/>
  <c r="U158" i="277"/>
  <c r="T158" i="277"/>
  <c r="S158" i="277"/>
  <c r="R158" i="277"/>
  <c r="Q158" i="277"/>
  <c r="P158" i="277"/>
  <c r="O158" i="277"/>
  <c r="N158" i="277"/>
  <c r="M158" i="277"/>
  <c r="L158" i="277"/>
  <c r="K158" i="277"/>
  <c r="J158" i="277"/>
  <c r="I158" i="277"/>
  <c r="H158" i="277"/>
  <c r="G158" i="277"/>
  <c r="F158" i="277"/>
  <c r="E158" i="277"/>
  <c r="D158" i="277"/>
  <c r="K156" i="277"/>
  <c r="K155" i="277" s="1"/>
  <c r="J156" i="277"/>
  <c r="J155" i="277" s="1"/>
  <c r="I156" i="277"/>
  <c r="I155" i="277" s="1"/>
  <c r="H156" i="277"/>
  <c r="H155" i="277" s="1"/>
  <c r="G156" i="277"/>
  <c r="G155" i="277" s="1"/>
  <c r="F156" i="277"/>
  <c r="F155" i="277" s="1"/>
  <c r="E156" i="277"/>
  <c r="E155" i="277" s="1"/>
  <c r="C151" i="277"/>
  <c r="Y149" i="277"/>
  <c r="X149" i="277"/>
  <c r="W149" i="277"/>
  <c r="V149" i="277"/>
  <c r="U149" i="277"/>
  <c r="T149" i="277"/>
  <c r="S149" i="277"/>
  <c r="R149" i="277"/>
  <c r="Q149" i="277"/>
  <c r="P149" i="277"/>
  <c r="O149" i="277"/>
  <c r="N149" i="277"/>
  <c r="Y118" i="277"/>
  <c r="Y93" i="277" s="1"/>
  <c r="X118" i="277"/>
  <c r="W118" i="277"/>
  <c r="V118" i="277"/>
  <c r="V93" i="277" s="1"/>
  <c r="U118" i="277"/>
  <c r="U93" i="277" s="1"/>
  <c r="T118" i="277"/>
  <c r="T93" i="277" s="1"/>
  <c r="T88" i="277" s="1"/>
  <c r="S118" i="277"/>
  <c r="R118" i="277"/>
  <c r="Q118" i="277"/>
  <c r="P118" i="277"/>
  <c r="O118" i="277"/>
  <c r="N118" i="277"/>
  <c r="M118" i="277"/>
  <c r="M93" i="277" s="1"/>
  <c r="M92" i="277" s="1"/>
  <c r="L118" i="277"/>
  <c r="K118" i="277"/>
  <c r="J118" i="277"/>
  <c r="J93" i="277" s="1"/>
  <c r="I118" i="277"/>
  <c r="H118" i="277"/>
  <c r="H93" i="277" s="1"/>
  <c r="H88" i="277" s="1"/>
  <c r="G118" i="277"/>
  <c r="F118" i="277"/>
  <c r="E118" i="277"/>
  <c r="D118" i="277"/>
  <c r="Y111" i="277"/>
  <c r="X111" i="277"/>
  <c r="W111" i="277"/>
  <c r="V111" i="277"/>
  <c r="U111" i="277"/>
  <c r="T111" i="277"/>
  <c r="S111" i="277"/>
  <c r="R111" i="277"/>
  <c r="Q111" i="277"/>
  <c r="P111" i="277"/>
  <c r="O111" i="277"/>
  <c r="N111" i="277"/>
  <c r="M111" i="277"/>
  <c r="L111" i="277"/>
  <c r="K111" i="277"/>
  <c r="Y110" i="277"/>
  <c r="Y106" i="277" s="1"/>
  <c r="X110" i="277"/>
  <c r="X106" i="277" s="1"/>
  <c r="W110" i="277"/>
  <c r="W106" i="277" s="1"/>
  <c r="V110" i="277"/>
  <c r="V106" i="277" s="1"/>
  <c r="U110" i="277"/>
  <c r="U106" i="277" s="1"/>
  <c r="T110" i="277"/>
  <c r="T106" i="277" s="1"/>
  <c r="S110" i="277"/>
  <c r="S106" i="277" s="1"/>
  <c r="R110" i="277"/>
  <c r="R106" i="277" s="1"/>
  <c r="Q110" i="277"/>
  <c r="Q106" i="277" s="1"/>
  <c r="P110" i="277"/>
  <c r="P106" i="277" s="1"/>
  <c r="O110" i="277"/>
  <c r="N110" i="277"/>
  <c r="M110" i="277"/>
  <c r="L110" i="277"/>
  <c r="K110" i="277"/>
  <c r="J110" i="277"/>
  <c r="I110" i="277"/>
  <c r="H110" i="277"/>
  <c r="G110" i="277"/>
  <c r="F110" i="277"/>
  <c r="E110" i="277"/>
  <c r="D110" i="277"/>
  <c r="X93" i="277"/>
  <c r="W93" i="277"/>
  <c r="W92" i="277" s="1"/>
  <c r="W63" i="277" s="1"/>
  <c r="S93" i="277"/>
  <c r="R93" i="277"/>
  <c r="R92" i="277" s="1"/>
  <c r="Q93" i="277"/>
  <c r="Q92" i="277" s="1"/>
  <c r="P93" i="277"/>
  <c r="O93" i="277"/>
  <c r="N93" i="277"/>
  <c r="N92" i="277" s="1"/>
  <c r="N63" i="277" s="1"/>
  <c r="L93" i="277"/>
  <c r="L88" i="277" s="1"/>
  <c r="K93" i="277"/>
  <c r="K92" i="277" s="1"/>
  <c r="K63" i="277" s="1"/>
  <c r="I93" i="277"/>
  <c r="I88" i="277" s="1"/>
  <c r="G93" i="277"/>
  <c r="F93" i="277"/>
  <c r="F92" i="277" s="1"/>
  <c r="E93" i="277"/>
  <c r="D93" i="277"/>
  <c r="Y92" i="277"/>
  <c r="X92" i="277"/>
  <c r="X63" i="277" s="1"/>
  <c r="T92" i="277"/>
  <c r="S92" i="277"/>
  <c r="P92" i="277"/>
  <c r="O92" i="277"/>
  <c r="L92" i="277"/>
  <c r="L63" i="277" s="1"/>
  <c r="G92" i="277"/>
  <c r="E92" i="277"/>
  <c r="D92" i="277"/>
  <c r="S88" i="277"/>
  <c r="R88" i="277"/>
  <c r="P88" i="277"/>
  <c r="O88" i="277"/>
  <c r="M88" i="277"/>
  <c r="K88" i="277"/>
  <c r="G88" i="277"/>
  <c r="F88" i="277"/>
  <c r="E88" i="277"/>
  <c r="D88" i="277"/>
  <c r="Y72" i="277"/>
  <c r="X72" i="277"/>
  <c r="W72" i="277"/>
  <c r="V72" i="277"/>
  <c r="U72" i="277"/>
  <c r="U71" i="277" s="1"/>
  <c r="T72" i="277"/>
  <c r="S72" i="277"/>
  <c r="R72" i="277"/>
  <c r="R63" i="277" s="1"/>
  <c r="Q72" i="277"/>
  <c r="P72" i="277"/>
  <c r="P63" i="277" s="1"/>
  <c r="O72" i="277"/>
  <c r="N72" i="277"/>
  <c r="M72" i="277"/>
  <c r="L72" i="277"/>
  <c r="K72" i="277"/>
  <c r="J72" i="277"/>
  <c r="J71" i="277" s="1"/>
  <c r="I72" i="277"/>
  <c r="H72" i="277"/>
  <c r="G72" i="277"/>
  <c r="F72" i="277"/>
  <c r="F66" i="277" s="1"/>
  <c r="E72" i="277"/>
  <c r="D72" i="277"/>
  <c r="D63" i="277" s="1"/>
  <c r="T71" i="277"/>
  <c r="S71" i="277"/>
  <c r="R71" i="277"/>
  <c r="O71" i="277"/>
  <c r="N71" i="277"/>
  <c r="L71" i="277"/>
  <c r="K71" i="277"/>
  <c r="H71" i="277"/>
  <c r="G71" i="277"/>
  <c r="F71" i="277"/>
  <c r="N66" i="277"/>
  <c r="L66" i="277"/>
  <c r="K66" i="277"/>
  <c r="H66" i="277"/>
  <c r="G66" i="277"/>
  <c r="AD64" i="277"/>
  <c r="Y64" i="277"/>
  <c r="X64" i="277"/>
  <c r="W64" i="277"/>
  <c r="V64" i="277"/>
  <c r="U64" i="277"/>
  <c r="T64" i="277"/>
  <c r="S64" i="277"/>
  <c r="R64" i="277"/>
  <c r="Q64" i="277"/>
  <c r="P64" i="277"/>
  <c r="O64" i="277"/>
  <c r="Y63" i="277"/>
  <c r="S63" i="277"/>
  <c r="O63" i="277"/>
  <c r="G63" i="277"/>
  <c r="F63" i="277"/>
  <c r="AW16" i="277"/>
  <c r="AV16" i="277"/>
  <c r="AU16" i="277"/>
  <c r="AU14" i="277" s="1"/>
  <c r="AT16" i="277"/>
  <c r="V9" i="277" s="1"/>
  <c r="AS16" i="277"/>
  <c r="AR16" i="277"/>
  <c r="AQ16" i="277"/>
  <c r="AP16" i="277"/>
  <c r="R9" i="277" s="1"/>
  <c r="AO16" i="277"/>
  <c r="AO14" i="277" s="1"/>
  <c r="AN16" i="277"/>
  <c r="AM16" i="277"/>
  <c r="O9" i="277" s="1"/>
  <c r="AL16" i="277"/>
  <c r="AK16" i="277"/>
  <c r="AJ16" i="277"/>
  <c r="Y16" i="277"/>
  <c r="Y14" i="277" s="1"/>
  <c r="X16" i="277"/>
  <c r="X12" i="277" s="1"/>
  <c r="W16" i="277"/>
  <c r="W13" i="277" s="1"/>
  <c r="V16" i="277"/>
  <c r="U16" i="277"/>
  <c r="T16" i="277"/>
  <c r="S16" i="277"/>
  <c r="S14" i="277" s="1"/>
  <c r="R16" i="277"/>
  <c r="Q16" i="277"/>
  <c r="Q12" i="277" s="1"/>
  <c r="P16" i="277"/>
  <c r="O16" i="277"/>
  <c r="N16" i="277"/>
  <c r="N13" i="277" s="1"/>
  <c r="M16" i="277"/>
  <c r="M14" i="277" s="1"/>
  <c r="L16" i="277"/>
  <c r="L12" i="277" s="1"/>
  <c r="K16" i="277"/>
  <c r="K13" i="277" s="1"/>
  <c r="J16" i="277"/>
  <c r="I16" i="277"/>
  <c r="H16" i="277"/>
  <c r="G16" i="277"/>
  <c r="G14" i="277" s="1"/>
  <c r="F16" i="277"/>
  <c r="E16" i="277"/>
  <c r="E12" i="277" s="1"/>
  <c r="D16" i="277"/>
  <c r="D13" i="277" s="1"/>
  <c r="AW14" i="277"/>
  <c r="AV14" i="277"/>
  <c r="AT14" i="277"/>
  <c r="AS14" i="277"/>
  <c r="AR14" i="277"/>
  <c r="AQ14" i="277"/>
  <c r="AN14" i="277"/>
  <c r="AK14" i="277"/>
  <c r="AJ14" i="277"/>
  <c r="X14" i="277"/>
  <c r="W14" i="277"/>
  <c r="V14" i="277"/>
  <c r="U14" i="277"/>
  <c r="R14" i="277"/>
  <c r="O14" i="277"/>
  <c r="N14" i="277"/>
  <c r="L14" i="277"/>
  <c r="K14" i="277"/>
  <c r="J14" i="277"/>
  <c r="I14" i="277"/>
  <c r="F14" i="277"/>
  <c r="Y13" i="277"/>
  <c r="X13" i="277"/>
  <c r="V13" i="277"/>
  <c r="U13" i="277"/>
  <c r="S13" i="277"/>
  <c r="R13" i="277"/>
  <c r="O13" i="277"/>
  <c r="M13" i="277"/>
  <c r="L13" i="277"/>
  <c r="J13" i="277"/>
  <c r="I13" i="277"/>
  <c r="G13" i="277"/>
  <c r="F13" i="277"/>
  <c r="Y12" i="277"/>
  <c r="W12" i="277"/>
  <c r="V12" i="277"/>
  <c r="U12" i="277"/>
  <c r="S12" i="277"/>
  <c r="R12" i="277"/>
  <c r="O12" i="277"/>
  <c r="N12" i="277"/>
  <c r="M12" i="277"/>
  <c r="K12" i="277"/>
  <c r="J12" i="277"/>
  <c r="I12" i="277"/>
  <c r="G12" i="277"/>
  <c r="F12" i="277"/>
  <c r="F11" i="277"/>
  <c r="F8" i="277" s="1"/>
  <c r="F15" i="277" s="1"/>
  <c r="E11" i="277"/>
  <c r="E8" i="277" s="1"/>
  <c r="E142" i="277" s="1"/>
  <c r="Y10" i="277"/>
  <c r="X10" i="277"/>
  <c r="W10" i="277"/>
  <c r="Y9" i="277"/>
  <c r="X9" i="277"/>
  <c r="W9" i="277"/>
  <c r="U9" i="277"/>
  <c r="T9" i="277"/>
  <c r="S9" i="277"/>
  <c r="Q9" i="277"/>
  <c r="P9" i="277"/>
  <c r="M9" i="277"/>
  <c r="L9" i="277"/>
  <c r="K9" i="277" s="1"/>
  <c r="J9" i="277" s="1"/>
  <c r="I9" i="277" s="1"/>
  <c r="H9" i="277" s="1"/>
  <c r="G9" i="277" s="1"/>
  <c r="F9" i="277" s="1"/>
  <c r="D9" i="277"/>
  <c r="C6" i="277"/>
  <c r="U4" i="277"/>
  <c r="V4" i="277" s="1"/>
  <c r="W4" i="277" s="1"/>
  <c r="X4" i="277" s="1"/>
  <c r="Y4" i="277" s="1"/>
  <c r="T4" i="277"/>
  <c r="S4" i="277"/>
  <c r="R4" i="277"/>
  <c r="Q4" i="277"/>
  <c r="P4" i="277"/>
  <c r="O4" i="277"/>
  <c r="N4" i="277"/>
  <c r="M4" i="277"/>
  <c r="L4" i="277"/>
  <c r="K4" i="277"/>
  <c r="J4" i="277"/>
  <c r="I4" i="277"/>
  <c r="H4" i="277"/>
  <c r="G4" i="277"/>
  <c r="F4" i="277"/>
  <c r="D4" i="277"/>
  <c r="E4" i="277" s="1"/>
  <c r="AE1" i="277"/>
  <c r="Y1" i="277"/>
  <c r="X1" i="277"/>
  <c r="C1" i="277"/>
  <c r="S1" i="219"/>
  <c r="T1" i="219" s="1"/>
  <c r="R1" i="219"/>
  <c r="C643" i="275"/>
  <c r="C642" i="275"/>
  <c r="C641" i="275"/>
  <c r="C640" i="275"/>
  <c r="C639" i="275"/>
  <c r="C638" i="275"/>
  <c r="C637" i="275"/>
  <c r="C636" i="275"/>
  <c r="C635" i="275"/>
  <c r="C634" i="275"/>
  <c r="C632" i="275"/>
  <c r="C631" i="275"/>
  <c r="C630" i="275"/>
  <c r="C629" i="275"/>
  <c r="C608" i="275"/>
  <c r="C607" i="275"/>
  <c r="C605" i="275"/>
  <c r="C604" i="275"/>
  <c r="C603" i="275"/>
  <c r="C593" i="275"/>
  <c r="C592" i="275"/>
  <c r="C591" i="275"/>
  <c r="C590" i="275"/>
  <c r="C589" i="275"/>
  <c r="C588" i="275"/>
  <c r="C587" i="275"/>
  <c r="C586" i="275"/>
  <c r="C583" i="275"/>
  <c r="C582" i="275"/>
  <c r="R577" i="275"/>
  <c r="Q577" i="275"/>
  <c r="P577" i="275"/>
  <c r="O577" i="275"/>
  <c r="N577" i="275"/>
  <c r="M577" i="275"/>
  <c r="L577" i="275"/>
  <c r="K577" i="275"/>
  <c r="J577" i="275"/>
  <c r="I577" i="275"/>
  <c r="H577" i="275"/>
  <c r="G577" i="275"/>
  <c r="F577" i="275"/>
  <c r="E577" i="275"/>
  <c r="D577" i="275"/>
  <c r="C576" i="275"/>
  <c r="R573" i="275"/>
  <c r="Q573" i="275"/>
  <c r="P573" i="275"/>
  <c r="O573" i="275"/>
  <c r="N573" i="275"/>
  <c r="M573" i="275"/>
  <c r="L573" i="275"/>
  <c r="K573" i="275"/>
  <c r="J573" i="275"/>
  <c r="I573" i="275"/>
  <c r="H573" i="275"/>
  <c r="G573" i="275"/>
  <c r="F573" i="275"/>
  <c r="E573" i="275"/>
  <c r="D573" i="275"/>
  <c r="C572" i="275"/>
  <c r="R569" i="275"/>
  <c r="Q569" i="275"/>
  <c r="P569" i="275"/>
  <c r="O569" i="275"/>
  <c r="N569" i="275"/>
  <c r="M569" i="275"/>
  <c r="L569" i="275"/>
  <c r="K569" i="275"/>
  <c r="J569" i="275"/>
  <c r="I569" i="275"/>
  <c r="H569" i="275"/>
  <c r="G569" i="275"/>
  <c r="F569" i="275"/>
  <c r="E569" i="275"/>
  <c r="D569" i="275"/>
  <c r="C568" i="275"/>
  <c r="R565" i="275"/>
  <c r="Q565" i="275"/>
  <c r="P565" i="275"/>
  <c r="P513" i="275" s="1"/>
  <c r="O565" i="275"/>
  <c r="O513" i="275" s="1"/>
  <c r="N565" i="275"/>
  <c r="N513" i="275" s="1"/>
  <c r="M565" i="275"/>
  <c r="M513" i="275" s="1"/>
  <c r="L565" i="275"/>
  <c r="K565" i="275"/>
  <c r="K513" i="275" s="1"/>
  <c r="J565" i="275"/>
  <c r="I565" i="275"/>
  <c r="H565" i="275"/>
  <c r="G565" i="275"/>
  <c r="F565" i="275"/>
  <c r="E565" i="275"/>
  <c r="D565" i="275"/>
  <c r="D513" i="275" s="1"/>
  <c r="C564" i="275"/>
  <c r="C563" i="275"/>
  <c r="R561" i="275"/>
  <c r="R511" i="275" s="1"/>
  <c r="Q561" i="275"/>
  <c r="P561" i="275"/>
  <c r="O561" i="275"/>
  <c r="N561" i="275"/>
  <c r="M561" i="275"/>
  <c r="L561" i="275"/>
  <c r="K561" i="275"/>
  <c r="J561" i="275"/>
  <c r="I561" i="275"/>
  <c r="I511" i="275" s="1"/>
  <c r="H561" i="275"/>
  <c r="H511" i="275" s="1"/>
  <c r="G561" i="275"/>
  <c r="G511" i="275" s="1"/>
  <c r="F561" i="275"/>
  <c r="F511" i="275" s="1"/>
  <c r="E561" i="275"/>
  <c r="D561" i="275"/>
  <c r="C560" i="275"/>
  <c r="R558" i="275"/>
  <c r="Q558" i="275"/>
  <c r="P558" i="275"/>
  <c r="O558" i="275"/>
  <c r="N558" i="275"/>
  <c r="M558" i="275"/>
  <c r="L558" i="275"/>
  <c r="K558" i="275"/>
  <c r="J558" i="275"/>
  <c r="J512" i="275" s="1"/>
  <c r="I558" i="275"/>
  <c r="H558" i="275"/>
  <c r="G558" i="275"/>
  <c r="F558" i="275"/>
  <c r="E558" i="275"/>
  <c r="D558" i="275"/>
  <c r="R554" i="275"/>
  <c r="Q554" i="275"/>
  <c r="P554" i="275"/>
  <c r="O554" i="275"/>
  <c r="N554" i="275"/>
  <c r="M554" i="275"/>
  <c r="L554" i="275"/>
  <c r="K554" i="275"/>
  <c r="J554" i="275"/>
  <c r="I554" i="275"/>
  <c r="H554" i="275"/>
  <c r="G554" i="275"/>
  <c r="F554" i="275"/>
  <c r="E554" i="275"/>
  <c r="D554" i="275"/>
  <c r="C553" i="275"/>
  <c r="C552" i="275"/>
  <c r="R549" i="275"/>
  <c r="R508" i="275" s="1"/>
  <c r="Q549" i="275"/>
  <c r="P549" i="275"/>
  <c r="P508" i="275" s="1"/>
  <c r="O549" i="275"/>
  <c r="N549" i="275"/>
  <c r="M549" i="275"/>
  <c r="L549" i="275"/>
  <c r="K549" i="275"/>
  <c r="J549" i="275"/>
  <c r="I549" i="275"/>
  <c r="H549" i="275"/>
  <c r="H508" i="275" s="1"/>
  <c r="G549" i="275"/>
  <c r="G508" i="275" s="1"/>
  <c r="F549" i="275"/>
  <c r="F508" i="275" s="1"/>
  <c r="E549" i="275"/>
  <c r="D549" i="275"/>
  <c r="D508" i="275" s="1"/>
  <c r="C548" i="275"/>
  <c r="C545" i="275"/>
  <c r="R543" i="275"/>
  <c r="Q543" i="275"/>
  <c r="P543" i="275"/>
  <c r="O543" i="275"/>
  <c r="N543" i="275"/>
  <c r="M543" i="275"/>
  <c r="L543" i="275"/>
  <c r="K543" i="275"/>
  <c r="J543" i="275"/>
  <c r="I543" i="275"/>
  <c r="H543" i="275"/>
  <c r="G543" i="275"/>
  <c r="F543" i="275"/>
  <c r="E543" i="275"/>
  <c r="D543" i="275"/>
  <c r="C542" i="275"/>
  <c r="C540" i="275"/>
  <c r="C539" i="275"/>
  <c r="R537" i="275"/>
  <c r="Q537" i="275"/>
  <c r="P537" i="275"/>
  <c r="O537" i="275"/>
  <c r="N537" i="275"/>
  <c r="M537" i="275"/>
  <c r="L537" i="275"/>
  <c r="K537" i="275"/>
  <c r="J537" i="275"/>
  <c r="I537" i="275"/>
  <c r="H537" i="275"/>
  <c r="H507" i="275" s="1"/>
  <c r="G537" i="275"/>
  <c r="F537" i="275"/>
  <c r="E537" i="275"/>
  <c r="D537" i="275"/>
  <c r="C536" i="275"/>
  <c r="C534" i="275"/>
  <c r="C533" i="275"/>
  <c r="R531" i="275"/>
  <c r="Q531" i="275"/>
  <c r="P531" i="275"/>
  <c r="O531" i="275"/>
  <c r="N531" i="275"/>
  <c r="N507" i="275" s="1"/>
  <c r="M531" i="275"/>
  <c r="M507" i="275" s="1"/>
  <c r="L531" i="275"/>
  <c r="L507" i="275" s="1"/>
  <c r="K531" i="275"/>
  <c r="K507" i="275" s="1"/>
  <c r="J531" i="275"/>
  <c r="I531" i="275"/>
  <c r="I507" i="275" s="1"/>
  <c r="H531" i="275"/>
  <c r="G531" i="275"/>
  <c r="F531" i="275"/>
  <c r="E531" i="275"/>
  <c r="D531" i="275"/>
  <c r="C530" i="275"/>
  <c r="C528" i="275"/>
  <c r="R526" i="275"/>
  <c r="Q526" i="275"/>
  <c r="P526" i="275"/>
  <c r="P507" i="275" s="1"/>
  <c r="O526" i="275"/>
  <c r="N526" i="275"/>
  <c r="M526" i="275"/>
  <c r="L526" i="275"/>
  <c r="K526" i="275"/>
  <c r="J526" i="275"/>
  <c r="I526" i="275"/>
  <c r="H526" i="275"/>
  <c r="G526" i="275"/>
  <c r="F526" i="275"/>
  <c r="E526" i="275"/>
  <c r="D526" i="275"/>
  <c r="D507" i="275" s="1"/>
  <c r="C525" i="275"/>
  <c r="C523" i="275"/>
  <c r="C522" i="275"/>
  <c r="C518" i="275"/>
  <c r="R515" i="275"/>
  <c r="Q515" i="275"/>
  <c r="P515" i="275"/>
  <c r="O515" i="275"/>
  <c r="N515" i="275"/>
  <c r="M515" i="275"/>
  <c r="L515" i="275"/>
  <c r="K515" i="275"/>
  <c r="J515" i="275"/>
  <c r="I515" i="275"/>
  <c r="H515" i="275"/>
  <c r="G515" i="275"/>
  <c r="F515" i="275"/>
  <c r="E515" i="275"/>
  <c r="D515" i="275"/>
  <c r="R513" i="275"/>
  <c r="Q513" i="275"/>
  <c r="L513" i="275"/>
  <c r="J513" i="275"/>
  <c r="I513" i="275"/>
  <c r="H513" i="275"/>
  <c r="G513" i="275"/>
  <c r="F513" i="275"/>
  <c r="E513" i="275"/>
  <c r="C513" i="275"/>
  <c r="R512" i="275"/>
  <c r="Q512" i="275"/>
  <c r="P512" i="275"/>
  <c r="O512" i="275"/>
  <c r="N512" i="275"/>
  <c r="M512" i="275"/>
  <c r="L512" i="275"/>
  <c r="K512" i="275"/>
  <c r="I512" i="275"/>
  <c r="H512" i="275"/>
  <c r="G512" i="275"/>
  <c r="F512" i="275"/>
  <c r="E512" i="275"/>
  <c r="D512" i="275"/>
  <c r="C512" i="275"/>
  <c r="Q511" i="275"/>
  <c r="P511" i="275"/>
  <c r="O511" i="275"/>
  <c r="N511" i="275"/>
  <c r="M511" i="275"/>
  <c r="L511" i="275"/>
  <c r="K511" i="275"/>
  <c r="J511" i="275"/>
  <c r="E511" i="275"/>
  <c r="D511" i="275"/>
  <c r="C511" i="275"/>
  <c r="R510" i="275"/>
  <c r="Q510" i="275"/>
  <c r="P510" i="275"/>
  <c r="O510" i="275"/>
  <c r="N510" i="275"/>
  <c r="M510" i="275"/>
  <c r="L510" i="275"/>
  <c r="K510" i="275"/>
  <c r="J510" i="275"/>
  <c r="I510" i="275"/>
  <c r="H510" i="275"/>
  <c r="G510" i="275"/>
  <c r="F510" i="275"/>
  <c r="E510" i="275"/>
  <c r="D510" i="275"/>
  <c r="Q508" i="275"/>
  <c r="O508" i="275"/>
  <c r="N508" i="275"/>
  <c r="M508" i="275"/>
  <c r="L508" i="275"/>
  <c r="K508" i="275"/>
  <c r="J508" i="275"/>
  <c r="I508" i="275"/>
  <c r="E508" i="275"/>
  <c r="O507" i="275"/>
  <c r="J507" i="275"/>
  <c r="C505" i="275"/>
  <c r="E486" i="275"/>
  <c r="Y478" i="275"/>
  <c r="X478" i="275"/>
  <c r="W478" i="275"/>
  <c r="V478" i="275"/>
  <c r="U478" i="275"/>
  <c r="T478" i="275"/>
  <c r="S478" i="275"/>
  <c r="R478" i="275"/>
  <c r="Q478" i="275"/>
  <c r="P478" i="275"/>
  <c r="O478" i="275"/>
  <c r="N478" i="275"/>
  <c r="M478" i="275"/>
  <c r="L478" i="275"/>
  <c r="K478" i="275"/>
  <c r="J478" i="275"/>
  <c r="I478" i="275"/>
  <c r="H478" i="275"/>
  <c r="G478" i="275"/>
  <c r="F478" i="275"/>
  <c r="E478" i="275"/>
  <c r="D478" i="275"/>
  <c r="D471" i="275"/>
  <c r="Y465" i="275"/>
  <c r="X465" i="275"/>
  <c r="W465" i="275"/>
  <c r="V465" i="275"/>
  <c r="U465" i="275"/>
  <c r="T465" i="275"/>
  <c r="S465" i="275"/>
  <c r="R465" i="275"/>
  <c r="Q465" i="275"/>
  <c r="P465" i="275"/>
  <c r="O465" i="275"/>
  <c r="N465" i="275"/>
  <c r="M465" i="275"/>
  <c r="L465" i="275"/>
  <c r="K465" i="275"/>
  <c r="J465" i="275"/>
  <c r="I465" i="275"/>
  <c r="H465" i="275"/>
  <c r="G465" i="275"/>
  <c r="F465" i="275"/>
  <c r="E465" i="275"/>
  <c r="D465" i="275"/>
  <c r="O455" i="275"/>
  <c r="N455" i="275"/>
  <c r="M455" i="275"/>
  <c r="L455" i="275"/>
  <c r="K455" i="275"/>
  <c r="J455" i="275"/>
  <c r="I455" i="275"/>
  <c r="H455" i="275"/>
  <c r="G455" i="275"/>
  <c r="F455" i="275"/>
  <c r="E455" i="275"/>
  <c r="D455" i="275"/>
  <c r="O453" i="275"/>
  <c r="N453" i="275"/>
  <c r="M453" i="275"/>
  <c r="L453" i="275"/>
  <c r="K453" i="275"/>
  <c r="J453" i="275"/>
  <c r="I453" i="275"/>
  <c r="H453" i="275"/>
  <c r="G453" i="275"/>
  <c r="F453" i="275"/>
  <c r="E453" i="275"/>
  <c r="D453" i="275"/>
  <c r="O451" i="275"/>
  <c r="N451" i="275"/>
  <c r="M451" i="275"/>
  <c r="L451" i="275"/>
  <c r="K451" i="275"/>
  <c r="J451" i="275"/>
  <c r="I451" i="275"/>
  <c r="H451" i="275"/>
  <c r="G451" i="275"/>
  <c r="F451" i="275"/>
  <c r="E451" i="275"/>
  <c r="D451" i="275"/>
  <c r="Y433" i="275"/>
  <c r="Y488" i="275" s="1"/>
  <c r="X433" i="275"/>
  <c r="X488" i="275" s="1"/>
  <c r="W433" i="275"/>
  <c r="W488" i="275" s="1"/>
  <c r="V433" i="275"/>
  <c r="V488" i="275" s="1"/>
  <c r="U433" i="275"/>
  <c r="U488" i="275" s="1"/>
  <c r="T433" i="275"/>
  <c r="T488" i="275" s="1"/>
  <c r="S433" i="275"/>
  <c r="S488" i="275" s="1"/>
  <c r="R433" i="275"/>
  <c r="R488" i="275" s="1"/>
  <c r="Q433" i="275"/>
  <c r="Q488" i="275" s="1"/>
  <c r="P433" i="275"/>
  <c r="P488" i="275" s="1"/>
  <c r="O433" i="275"/>
  <c r="O488" i="275" s="1"/>
  <c r="N433" i="275"/>
  <c r="N488" i="275" s="1"/>
  <c r="M433" i="275"/>
  <c r="M488" i="275" s="1"/>
  <c r="L433" i="275"/>
  <c r="L488" i="275" s="1"/>
  <c r="K433" i="275"/>
  <c r="K488" i="275" s="1"/>
  <c r="J433" i="275"/>
  <c r="J488" i="275" s="1"/>
  <c r="I433" i="275"/>
  <c r="I488" i="275" s="1"/>
  <c r="H433" i="275"/>
  <c r="H488" i="275" s="1"/>
  <c r="G433" i="275"/>
  <c r="G488" i="275" s="1"/>
  <c r="F433" i="275"/>
  <c r="F488" i="275" s="1"/>
  <c r="E433" i="275"/>
  <c r="E488" i="275" s="1"/>
  <c r="D433" i="275"/>
  <c r="D488" i="275" s="1"/>
  <c r="Y394" i="275"/>
  <c r="Y476" i="275" s="1"/>
  <c r="X394" i="275"/>
  <c r="X476" i="275" s="1"/>
  <c r="W394" i="275"/>
  <c r="V394" i="275"/>
  <c r="U394" i="275"/>
  <c r="T394" i="275"/>
  <c r="S394" i="275"/>
  <c r="R394" i="275"/>
  <c r="R476" i="275" s="1"/>
  <c r="Q394" i="275"/>
  <c r="P394" i="275"/>
  <c r="O394" i="275"/>
  <c r="O476" i="275" s="1"/>
  <c r="N394" i="275"/>
  <c r="N476" i="275" s="1"/>
  <c r="M394" i="275"/>
  <c r="L394" i="275"/>
  <c r="K394" i="275"/>
  <c r="J394" i="275"/>
  <c r="I394" i="275"/>
  <c r="H394" i="275"/>
  <c r="G394" i="275"/>
  <c r="F394" i="275"/>
  <c r="E394" i="275"/>
  <c r="E476" i="275" s="1"/>
  <c r="D394" i="275"/>
  <c r="Y386" i="275"/>
  <c r="X386" i="275"/>
  <c r="W386" i="275"/>
  <c r="V386" i="275"/>
  <c r="U386" i="275"/>
  <c r="T386" i="275"/>
  <c r="S386" i="275"/>
  <c r="R386" i="275"/>
  <c r="Q386" i="275"/>
  <c r="P386" i="275"/>
  <c r="O386" i="275"/>
  <c r="N386" i="275"/>
  <c r="M386" i="275"/>
  <c r="L386" i="275"/>
  <c r="K386" i="275"/>
  <c r="J386" i="275"/>
  <c r="I386" i="275"/>
  <c r="H386" i="275"/>
  <c r="G386" i="275"/>
  <c r="F386" i="275"/>
  <c r="E386" i="275"/>
  <c r="D386" i="275"/>
  <c r="Y383" i="275"/>
  <c r="Y378" i="275" s="1"/>
  <c r="X383" i="275"/>
  <c r="W383" i="275"/>
  <c r="V383" i="275"/>
  <c r="U383" i="275"/>
  <c r="T383" i="275"/>
  <c r="S383" i="275"/>
  <c r="R383" i="275"/>
  <c r="Q383" i="275"/>
  <c r="P383" i="275"/>
  <c r="O383" i="275"/>
  <c r="O378" i="275" s="1"/>
  <c r="N383" i="275"/>
  <c r="M383" i="275"/>
  <c r="L383" i="275"/>
  <c r="K383" i="275"/>
  <c r="J383" i="275"/>
  <c r="I383" i="275"/>
  <c r="H383" i="275"/>
  <c r="G383" i="275"/>
  <c r="F383" i="275"/>
  <c r="F378" i="275" s="1"/>
  <c r="E383" i="275"/>
  <c r="D383" i="275"/>
  <c r="Y379" i="275"/>
  <c r="X379" i="275"/>
  <c r="W379" i="275"/>
  <c r="W378" i="275" s="1"/>
  <c r="V379" i="275"/>
  <c r="U379" i="275"/>
  <c r="T379" i="275"/>
  <c r="S379" i="275"/>
  <c r="R379" i="275"/>
  <c r="Q379" i="275"/>
  <c r="Q378" i="275" s="1"/>
  <c r="P379" i="275"/>
  <c r="O379" i="275"/>
  <c r="N379" i="275"/>
  <c r="M379" i="275"/>
  <c r="L379" i="275"/>
  <c r="L378" i="275" s="1"/>
  <c r="K379" i="275"/>
  <c r="K378" i="275" s="1"/>
  <c r="J379" i="275"/>
  <c r="J378" i="275" s="1"/>
  <c r="I379" i="275"/>
  <c r="I378" i="275" s="1"/>
  <c r="H379" i="275"/>
  <c r="H378" i="275" s="1"/>
  <c r="G379" i="275"/>
  <c r="F379" i="275"/>
  <c r="E379" i="275"/>
  <c r="D379" i="275"/>
  <c r="D378" i="275" s="1"/>
  <c r="X378" i="275"/>
  <c r="V378" i="275"/>
  <c r="U378" i="275"/>
  <c r="T378" i="275"/>
  <c r="N378" i="275"/>
  <c r="M378" i="275"/>
  <c r="Y376" i="275"/>
  <c r="X376" i="275"/>
  <c r="W376" i="275"/>
  <c r="V376" i="275"/>
  <c r="U376" i="275"/>
  <c r="T376" i="275"/>
  <c r="S376" i="275"/>
  <c r="R376" i="275"/>
  <c r="Q376" i="275"/>
  <c r="P376" i="275"/>
  <c r="O376" i="275"/>
  <c r="N376" i="275"/>
  <c r="M376" i="275"/>
  <c r="L376" i="275"/>
  <c r="K376" i="275"/>
  <c r="J376" i="275"/>
  <c r="I376" i="275"/>
  <c r="H376" i="275"/>
  <c r="G376" i="275"/>
  <c r="F376" i="275"/>
  <c r="E376" i="275"/>
  <c r="D376" i="275"/>
  <c r="Y371" i="275"/>
  <c r="X371" i="275"/>
  <c r="W371" i="275"/>
  <c r="V371" i="275"/>
  <c r="U371" i="275"/>
  <c r="T371" i="275"/>
  <c r="S371" i="275"/>
  <c r="R371" i="275"/>
  <c r="Q371" i="275"/>
  <c r="P371" i="275"/>
  <c r="O371" i="275"/>
  <c r="N371" i="275"/>
  <c r="M371" i="275"/>
  <c r="L371" i="275"/>
  <c r="K371" i="275"/>
  <c r="J371" i="275"/>
  <c r="I371" i="275"/>
  <c r="H371" i="275"/>
  <c r="G371" i="275"/>
  <c r="F371" i="275"/>
  <c r="E371" i="275"/>
  <c r="D371" i="275"/>
  <c r="Y368" i="275"/>
  <c r="X368" i="275"/>
  <c r="W368" i="275"/>
  <c r="V368" i="275"/>
  <c r="U368" i="275"/>
  <c r="T368" i="275"/>
  <c r="S368" i="275"/>
  <c r="R368" i="275"/>
  <c r="Q368" i="275"/>
  <c r="P368" i="275"/>
  <c r="O368" i="275"/>
  <c r="N368" i="275"/>
  <c r="M368" i="275"/>
  <c r="L368" i="275"/>
  <c r="K368" i="275"/>
  <c r="J368" i="275"/>
  <c r="I368" i="275"/>
  <c r="H368" i="275"/>
  <c r="G368" i="275"/>
  <c r="F368" i="275"/>
  <c r="E368" i="275"/>
  <c r="D368" i="275"/>
  <c r="Y363" i="275"/>
  <c r="Y486" i="275" s="1"/>
  <c r="X363" i="275"/>
  <c r="X486" i="275" s="1"/>
  <c r="W363" i="275"/>
  <c r="W486" i="275" s="1"/>
  <c r="V363" i="275"/>
  <c r="V486" i="275" s="1"/>
  <c r="U363" i="275"/>
  <c r="U486" i="275" s="1"/>
  <c r="T363" i="275"/>
  <c r="T486" i="275" s="1"/>
  <c r="S363" i="275"/>
  <c r="S486" i="275" s="1"/>
  <c r="R363" i="275"/>
  <c r="R486" i="275" s="1"/>
  <c r="Q363" i="275"/>
  <c r="Q486" i="275" s="1"/>
  <c r="P363" i="275"/>
  <c r="P486" i="275" s="1"/>
  <c r="O363" i="275"/>
  <c r="O486" i="275" s="1"/>
  <c r="N363" i="275"/>
  <c r="N486" i="275" s="1"/>
  <c r="M363" i="275"/>
  <c r="M486" i="275" s="1"/>
  <c r="L363" i="275"/>
  <c r="L486" i="275" s="1"/>
  <c r="K363" i="275"/>
  <c r="K486" i="275" s="1"/>
  <c r="J363" i="275"/>
  <c r="J486" i="275" s="1"/>
  <c r="I363" i="275"/>
  <c r="I486" i="275" s="1"/>
  <c r="H363" i="275"/>
  <c r="H486" i="275" s="1"/>
  <c r="G363" i="275"/>
  <c r="G486" i="275" s="1"/>
  <c r="F363" i="275"/>
  <c r="F486" i="275" s="1"/>
  <c r="E363" i="275"/>
  <c r="D363" i="275"/>
  <c r="D486" i="275" s="1"/>
  <c r="Y358" i="275"/>
  <c r="Y490" i="275" s="1"/>
  <c r="X358" i="275"/>
  <c r="X490" i="275" s="1"/>
  <c r="W358" i="275"/>
  <c r="W490" i="275" s="1"/>
  <c r="W1" i="275" s="1"/>
  <c r="V358" i="275"/>
  <c r="V490" i="275" s="1"/>
  <c r="V2" i="275" s="1"/>
  <c r="U358" i="275"/>
  <c r="U490" i="275" s="1"/>
  <c r="T358" i="275"/>
  <c r="T490" i="275" s="1"/>
  <c r="S358" i="275"/>
  <c r="S490" i="275" s="1"/>
  <c r="R358" i="275"/>
  <c r="R490" i="275" s="1"/>
  <c r="Q358" i="275"/>
  <c r="Q490" i="275" s="1"/>
  <c r="P358" i="275"/>
  <c r="P490" i="275" s="1"/>
  <c r="O358" i="275"/>
  <c r="O490" i="275" s="1"/>
  <c r="N358" i="275"/>
  <c r="N490" i="275" s="1"/>
  <c r="M358" i="275"/>
  <c r="M490" i="275" s="1"/>
  <c r="L358" i="275"/>
  <c r="L10" i="275" s="1"/>
  <c r="K358" i="275"/>
  <c r="K490" i="275" s="1"/>
  <c r="J358" i="275"/>
  <c r="J490" i="275" s="1"/>
  <c r="I358" i="275"/>
  <c r="I490" i="275" s="1"/>
  <c r="H358" i="275"/>
  <c r="H490" i="275" s="1"/>
  <c r="G358" i="275"/>
  <c r="G490" i="275" s="1"/>
  <c r="G1" i="275" s="1"/>
  <c r="F358" i="275"/>
  <c r="F490" i="275" s="1"/>
  <c r="F1" i="275" s="1"/>
  <c r="E358" i="275"/>
  <c r="E490" i="275" s="1"/>
  <c r="E1" i="275" s="1"/>
  <c r="D358" i="275"/>
  <c r="D490" i="275" s="1"/>
  <c r="D1" i="275" s="1"/>
  <c r="U357" i="275"/>
  <c r="Y351" i="275"/>
  <c r="X351" i="275"/>
  <c r="W351" i="275"/>
  <c r="V351" i="275"/>
  <c r="U351" i="275"/>
  <c r="T351" i="275"/>
  <c r="S351" i="275"/>
  <c r="R351" i="275"/>
  <c r="Q351" i="275"/>
  <c r="P351" i="275"/>
  <c r="O351" i="275"/>
  <c r="N351" i="275"/>
  <c r="M351" i="275"/>
  <c r="L351" i="275"/>
  <c r="K351" i="275"/>
  <c r="J351" i="275"/>
  <c r="I351" i="275"/>
  <c r="H351" i="275"/>
  <c r="G351" i="275"/>
  <c r="F351" i="275"/>
  <c r="F357" i="275" s="1"/>
  <c r="E351" i="275"/>
  <c r="D351" i="275"/>
  <c r="Y348" i="275"/>
  <c r="Y357" i="275" s="1"/>
  <c r="X348" i="275"/>
  <c r="X357" i="275" s="1"/>
  <c r="W348" i="275"/>
  <c r="W357" i="275" s="1"/>
  <c r="V348" i="275"/>
  <c r="V357" i="275" s="1"/>
  <c r="U348" i="275"/>
  <c r="T348" i="275"/>
  <c r="S348" i="275"/>
  <c r="R348" i="275"/>
  <c r="Q348" i="275"/>
  <c r="P348" i="275"/>
  <c r="O348" i="275"/>
  <c r="O357" i="275" s="1"/>
  <c r="N348" i="275"/>
  <c r="N357" i="275" s="1"/>
  <c r="M348" i="275"/>
  <c r="M357" i="275" s="1"/>
  <c r="L348" i="275"/>
  <c r="L357" i="275" s="1"/>
  <c r="K348" i="275"/>
  <c r="J348" i="275"/>
  <c r="I348" i="275"/>
  <c r="H348" i="275"/>
  <c r="G348" i="275"/>
  <c r="F348" i="275"/>
  <c r="E348" i="275"/>
  <c r="D348" i="275"/>
  <c r="Y339" i="275"/>
  <c r="Y194" i="275" s="1"/>
  <c r="X339" i="275"/>
  <c r="X194" i="275" s="1"/>
  <c r="W339" i="275"/>
  <c r="V339" i="275"/>
  <c r="U339" i="275"/>
  <c r="U194" i="275" s="1"/>
  <c r="T339" i="275"/>
  <c r="S339" i="275"/>
  <c r="S194" i="275" s="1"/>
  <c r="R339" i="275"/>
  <c r="R194" i="275" s="1"/>
  <c r="Q339" i="275"/>
  <c r="Q194" i="275" s="1"/>
  <c r="P339" i="275"/>
  <c r="P194" i="275" s="1"/>
  <c r="O339" i="275"/>
  <c r="O194" i="275" s="1"/>
  <c r="N339" i="275"/>
  <c r="N194" i="275" s="1"/>
  <c r="M339" i="275"/>
  <c r="L339" i="275"/>
  <c r="L194" i="275" s="1"/>
  <c r="K339" i="275"/>
  <c r="K156" i="275" s="1"/>
  <c r="J339" i="275"/>
  <c r="I339" i="275"/>
  <c r="I194" i="275" s="1"/>
  <c r="H339" i="275"/>
  <c r="H194" i="275" s="1"/>
  <c r="G339" i="275"/>
  <c r="G194" i="275" s="1"/>
  <c r="F339" i="275"/>
  <c r="F156" i="275" s="1"/>
  <c r="E339" i="275"/>
  <c r="E194" i="275" s="1"/>
  <c r="D339" i="275"/>
  <c r="D194" i="275" s="1"/>
  <c r="Y332" i="275"/>
  <c r="X332" i="275"/>
  <c r="W332" i="275"/>
  <c r="V332" i="275"/>
  <c r="U332" i="275"/>
  <c r="U331" i="275" s="1"/>
  <c r="T332" i="275"/>
  <c r="T331" i="275" s="1"/>
  <c r="S332" i="275"/>
  <c r="S331" i="275" s="1"/>
  <c r="R332" i="275"/>
  <c r="R331" i="275" s="1"/>
  <c r="Q332" i="275"/>
  <c r="Q331" i="275" s="1"/>
  <c r="P332" i="275"/>
  <c r="P331" i="275" s="1"/>
  <c r="O332" i="275"/>
  <c r="N332" i="275"/>
  <c r="M332" i="275"/>
  <c r="M331" i="275" s="1"/>
  <c r="L332" i="275"/>
  <c r="K332" i="275"/>
  <c r="J332" i="275"/>
  <c r="J194" i="275" s="1"/>
  <c r="I332" i="275"/>
  <c r="H332" i="275"/>
  <c r="G332" i="275"/>
  <c r="F332" i="275"/>
  <c r="E332" i="275"/>
  <c r="D332" i="275"/>
  <c r="O331" i="275"/>
  <c r="N331" i="275"/>
  <c r="Y328" i="275"/>
  <c r="X328" i="275"/>
  <c r="W328" i="275"/>
  <c r="V328" i="275"/>
  <c r="U328" i="275"/>
  <c r="T328" i="275"/>
  <c r="S328" i="275"/>
  <c r="R328" i="275"/>
  <c r="Q328" i="275"/>
  <c r="P328" i="275"/>
  <c r="O328" i="275"/>
  <c r="N328" i="275"/>
  <c r="M328" i="275"/>
  <c r="L328" i="275"/>
  <c r="K328" i="275"/>
  <c r="J328" i="275"/>
  <c r="I328" i="275"/>
  <c r="H328" i="275"/>
  <c r="G328" i="275"/>
  <c r="F328" i="275"/>
  <c r="F325" i="275" s="1"/>
  <c r="F505" i="275" s="1"/>
  <c r="E328" i="275"/>
  <c r="D328" i="275"/>
  <c r="Y326" i="275"/>
  <c r="Y325" i="275" s="1"/>
  <c r="X326" i="275"/>
  <c r="W326" i="275"/>
  <c r="W325" i="275" s="1"/>
  <c r="V326" i="275"/>
  <c r="V325" i="275" s="1"/>
  <c r="U326" i="275"/>
  <c r="T326" i="275"/>
  <c r="T325" i="275" s="1"/>
  <c r="S326" i="275"/>
  <c r="S325" i="275" s="1"/>
  <c r="R326" i="275"/>
  <c r="R325" i="275" s="1"/>
  <c r="R505" i="275" s="1"/>
  <c r="Q326" i="275"/>
  <c r="Q325" i="275" s="1"/>
  <c r="Q505" i="275" s="1"/>
  <c r="P326" i="275"/>
  <c r="P325" i="275" s="1"/>
  <c r="P505" i="275" s="1"/>
  <c r="O326" i="275"/>
  <c r="O325" i="275" s="1"/>
  <c r="O505" i="275" s="1"/>
  <c r="O514" i="275" s="1"/>
  <c r="O516" i="275" s="1"/>
  <c r="O519" i="275" s="1"/>
  <c r="N326" i="275"/>
  <c r="N325" i="275" s="1"/>
  <c r="N505" i="275" s="1"/>
  <c r="M326" i="275"/>
  <c r="L326" i="275"/>
  <c r="K326" i="275"/>
  <c r="K325" i="275" s="1"/>
  <c r="K505" i="275" s="1"/>
  <c r="J326" i="275"/>
  <c r="J325" i="275" s="1"/>
  <c r="J505" i="275" s="1"/>
  <c r="I326" i="275"/>
  <c r="I325" i="275" s="1"/>
  <c r="I505" i="275" s="1"/>
  <c r="I514" i="275" s="1"/>
  <c r="I516" i="275" s="1"/>
  <c r="I519" i="275" s="1"/>
  <c r="H326" i="275"/>
  <c r="H325" i="275" s="1"/>
  <c r="H505" i="275" s="1"/>
  <c r="G326" i="275"/>
  <c r="G325" i="275" s="1"/>
  <c r="G505" i="275" s="1"/>
  <c r="F326" i="275"/>
  <c r="E326" i="275"/>
  <c r="D326" i="275"/>
  <c r="X325" i="275"/>
  <c r="U325" i="275"/>
  <c r="M325" i="275"/>
  <c r="M505" i="275" s="1"/>
  <c r="L325" i="275"/>
  <c r="L505" i="275" s="1"/>
  <c r="L514" i="275" s="1"/>
  <c r="L516" i="275" s="1"/>
  <c r="L519" i="275" s="1"/>
  <c r="Y320" i="275"/>
  <c r="X320" i="275"/>
  <c r="W320" i="275"/>
  <c r="V320" i="275"/>
  <c r="U320" i="275"/>
  <c r="T320" i="275"/>
  <c r="S320" i="275"/>
  <c r="R320" i="275"/>
  <c r="Q320" i="275"/>
  <c r="P320" i="275"/>
  <c r="O320" i="275"/>
  <c r="N320" i="275"/>
  <c r="M320" i="275"/>
  <c r="L320" i="275"/>
  <c r="K320" i="275"/>
  <c r="J320" i="275"/>
  <c r="I320" i="275"/>
  <c r="H320" i="275"/>
  <c r="G320" i="275"/>
  <c r="F320" i="275"/>
  <c r="E320" i="275"/>
  <c r="D320" i="275"/>
  <c r="Y315" i="275"/>
  <c r="X315" i="275"/>
  <c r="W315" i="275"/>
  <c r="V315" i="275"/>
  <c r="U315" i="275"/>
  <c r="T315" i="275"/>
  <c r="S315" i="275"/>
  <c r="R315" i="275"/>
  <c r="Q315" i="275"/>
  <c r="P315" i="275"/>
  <c r="P11" i="275" s="1"/>
  <c r="O315" i="275"/>
  <c r="N315" i="275"/>
  <c r="M315" i="275"/>
  <c r="L315" i="275"/>
  <c r="K315" i="275"/>
  <c r="J315" i="275"/>
  <c r="I315" i="275"/>
  <c r="H315" i="275"/>
  <c r="G315" i="275"/>
  <c r="F315" i="275"/>
  <c r="F11" i="275" s="1"/>
  <c r="E315" i="275"/>
  <c r="D315" i="275"/>
  <c r="C302" i="275"/>
  <c r="C298" i="275"/>
  <c r="U211" i="275"/>
  <c r="T211" i="275"/>
  <c r="S211" i="275"/>
  <c r="R211" i="275"/>
  <c r="Q211" i="275"/>
  <c r="O211" i="275"/>
  <c r="N211" i="275"/>
  <c r="M211" i="275"/>
  <c r="L211" i="275"/>
  <c r="K211" i="275"/>
  <c r="J211" i="275"/>
  <c r="I211" i="275"/>
  <c r="H211" i="275"/>
  <c r="G211" i="275"/>
  <c r="F211" i="275"/>
  <c r="E211" i="275"/>
  <c r="D211" i="275"/>
  <c r="W194" i="275"/>
  <c r="V194" i="275"/>
  <c r="M194" i="275"/>
  <c r="K194" i="275"/>
  <c r="Y158" i="275"/>
  <c r="X158" i="275"/>
  <c r="W158" i="275"/>
  <c r="V158" i="275"/>
  <c r="U158" i="275"/>
  <c r="T158" i="275"/>
  <c r="S158" i="275"/>
  <c r="R158" i="275"/>
  <c r="Q158" i="275"/>
  <c r="P158" i="275"/>
  <c r="O158" i="275"/>
  <c r="N158" i="275"/>
  <c r="M158" i="275"/>
  <c r="L158" i="275"/>
  <c r="K158" i="275"/>
  <c r="J158" i="275"/>
  <c r="I158" i="275"/>
  <c r="H158" i="275"/>
  <c r="G158" i="275"/>
  <c r="F158" i="275"/>
  <c r="E158" i="275"/>
  <c r="D158" i="275"/>
  <c r="J156" i="275"/>
  <c r="C151" i="275"/>
  <c r="Y149" i="275"/>
  <c r="X149" i="275"/>
  <c r="W149" i="275"/>
  <c r="V149" i="275"/>
  <c r="U149" i="275"/>
  <c r="T149" i="275"/>
  <c r="S149" i="275"/>
  <c r="R149" i="275"/>
  <c r="Q149" i="275"/>
  <c r="P149" i="275"/>
  <c r="O149" i="275"/>
  <c r="N149" i="275"/>
  <c r="Y118" i="275"/>
  <c r="X118" i="275"/>
  <c r="X93" i="275" s="1"/>
  <c r="W118" i="275"/>
  <c r="W93" i="275" s="1"/>
  <c r="V118" i="275"/>
  <c r="U118" i="275"/>
  <c r="U93" i="275" s="1"/>
  <c r="T118" i="275"/>
  <c r="T93" i="275" s="1"/>
  <c r="S118" i="275"/>
  <c r="R118" i="275"/>
  <c r="Q118" i="275"/>
  <c r="P118" i="275"/>
  <c r="O118" i="275"/>
  <c r="N118" i="275"/>
  <c r="M118" i="275"/>
  <c r="L118" i="275"/>
  <c r="L93" i="275" s="1"/>
  <c r="L88" i="275" s="1"/>
  <c r="K118" i="275"/>
  <c r="K93" i="275" s="1"/>
  <c r="J118" i="275"/>
  <c r="I118" i="275"/>
  <c r="I93" i="275" s="1"/>
  <c r="H118" i="275"/>
  <c r="H93" i="275" s="1"/>
  <c r="G118" i="275"/>
  <c r="F118" i="275"/>
  <c r="E118" i="275"/>
  <c r="D118" i="275"/>
  <c r="Y111" i="275"/>
  <c r="X111" i="275"/>
  <c r="W111" i="275"/>
  <c r="V111" i="275"/>
  <c r="U111" i="275"/>
  <c r="T111" i="275"/>
  <c r="S111" i="275"/>
  <c r="R111" i="275"/>
  <c r="Q111" i="275"/>
  <c r="P111" i="275"/>
  <c r="O111" i="275"/>
  <c r="N111" i="275"/>
  <c r="M111" i="275"/>
  <c r="L111" i="275"/>
  <c r="K111" i="275"/>
  <c r="Y110" i="275"/>
  <c r="Y106" i="275" s="1"/>
  <c r="X110" i="275"/>
  <c r="X106" i="275" s="1"/>
  <c r="W110" i="275"/>
  <c r="V110" i="275"/>
  <c r="U110" i="275"/>
  <c r="T110" i="275"/>
  <c r="T106" i="275" s="1"/>
  <c r="S110" i="275"/>
  <c r="S106" i="275" s="1"/>
  <c r="R110" i="275"/>
  <c r="R106" i="275" s="1"/>
  <c r="Q110" i="275"/>
  <c r="Q106" i="275" s="1"/>
  <c r="P110" i="275"/>
  <c r="P106" i="275" s="1"/>
  <c r="O110" i="275"/>
  <c r="N110" i="275"/>
  <c r="M110" i="275"/>
  <c r="L110" i="275"/>
  <c r="K110" i="275"/>
  <c r="J110" i="275"/>
  <c r="I110" i="275"/>
  <c r="H110" i="275"/>
  <c r="G110" i="275"/>
  <c r="F110" i="275"/>
  <c r="E110" i="275"/>
  <c r="D110" i="275"/>
  <c r="W106" i="275"/>
  <c r="V106" i="275"/>
  <c r="U106" i="275"/>
  <c r="Y93" i="275"/>
  <c r="V93" i="275"/>
  <c r="V92" i="275" s="1"/>
  <c r="S93" i="275"/>
  <c r="S92" i="275" s="1"/>
  <c r="R93" i="275"/>
  <c r="Q93" i="275"/>
  <c r="P93" i="275"/>
  <c r="P88" i="275" s="1"/>
  <c r="O93" i="275"/>
  <c r="N93" i="275"/>
  <c r="M93" i="275"/>
  <c r="M92" i="275" s="1"/>
  <c r="M63" i="275" s="1"/>
  <c r="J93" i="275"/>
  <c r="J92" i="275" s="1"/>
  <c r="G93" i="275"/>
  <c r="G92" i="275" s="1"/>
  <c r="F93" i="275"/>
  <c r="F92" i="275" s="1"/>
  <c r="E93" i="275"/>
  <c r="D93" i="275"/>
  <c r="Y92" i="275"/>
  <c r="Y63" i="275" s="1"/>
  <c r="U92" i="275"/>
  <c r="U63" i="275" s="1"/>
  <c r="T92" i="275"/>
  <c r="P92" i="275"/>
  <c r="O92" i="275"/>
  <c r="N92" i="275"/>
  <c r="K92" i="275"/>
  <c r="K63" i="275" s="1"/>
  <c r="I92" i="275"/>
  <c r="H92" i="275"/>
  <c r="E92" i="275"/>
  <c r="U88" i="275"/>
  <c r="T88" i="275"/>
  <c r="S88" i="275"/>
  <c r="O88" i="275"/>
  <c r="N88" i="275"/>
  <c r="M88" i="275"/>
  <c r="Y72" i="275"/>
  <c r="X72" i="275"/>
  <c r="W72" i="275"/>
  <c r="V72" i="275"/>
  <c r="U72" i="275"/>
  <c r="T72" i="275"/>
  <c r="S72" i="275"/>
  <c r="R72" i="275"/>
  <c r="R71" i="275" s="1"/>
  <c r="Q72" i="275"/>
  <c r="P72" i="275"/>
  <c r="P71" i="275" s="1"/>
  <c r="O72" i="275"/>
  <c r="N72" i="275"/>
  <c r="M72" i="275"/>
  <c r="L72" i="275"/>
  <c r="K72" i="275"/>
  <c r="K66" i="275" s="1"/>
  <c r="J72" i="275"/>
  <c r="I72" i="275"/>
  <c r="H72" i="275"/>
  <c r="G72" i="275"/>
  <c r="F72" i="275"/>
  <c r="E72" i="275"/>
  <c r="D72" i="275"/>
  <c r="U71" i="275"/>
  <c r="T71" i="275"/>
  <c r="S71" i="275"/>
  <c r="M71" i="275"/>
  <c r="L71" i="275"/>
  <c r="D71" i="275"/>
  <c r="D69" i="275" s="1"/>
  <c r="M66" i="275"/>
  <c r="I66" i="275"/>
  <c r="H66" i="275"/>
  <c r="G66" i="275"/>
  <c r="AD64" i="275"/>
  <c r="Y64" i="275"/>
  <c r="X64" i="275"/>
  <c r="W64" i="275"/>
  <c r="V64" i="275"/>
  <c r="U64" i="275"/>
  <c r="T64" i="275"/>
  <c r="S64" i="275"/>
  <c r="R64" i="275"/>
  <c r="Q64" i="275"/>
  <c r="P64" i="275"/>
  <c r="O64" i="275"/>
  <c r="T63" i="275"/>
  <c r="S63" i="275"/>
  <c r="N63" i="275"/>
  <c r="I63" i="275"/>
  <c r="H63" i="275"/>
  <c r="G63" i="275"/>
  <c r="D51" i="275"/>
  <c r="AW16" i="275"/>
  <c r="AV16" i="275"/>
  <c r="AU16" i="275"/>
  <c r="AT16" i="275"/>
  <c r="AT14" i="275" s="1"/>
  <c r="AS16" i="275"/>
  <c r="AS14" i="275" s="1"/>
  <c r="AR16" i="275"/>
  <c r="AQ16" i="275"/>
  <c r="AP16" i="275"/>
  <c r="AO16" i="275"/>
  <c r="AN16" i="275"/>
  <c r="AN14" i="275" s="1"/>
  <c r="AM16" i="275"/>
  <c r="AL16" i="275"/>
  <c r="AK16" i="275"/>
  <c r="AJ16" i="275"/>
  <c r="Y16" i="275"/>
  <c r="X16" i="275"/>
  <c r="X14" i="275" s="1"/>
  <c r="W16" i="275"/>
  <c r="W13" i="275" s="1"/>
  <c r="V16" i="275"/>
  <c r="U16" i="275"/>
  <c r="T16" i="275"/>
  <c r="S16" i="275"/>
  <c r="R16" i="275"/>
  <c r="R13" i="275" s="1"/>
  <c r="Q16" i="275"/>
  <c r="Q13" i="275" s="1"/>
  <c r="P16" i="275"/>
  <c r="O16" i="275"/>
  <c r="N16" i="275"/>
  <c r="M16" i="275"/>
  <c r="L16" i="275"/>
  <c r="L14" i="275" s="1"/>
  <c r="K16" i="275"/>
  <c r="K13" i="275" s="1"/>
  <c r="J16" i="275"/>
  <c r="I16" i="275"/>
  <c r="H16" i="275"/>
  <c r="G16" i="275"/>
  <c r="F16" i="275"/>
  <c r="F13" i="275" s="1"/>
  <c r="E16" i="275"/>
  <c r="E13" i="275" s="1"/>
  <c r="D16" i="275"/>
  <c r="AW14" i="275"/>
  <c r="AV14" i="275"/>
  <c r="AU14" i="275"/>
  <c r="AR14" i="275"/>
  <c r="AQ14" i="275"/>
  <c r="AP14" i="275"/>
  <c r="AM14" i="275"/>
  <c r="AK14" i="275"/>
  <c r="AJ14" i="275"/>
  <c r="Y14" i="275"/>
  <c r="V14" i="275"/>
  <c r="U14" i="275"/>
  <c r="T14" i="275"/>
  <c r="Q14" i="275"/>
  <c r="O14" i="275"/>
  <c r="N14" i="275"/>
  <c r="M14" i="275"/>
  <c r="J14" i="275"/>
  <c r="I14" i="275"/>
  <c r="H14" i="275"/>
  <c r="Y13" i="275"/>
  <c r="X13" i="275"/>
  <c r="V13" i="275"/>
  <c r="U13" i="275"/>
  <c r="T13" i="275"/>
  <c r="O13" i="275"/>
  <c r="N13" i="275"/>
  <c r="M13" i="275"/>
  <c r="L13" i="275"/>
  <c r="J13" i="275"/>
  <c r="I13" i="275"/>
  <c r="H13" i="275"/>
  <c r="Y12" i="275"/>
  <c r="X12" i="275"/>
  <c r="W12" i="275"/>
  <c r="V12" i="275"/>
  <c r="U12" i="275"/>
  <c r="T12" i="275"/>
  <c r="R12" i="275"/>
  <c r="O12" i="275"/>
  <c r="N12" i="275"/>
  <c r="M12" i="275"/>
  <c r="L12" i="275"/>
  <c r="K12" i="275"/>
  <c r="J12" i="275"/>
  <c r="I12" i="275"/>
  <c r="H12" i="275"/>
  <c r="F12" i="275"/>
  <c r="E12" i="275"/>
  <c r="Y11" i="275"/>
  <c r="X11" i="275"/>
  <c r="X8" i="275" s="1"/>
  <c r="U11" i="275"/>
  <c r="T11" i="275"/>
  <c r="T8" i="275" s="1"/>
  <c r="T79" i="275" s="1"/>
  <c r="S11" i="275"/>
  <c r="S8" i="275" s="1"/>
  <c r="R11" i="275"/>
  <c r="R121" i="275" s="1"/>
  <c r="Q11" i="275"/>
  <c r="Q8" i="275" s="1"/>
  <c r="O11" i="275"/>
  <c r="N11" i="275"/>
  <c r="N8" i="275" s="1"/>
  <c r="N79" i="275" s="1"/>
  <c r="M11" i="275"/>
  <c r="M8" i="275" s="1"/>
  <c r="M142" i="275" s="1"/>
  <c r="K11" i="275"/>
  <c r="J11" i="275"/>
  <c r="I11" i="275"/>
  <c r="Y10" i="275"/>
  <c r="X10" i="275"/>
  <c r="W10" i="275"/>
  <c r="V10" i="275"/>
  <c r="Y9" i="275"/>
  <c r="X9" i="275"/>
  <c r="W9" i="275"/>
  <c r="V9" i="275"/>
  <c r="U9" i="275"/>
  <c r="T9" i="275"/>
  <c r="S9" i="275"/>
  <c r="R9" i="275"/>
  <c r="P9" i="275"/>
  <c r="O9" i="275"/>
  <c r="M9" i="275"/>
  <c r="L9" i="275" s="1"/>
  <c r="K9" i="275" s="1"/>
  <c r="J9" i="275" s="1"/>
  <c r="I9" i="275" s="1"/>
  <c r="H9" i="275" s="1"/>
  <c r="G9" i="275" s="1"/>
  <c r="F9" i="275" s="1"/>
  <c r="D9" i="275"/>
  <c r="C6" i="275"/>
  <c r="W4" i="275"/>
  <c r="X4" i="275" s="1"/>
  <c r="Y4" i="275" s="1"/>
  <c r="V4" i="275"/>
  <c r="U4" i="275"/>
  <c r="T4" i="275"/>
  <c r="S4" i="275"/>
  <c r="R4" i="275"/>
  <c r="Q4" i="275"/>
  <c r="P4" i="275"/>
  <c r="O4" i="275"/>
  <c r="N4" i="275"/>
  <c r="M4" i="275"/>
  <c r="L4" i="275"/>
  <c r="K4" i="275"/>
  <c r="J4" i="275"/>
  <c r="I4" i="275"/>
  <c r="H4" i="275"/>
  <c r="G4" i="275"/>
  <c r="F4" i="275"/>
  <c r="D4" i="275"/>
  <c r="E4" i="275" s="1"/>
  <c r="W2" i="275"/>
  <c r="K2" i="275"/>
  <c r="J2" i="275"/>
  <c r="I2" i="275"/>
  <c r="H2" i="275"/>
  <c r="G2" i="275"/>
  <c r="F2" i="275"/>
  <c r="E2" i="275"/>
  <c r="D2" i="275"/>
  <c r="AE1" i="275"/>
  <c r="K1" i="275"/>
  <c r="J1" i="275"/>
  <c r="I1" i="275"/>
  <c r="H1" i="275"/>
  <c r="C1" i="275"/>
  <c r="AD64" i="112"/>
  <c r="R152" i="6"/>
  <c r="Q152" i="6"/>
  <c r="P152" i="6"/>
  <c r="R151" i="6"/>
  <c r="Q151" i="6"/>
  <c r="P151" i="6"/>
  <c r="R150" i="6"/>
  <c r="Q150" i="6"/>
  <c r="P150" i="6"/>
  <c r="R149" i="6"/>
  <c r="Q149" i="6"/>
  <c r="P149" i="6"/>
  <c r="R148" i="6"/>
  <c r="Q148" i="6"/>
  <c r="P148" i="6"/>
  <c r="R147" i="6"/>
  <c r="Q147" i="6"/>
  <c r="P147" i="6"/>
  <c r="R146" i="6"/>
  <c r="Q146" i="6"/>
  <c r="P146" i="6"/>
  <c r="R145" i="6"/>
  <c r="Q145" i="6"/>
  <c r="P145" i="6"/>
  <c r="R144" i="6"/>
  <c r="Q144" i="6"/>
  <c r="P144" i="6"/>
  <c r="R143" i="6"/>
  <c r="Q143" i="6"/>
  <c r="P143" i="6"/>
  <c r="R142" i="6"/>
  <c r="Q142" i="6"/>
  <c r="P142" i="6"/>
  <c r="R141" i="6"/>
  <c r="Q141" i="6"/>
  <c r="P141" i="6"/>
  <c r="R140" i="6"/>
  <c r="Q140" i="6"/>
  <c r="P140" i="6"/>
  <c r="R139" i="6"/>
  <c r="Q139" i="6"/>
  <c r="P139" i="6"/>
  <c r="R138" i="6"/>
  <c r="Q138" i="6"/>
  <c r="P138" i="6"/>
  <c r="R137" i="6"/>
  <c r="Q137" i="6"/>
  <c r="P137" i="6"/>
  <c r="R136" i="6"/>
  <c r="Q136" i="6"/>
  <c r="P136" i="6"/>
  <c r="R135" i="6"/>
  <c r="Q135" i="6"/>
  <c r="P135" i="6"/>
  <c r="R134" i="6"/>
  <c r="Q134" i="6"/>
  <c r="P134" i="6"/>
  <c r="R133" i="6"/>
  <c r="Q133" i="6"/>
  <c r="P133" i="6"/>
  <c r="R131" i="6"/>
  <c r="Q131" i="6"/>
  <c r="P131" i="6"/>
  <c r="R130" i="6"/>
  <c r="Q130" i="6"/>
  <c r="P130" i="6"/>
  <c r="R129" i="6"/>
  <c r="Q129" i="6"/>
  <c r="P129" i="6"/>
  <c r="R128" i="6"/>
  <c r="Q128" i="6"/>
  <c r="P128" i="6"/>
  <c r="R127" i="6"/>
  <c r="Q127" i="6"/>
  <c r="P127" i="6"/>
  <c r="R126" i="6"/>
  <c r="Q126" i="6"/>
  <c r="P126" i="6"/>
  <c r="R125" i="6"/>
  <c r="Q125" i="6"/>
  <c r="P125" i="6"/>
  <c r="R124" i="6"/>
  <c r="Q124" i="6"/>
  <c r="P124" i="6"/>
  <c r="R123" i="6"/>
  <c r="Q123" i="6"/>
  <c r="P123" i="6"/>
  <c r="R121" i="6"/>
  <c r="Q121" i="6"/>
  <c r="P121" i="6"/>
  <c r="R120" i="6"/>
  <c r="Q120" i="6"/>
  <c r="P120" i="6"/>
  <c r="R119" i="6"/>
  <c r="Q119" i="6"/>
  <c r="P119" i="6"/>
  <c r="R118" i="6"/>
  <c r="Q118" i="6"/>
  <c r="P118" i="6"/>
  <c r="R117" i="6"/>
  <c r="Q117" i="6"/>
  <c r="P117" i="6"/>
  <c r="R116" i="6"/>
  <c r="Q116" i="6"/>
  <c r="P116" i="6"/>
  <c r="R115" i="6"/>
  <c r="Q115" i="6"/>
  <c r="P115" i="6"/>
  <c r="R114" i="6"/>
  <c r="Q114" i="6"/>
  <c r="P114" i="6"/>
  <c r="R113" i="6"/>
  <c r="Q113" i="6"/>
  <c r="P113" i="6"/>
  <c r="R112" i="6"/>
  <c r="Q112" i="6"/>
  <c r="P112" i="6"/>
  <c r="R111" i="6"/>
  <c r="Q111" i="6"/>
  <c r="P111" i="6"/>
  <c r="R110" i="6"/>
  <c r="Q110" i="6"/>
  <c r="P110" i="6"/>
  <c r="R109" i="6"/>
  <c r="Q109" i="6"/>
  <c r="P109" i="6"/>
  <c r="R108" i="6"/>
  <c r="Q108" i="6"/>
  <c r="P108" i="6"/>
  <c r="R107" i="6"/>
  <c r="Q107" i="6"/>
  <c r="P107" i="6"/>
  <c r="R106" i="6"/>
  <c r="Q106" i="6"/>
  <c r="P106" i="6"/>
  <c r="R105" i="6"/>
  <c r="Q105" i="6"/>
  <c r="P105" i="6"/>
  <c r="R104" i="6"/>
  <c r="Q104" i="6"/>
  <c r="P104" i="6"/>
  <c r="R103" i="6"/>
  <c r="Q103" i="6"/>
  <c r="P103" i="6"/>
  <c r="R102" i="6"/>
  <c r="Q102" i="6"/>
  <c r="P102" i="6"/>
  <c r="R101" i="6"/>
  <c r="Q101" i="6"/>
  <c r="P101" i="6"/>
  <c r="R100" i="6"/>
  <c r="Q100" i="6"/>
  <c r="P100" i="6"/>
  <c r="R99" i="6"/>
  <c r="Q99" i="6"/>
  <c r="P99" i="6"/>
  <c r="R98" i="6"/>
  <c r="Q98" i="6"/>
  <c r="P98" i="6"/>
  <c r="R97" i="6"/>
  <c r="Q97" i="6"/>
  <c r="P97" i="6"/>
  <c r="R96" i="6"/>
  <c r="Q96" i="6"/>
  <c r="P96" i="6"/>
  <c r="R95" i="6"/>
  <c r="Q95" i="6"/>
  <c r="P95" i="6"/>
  <c r="R94" i="6"/>
  <c r="Q94" i="6"/>
  <c r="P94" i="6"/>
  <c r="R93" i="6"/>
  <c r="Q93" i="6"/>
  <c r="P93" i="6"/>
  <c r="R92" i="6"/>
  <c r="Q92" i="6"/>
  <c r="P92" i="6"/>
  <c r="R91" i="6"/>
  <c r="Q91" i="6"/>
  <c r="P91" i="6"/>
  <c r="R90" i="6"/>
  <c r="Q90" i="6"/>
  <c r="P90" i="6"/>
  <c r="R89" i="6"/>
  <c r="Q89" i="6"/>
  <c r="P89" i="6"/>
  <c r="R88" i="6"/>
  <c r="Q88" i="6"/>
  <c r="P88" i="6"/>
  <c r="R87" i="6"/>
  <c r="Q87" i="6"/>
  <c r="P87" i="6"/>
  <c r="R86" i="6"/>
  <c r="Q86" i="6"/>
  <c r="P86" i="6"/>
  <c r="R85" i="6"/>
  <c r="Q85" i="6"/>
  <c r="P85" i="6"/>
  <c r="R84" i="6"/>
  <c r="Q84" i="6"/>
  <c r="P84" i="6"/>
  <c r="R83" i="6"/>
  <c r="Q83" i="6"/>
  <c r="P83" i="6"/>
  <c r="R82" i="6"/>
  <c r="Q82" i="6"/>
  <c r="P82" i="6"/>
  <c r="R79" i="6"/>
  <c r="Q79" i="6"/>
  <c r="P79" i="6"/>
  <c r="R78" i="6"/>
  <c r="Q78" i="6"/>
  <c r="P78" i="6"/>
  <c r="R77" i="6"/>
  <c r="Q77" i="6"/>
  <c r="P77" i="6"/>
  <c r="R76" i="6"/>
  <c r="Q76" i="6"/>
  <c r="P76" i="6"/>
  <c r="R75" i="6"/>
  <c r="Q75" i="6"/>
  <c r="P75" i="6"/>
  <c r="R74" i="6"/>
  <c r="Q74" i="6"/>
  <c r="P74" i="6"/>
  <c r="R73" i="6"/>
  <c r="Q73" i="6"/>
  <c r="P73" i="6"/>
  <c r="R72" i="6"/>
  <c r="Q72" i="6"/>
  <c r="P72" i="6"/>
  <c r="R71" i="6"/>
  <c r="Q71" i="6"/>
  <c r="P71" i="6"/>
  <c r="R70" i="6"/>
  <c r="Q70" i="6"/>
  <c r="P70" i="6"/>
  <c r="R69" i="6"/>
  <c r="Q69" i="6"/>
  <c r="P69" i="6"/>
  <c r="R68" i="6"/>
  <c r="Q68" i="6"/>
  <c r="P68" i="6"/>
  <c r="R67" i="6"/>
  <c r="Q67" i="6"/>
  <c r="P67" i="6"/>
  <c r="R66" i="6"/>
  <c r="Q66" i="6"/>
  <c r="P66" i="6"/>
  <c r="R65" i="6"/>
  <c r="Q65" i="6"/>
  <c r="P65" i="6"/>
  <c r="R64" i="6"/>
  <c r="Q64" i="6"/>
  <c r="P64" i="6"/>
  <c r="R63" i="6"/>
  <c r="Q63" i="6"/>
  <c r="P63" i="6"/>
  <c r="R62" i="6"/>
  <c r="Q62" i="6"/>
  <c r="P62" i="6"/>
  <c r="R61" i="6"/>
  <c r="Q61" i="6"/>
  <c r="P61" i="6"/>
  <c r="R60" i="6"/>
  <c r="Q60" i="6"/>
  <c r="P60" i="6"/>
  <c r="R59" i="6"/>
  <c r="Q59" i="6"/>
  <c r="P59" i="6"/>
  <c r="R58" i="6"/>
  <c r="Q58" i="6"/>
  <c r="P58" i="6"/>
  <c r="R57" i="6"/>
  <c r="Q57" i="6"/>
  <c r="P57" i="6"/>
  <c r="R56" i="6"/>
  <c r="Q56" i="6"/>
  <c r="P56" i="6"/>
  <c r="R55" i="6"/>
  <c r="Q55" i="6"/>
  <c r="P55" i="6"/>
  <c r="R54" i="6"/>
  <c r="Q54" i="6"/>
  <c r="P54" i="6"/>
  <c r="R53" i="6"/>
  <c r="Q53" i="6"/>
  <c r="P53" i="6"/>
  <c r="R52" i="6"/>
  <c r="Q52" i="6"/>
  <c r="P52" i="6"/>
  <c r="R51" i="6"/>
  <c r="Q51" i="6"/>
  <c r="P51" i="6"/>
  <c r="R50" i="6"/>
  <c r="Q50" i="6"/>
  <c r="P50" i="6"/>
  <c r="R49" i="6"/>
  <c r="Q49" i="6"/>
  <c r="P49" i="6"/>
  <c r="R48" i="6"/>
  <c r="Q48" i="6"/>
  <c r="P48" i="6"/>
  <c r="R47" i="6"/>
  <c r="Q47" i="6"/>
  <c r="P47" i="6"/>
  <c r="R46" i="6"/>
  <c r="Q46" i="6"/>
  <c r="P46" i="6"/>
  <c r="R45" i="6"/>
  <c r="Q45" i="6"/>
  <c r="P45" i="6"/>
  <c r="R44" i="6"/>
  <c r="Q44" i="6"/>
  <c r="P44" i="6"/>
  <c r="R43" i="6"/>
  <c r="Q43" i="6"/>
  <c r="P43" i="6"/>
  <c r="R42" i="6"/>
  <c r="Q42" i="6"/>
  <c r="P42" i="6"/>
  <c r="R41" i="6"/>
  <c r="Q41" i="6"/>
  <c r="P41" i="6"/>
  <c r="R40" i="6"/>
  <c r="Q40" i="6"/>
  <c r="P40" i="6"/>
  <c r="R39" i="6"/>
  <c r="Q39" i="6"/>
  <c r="P39" i="6"/>
  <c r="R37" i="6"/>
  <c r="Q37" i="6"/>
  <c r="P37" i="6"/>
  <c r="R36" i="6"/>
  <c r="Q36" i="6"/>
  <c r="P36" i="6"/>
  <c r="R35" i="6"/>
  <c r="Q35" i="6"/>
  <c r="P35" i="6"/>
  <c r="R34" i="6"/>
  <c r="Q34" i="6"/>
  <c r="P34" i="6"/>
  <c r="R33" i="6"/>
  <c r="Q33" i="6"/>
  <c r="P33" i="6"/>
  <c r="R32" i="6"/>
  <c r="Q32" i="6"/>
  <c r="P32" i="6"/>
  <c r="R31" i="6"/>
  <c r="Q31" i="6"/>
  <c r="P31" i="6"/>
  <c r="R30" i="6"/>
  <c r="Q30" i="6"/>
  <c r="P30" i="6"/>
  <c r="R29" i="6"/>
  <c r="Q29" i="6"/>
  <c r="P29" i="6"/>
  <c r="R28" i="6"/>
  <c r="Q28" i="6"/>
  <c r="P28" i="6"/>
  <c r="R27" i="6"/>
  <c r="Q27" i="6"/>
  <c r="P27" i="6"/>
  <c r="R26" i="6"/>
  <c r="Q26" i="6"/>
  <c r="P26" i="6"/>
  <c r="R25" i="6"/>
  <c r="Q25" i="6"/>
  <c r="P25" i="6"/>
  <c r="R24" i="6"/>
  <c r="Q24" i="6"/>
  <c r="P24" i="6"/>
  <c r="R23" i="6"/>
  <c r="Q23" i="6"/>
  <c r="P23" i="6"/>
  <c r="R22" i="6"/>
  <c r="Q22" i="6"/>
  <c r="P22" i="6"/>
  <c r="R21" i="6"/>
  <c r="Q21" i="6"/>
  <c r="P21" i="6"/>
  <c r="R20" i="6"/>
  <c r="Q20" i="6"/>
  <c r="P20" i="6"/>
  <c r="R19" i="6"/>
  <c r="Q19" i="6"/>
  <c r="P19" i="6"/>
  <c r="R18" i="6"/>
  <c r="Q18" i="6"/>
  <c r="P18" i="6"/>
  <c r="R17" i="6"/>
  <c r="Q17" i="6"/>
  <c r="P17" i="6"/>
  <c r="R16" i="6"/>
  <c r="Q16" i="6"/>
  <c r="P16" i="6"/>
  <c r="R15" i="6"/>
  <c r="Q15" i="6"/>
  <c r="P15" i="6"/>
  <c r="R14" i="6"/>
  <c r="Q14" i="6"/>
  <c r="P14" i="6"/>
  <c r="R13" i="6"/>
  <c r="Q13" i="6"/>
  <c r="P13" i="6"/>
  <c r="R12" i="6"/>
  <c r="Q12" i="6"/>
  <c r="P12" i="6"/>
  <c r="R11" i="6"/>
  <c r="Q11" i="6"/>
  <c r="P11" i="6"/>
  <c r="R10" i="6"/>
  <c r="Q10" i="6"/>
  <c r="P10" i="6"/>
  <c r="R9" i="6"/>
  <c r="Q9" i="6"/>
  <c r="P9" i="6"/>
  <c r="R8" i="6"/>
  <c r="Q8" i="6"/>
  <c r="P8" i="6"/>
  <c r="R7" i="6"/>
  <c r="Q7" i="6"/>
  <c r="P7" i="6"/>
  <c r="R6" i="6"/>
  <c r="Q6" i="6"/>
  <c r="P6" i="6"/>
  <c r="O152" i="6"/>
  <c r="O151" i="6"/>
  <c r="O150" i="6"/>
  <c r="O149" i="6"/>
  <c r="O148" i="6"/>
  <c r="O147" i="6"/>
  <c r="O146" i="6"/>
  <c r="O145" i="6"/>
  <c r="O144" i="6"/>
  <c r="O143" i="6"/>
  <c r="O142" i="6"/>
  <c r="O141" i="6"/>
  <c r="O140" i="6"/>
  <c r="O139" i="6"/>
  <c r="O138" i="6"/>
  <c r="O137" i="6"/>
  <c r="O136" i="6"/>
  <c r="O135" i="6"/>
  <c r="O134" i="6"/>
  <c r="O133" i="6"/>
  <c r="O131" i="6"/>
  <c r="O130" i="6"/>
  <c r="O129" i="6"/>
  <c r="O128" i="6"/>
  <c r="O127" i="6"/>
  <c r="O126" i="6"/>
  <c r="O125" i="6"/>
  <c r="O124" i="6"/>
  <c r="O123" i="6"/>
  <c r="O121" i="6"/>
  <c r="O120" i="6"/>
  <c r="O119" i="6"/>
  <c r="O118" i="6"/>
  <c r="O117" i="6"/>
  <c r="O116" i="6"/>
  <c r="O115" i="6"/>
  <c r="O114" i="6"/>
  <c r="O113" i="6"/>
  <c r="O112" i="6"/>
  <c r="O111" i="6"/>
  <c r="O110" i="6"/>
  <c r="O109" i="6"/>
  <c r="O108" i="6"/>
  <c r="O107" i="6"/>
  <c r="O106" i="6"/>
  <c r="O105" i="6"/>
  <c r="O104" i="6"/>
  <c r="O103" i="6"/>
  <c r="O102" i="6"/>
  <c r="O101" i="6"/>
  <c r="O100" i="6"/>
  <c r="O99" i="6"/>
  <c r="O98" i="6"/>
  <c r="O97" i="6"/>
  <c r="O96" i="6"/>
  <c r="O95" i="6"/>
  <c r="O94" i="6"/>
  <c r="O93" i="6"/>
  <c r="O92" i="6"/>
  <c r="O91" i="6"/>
  <c r="O90" i="6"/>
  <c r="O89" i="6"/>
  <c r="O88" i="6"/>
  <c r="O87" i="6"/>
  <c r="O86" i="6"/>
  <c r="O85" i="6"/>
  <c r="O84" i="6"/>
  <c r="O83" i="6"/>
  <c r="O82" i="6"/>
  <c r="O79" i="6"/>
  <c r="O78" i="6"/>
  <c r="O77" i="6"/>
  <c r="O76" i="6"/>
  <c r="O75" i="6"/>
  <c r="O74" i="6"/>
  <c r="O73" i="6"/>
  <c r="O72" i="6"/>
  <c r="O71" i="6"/>
  <c r="O70" i="6"/>
  <c r="O69" i="6"/>
  <c r="O68" i="6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52" i="6"/>
  <c r="O51" i="6"/>
  <c r="O50" i="6"/>
  <c r="O49" i="6"/>
  <c r="O48" i="6"/>
  <c r="O47" i="6"/>
  <c r="O46" i="6"/>
  <c r="O45" i="6"/>
  <c r="O44" i="6"/>
  <c r="O43" i="6"/>
  <c r="O42" i="6"/>
  <c r="O41" i="6"/>
  <c r="O40" i="6"/>
  <c r="O39" i="6"/>
  <c r="O37" i="6"/>
  <c r="O36" i="6"/>
  <c r="O35" i="6"/>
  <c r="O34" i="6"/>
  <c r="O33" i="6"/>
  <c r="O32" i="6"/>
  <c r="O31" i="6"/>
  <c r="O30" i="6"/>
  <c r="O29" i="6"/>
  <c r="O28" i="6"/>
  <c r="O27" i="6"/>
  <c r="O26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N152" i="6"/>
  <c r="N151" i="6"/>
  <c r="N150" i="6"/>
  <c r="N149" i="6"/>
  <c r="N148" i="6"/>
  <c r="N147" i="6"/>
  <c r="N146" i="6"/>
  <c r="N145" i="6"/>
  <c r="N144" i="6"/>
  <c r="N143" i="6"/>
  <c r="N142" i="6"/>
  <c r="N141" i="6"/>
  <c r="N140" i="6"/>
  <c r="N139" i="6"/>
  <c r="N138" i="6"/>
  <c r="N137" i="6"/>
  <c r="N136" i="6"/>
  <c r="N135" i="6"/>
  <c r="N134" i="6"/>
  <c r="N133" i="6"/>
  <c r="N131" i="6"/>
  <c r="N130" i="6"/>
  <c r="N129" i="6"/>
  <c r="N128" i="6"/>
  <c r="N127" i="6"/>
  <c r="N126" i="6"/>
  <c r="N125" i="6"/>
  <c r="N124" i="6"/>
  <c r="N123" i="6"/>
  <c r="N121" i="6"/>
  <c r="N120" i="6"/>
  <c r="N119" i="6"/>
  <c r="N118" i="6"/>
  <c r="N117" i="6"/>
  <c r="N116" i="6"/>
  <c r="N115" i="6"/>
  <c r="N114" i="6"/>
  <c r="N113" i="6"/>
  <c r="N112" i="6"/>
  <c r="N111" i="6"/>
  <c r="N110" i="6"/>
  <c r="N109" i="6"/>
  <c r="N108" i="6"/>
  <c r="N107" i="6"/>
  <c r="N106" i="6"/>
  <c r="N105" i="6"/>
  <c r="N104" i="6"/>
  <c r="N103" i="6"/>
  <c r="N102" i="6"/>
  <c r="N101" i="6"/>
  <c r="N100" i="6"/>
  <c r="N99" i="6"/>
  <c r="N98" i="6"/>
  <c r="N97" i="6"/>
  <c r="N96" i="6"/>
  <c r="N95" i="6"/>
  <c r="N94" i="6"/>
  <c r="N93" i="6"/>
  <c r="N92" i="6"/>
  <c r="N91" i="6"/>
  <c r="N90" i="6"/>
  <c r="N89" i="6"/>
  <c r="N88" i="6"/>
  <c r="N87" i="6"/>
  <c r="N86" i="6"/>
  <c r="N85" i="6"/>
  <c r="N84" i="6"/>
  <c r="N83" i="6"/>
  <c r="N82" i="6"/>
  <c r="N79" i="6"/>
  <c r="N78" i="6"/>
  <c r="N77" i="6"/>
  <c r="N76" i="6"/>
  <c r="N75" i="6"/>
  <c r="N74" i="6"/>
  <c r="N73" i="6"/>
  <c r="N72" i="6"/>
  <c r="N71" i="6"/>
  <c r="N70" i="6"/>
  <c r="N69" i="6"/>
  <c r="N68" i="6"/>
  <c r="N67" i="6"/>
  <c r="N66" i="6"/>
  <c r="N65" i="6"/>
  <c r="N64" i="6"/>
  <c r="N63" i="6"/>
  <c r="N62" i="6"/>
  <c r="N61" i="6"/>
  <c r="N60" i="6"/>
  <c r="N59" i="6"/>
  <c r="N58" i="6"/>
  <c r="N57" i="6"/>
  <c r="N56" i="6"/>
  <c r="N55" i="6"/>
  <c r="N54" i="6"/>
  <c r="N53" i="6"/>
  <c r="N52" i="6"/>
  <c r="N51" i="6"/>
  <c r="N50" i="6"/>
  <c r="N49" i="6"/>
  <c r="N48" i="6"/>
  <c r="N47" i="6"/>
  <c r="N46" i="6"/>
  <c r="N45" i="6"/>
  <c r="N44" i="6"/>
  <c r="N43" i="6"/>
  <c r="N42" i="6"/>
  <c r="N41" i="6"/>
  <c r="N40" i="6"/>
  <c r="N39" i="6"/>
  <c r="N37" i="6"/>
  <c r="N36" i="6"/>
  <c r="N35" i="6"/>
  <c r="N34" i="6"/>
  <c r="N33" i="6"/>
  <c r="N32" i="6"/>
  <c r="N31" i="6"/>
  <c r="N30" i="6"/>
  <c r="N29" i="6"/>
  <c r="N28" i="6"/>
  <c r="N27" i="6"/>
  <c r="N26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M152" i="6"/>
  <c r="M151" i="6"/>
  <c r="M150" i="6"/>
  <c r="M149" i="6"/>
  <c r="M148" i="6"/>
  <c r="M147" i="6"/>
  <c r="M146" i="6"/>
  <c r="M145" i="6"/>
  <c r="M144" i="6"/>
  <c r="M143" i="6"/>
  <c r="M142" i="6"/>
  <c r="M141" i="6"/>
  <c r="M140" i="6"/>
  <c r="M139" i="6"/>
  <c r="M138" i="6"/>
  <c r="M137" i="6"/>
  <c r="M136" i="6"/>
  <c r="M135" i="6"/>
  <c r="M134" i="6"/>
  <c r="M133" i="6"/>
  <c r="M131" i="6"/>
  <c r="M130" i="6"/>
  <c r="M129" i="6"/>
  <c r="M128" i="6"/>
  <c r="M127" i="6"/>
  <c r="M126" i="6"/>
  <c r="M125" i="6"/>
  <c r="M124" i="6"/>
  <c r="M123" i="6"/>
  <c r="M121" i="6"/>
  <c r="M120" i="6"/>
  <c r="M119" i="6"/>
  <c r="M118" i="6"/>
  <c r="M117" i="6"/>
  <c r="M116" i="6"/>
  <c r="M115" i="6"/>
  <c r="M114" i="6"/>
  <c r="M113" i="6"/>
  <c r="M112" i="6"/>
  <c r="M111" i="6"/>
  <c r="M110" i="6"/>
  <c r="M109" i="6"/>
  <c r="M108" i="6"/>
  <c r="M107" i="6"/>
  <c r="M106" i="6"/>
  <c r="M105" i="6"/>
  <c r="M104" i="6"/>
  <c r="M103" i="6"/>
  <c r="M102" i="6"/>
  <c r="M101" i="6"/>
  <c r="M100" i="6"/>
  <c r="M99" i="6"/>
  <c r="M98" i="6"/>
  <c r="M97" i="6"/>
  <c r="M96" i="6"/>
  <c r="M95" i="6"/>
  <c r="M94" i="6"/>
  <c r="M93" i="6"/>
  <c r="M92" i="6"/>
  <c r="M91" i="6"/>
  <c r="M90" i="6"/>
  <c r="M89" i="6"/>
  <c r="M88" i="6"/>
  <c r="M87" i="6"/>
  <c r="M86" i="6"/>
  <c r="M85" i="6"/>
  <c r="M84" i="6"/>
  <c r="M83" i="6"/>
  <c r="M82" i="6"/>
  <c r="M79" i="6"/>
  <c r="M78" i="6"/>
  <c r="M77" i="6"/>
  <c r="M76" i="6"/>
  <c r="M75" i="6"/>
  <c r="M74" i="6"/>
  <c r="M73" i="6"/>
  <c r="M72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N5" i="6" s="1"/>
  <c r="O5" i="6" s="1"/>
  <c r="W64" i="112"/>
  <c r="V64" i="112"/>
  <c r="U64" i="112"/>
  <c r="T64" i="112"/>
  <c r="S64" i="112"/>
  <c r="R64" i="112"/>
  <c r="Q64" i="112"/>
  <c r="P64" i="112"/>
  <c r="O64" i="112"/>
  <c r="Y64" i="112"/>
  <c r="X64" i="112"/>
  <c r="Y149" i="112"/>
  <c r="X149" i="112"/>
  <c r="W149" i="112"/>
  <c r="V149" i="112"/>
  <c r="Y158" i="112"/>
  <c r="X158" i="112"/>
  <c r="W158" i="112"/>
  <c r="V158" i="112"/>
  <c r="W476" i="277" l="1"/>
  <c r="E378" i="277"/>
  <c r="Q378" i="277"/>
  <c r="D378" i="277"/>
  <c r="L378" i="277"/>
  <c r="W1" i="277"/>
  <c r="W2" i="277"/>
  <c r="Y8" i="277"/>
  <c r="Y303" i="277" s="1"/>
  <c r="O11" i="277"/>
  <c r="P11" i="277"/>
  <c r="P121" i="277" s="1"/>
  <c r="V2" i="277"/>
  <c r="V10" i="277"/>
  <c r="P357" i="277"/>
  <c r="G357" i="277"/>
  <c r="M357" i="277"/>
  <c r="E357" i="277"/>
  <c r="Y357" i="277"/>
  <c r="Q357" i="277"/>
  <c r="Q307" i="277" s="1"/>
  <c r="Q230" i="277" s="1"/>
  <c r="Q229" i="277" s="1"/>
  <c r="S194" i="277"/>
  <c r="L156" i="277"/>
  <c r="L155" i="277" s="1"/>
  <c r="I194" i="277"/>
  <c r="R219" i="277"/>
  <c r="R8" i="277"/>
  <c r="R209" i="277" s="1"/>
  <c r="W11" i="277"/>
  <c r="W493" i="277" s="1"/>
  <c r="W8" i="277"/>
  <c r="X471" i="277" s="1"/>
  <c r="Q476" i="277"/>
  <c r="N154" i="277"/>
  <c r="G62" i="277"/>
  <c r="M476" i="275"/>
  <c r="G378" i="275"/>
  <c r="R378" i="275"/>
  <c r="E378" i="275"/>
  <c r="S378" i="275"/>
  <c r="P378" i="275"/>
  <c r="X1" i="275"/>
  <c r="X2" i="275"/>
  <c r="Y1" i="275"/>
  <c r="Y2" i="275"/>
  <c r="L490" i="275"/>
  <c r="D11" i="275"/>
  <c r="D420" i="275" s="1"/>
  <c r="R8" i="275"/>
  <c r="R148" i="275" s="1"/>
  <c r="R147" i="275" s="1"/>
  <c r="R69" i="275" s="1"/>
  <c r="H11" i="275"/>
  <c r="H362" i="275" s="1"/>
  <c r="L11" i="275"/>
  <c r="L420" i="275" s="1"/>
  <c r="V11" i="275"/>
  <c r="V412" i="275" s="1"/>
  <c r="V1" i="275"/>
  <c r="E11" i="275"/>
  <c r="E121" i="275" s="1"/>
  <c r="G11" i="275"/>
  <c r="G423" i="275" s="1"/>
  <c r="W11" i="275"/>
  <c r="W493" i="275" s="1"/>
  <c r="S357" i="275"/>
  <c r="T357" i="275"/>
  <c r="H357" i="275"/>
  <c r="G357" i="275"/>
  <c r="I357" i="275"/>
  <c r="R357" i="275"/>
  <c r="J357" i="275"/>
  <c r="K357" i="275"/>
  <c r="D156" i="275"/>
  <c r="E156" i="275"/>
  <c r="G156" i="275"/>
  <c r="F194" i="275"/>
  <c r="H156" i="275"/>
  <c r="I156" i="275"/>
  <c r="T194" i="275"/>
  <c r="F476" i="275"/>
  <c r="G476" i="275"/>
  <c r="Q476" i="275"/>
  <c r="Y8" i="275"/>
  <c r="Y290" i="275" s="1"/>
  <c r="S476" i="275"/>
  <c r="N15" i="275"/>
  <c r="K476" i="275"/>
  <c r="L476" i="275"/>
  <c r="N223" i="275"/>
  <c r="N222" i="275" s="1"/>
  <c r="N221" i="275" s="1"/>
  <c r="W476" i="275"/>
  <c r="N15" i="277"/>
  <c r="R15" i="277"/>
  <c r="N148" i="275"/>
  <c r="N147" i="275" s="1"/>
  <c r="N233" i="275" s="1"/>
  <c r="I308" i="277"/>
  <c r="I309" i="277"/>
  <c r="J471" i="277"/>
  <c r="I293" i="277"/>
  <c r="I257" i="277"/>
  <c r="I294" i="277"/>
  <c r="I269" i="277"/>
  <c r="I253" i="277"/>
  <c r="I245" i="277"/>
  <c r="L224" i="277"/>
  <c r="I223" i="277"/>
  <c r="I222" i="277" s="1"/>
  <c r="I307" i="277"/>
  <c r="I230" i="277" s="1"/>
  <c r="I229" i="277" s="1"/>
  <c r="I299" i="277"/>
  <c r="I244" i="277"/>
  <c r="I262" i="277"/>
  <c r="I208" i="277"/>
  <c r="I191" i="277"/>
  <c r="I190" i="277" s="1"/>
  <c r="I189" i="277" s="1"/>
  <c r="I173" i="277"/>
  <c r="I164" i="277"/>
  <c r="I163" i="277" s="1"/>
  <c r="I142" i="277"/>
  <c r="I154" i="277"/>
  <c r="I139" i="277"/>
  <c r="I231" i="277"/>
  <c r="I83" i="277"/>
  <c r="I172" i="277"/>
  <c r="I148" i="277"/>
  <c r="I147" i="277" s="1"/>
  <c r="I233" i="277" s="1"/>
  <c r="I15" i="277"/>
  <c r="I205" i="277"/>
  <c r="I79" i="277"/>
  <c r="I177" i="277"/>
  <c r="Y299" i="277"/>
  <c r="Y302" i="277"/>
  <c r="Y294" i="277"/>
  <c r="Y298" i="277"/>
  <c r="Y289" i="277"/>
  <c r="Y309" i="277"/>
  <c r="Y308" i="277"/>
  <c r="Y290" i="277"/>
  <c r="Y307" i="277"/>
  <c r="Y230" i="277"/>
  <c r="Y251" i="277"/>
  <c r="Y297" i="277"/>
  <c r="Y249" i="277"/>
  <c r="Y245" i="277"/>
  <c r="Y243" i="277"/>
  <c r="Y304" i="277"/>
  <c r="Y301" i="277"/>
  <c r="Y252" i="277"/>
  <c r="Y224" i="277"/>
  <c r="Y300" i="277"/>
  <c r="Y203" i="277"/>
  <c r="Y175" i="277"/>
  <c r="Y204" i="277"/>
  <c r="Y268" i="277"/>
  <c r="Y170" i="277"/>
  <c r="Y262" i="277"/>
  <c r="Y205" i="277"/>
  <c r="Y191" i="277"/>
  <c r="Y184" i="277"/>
  <c r="Y164" i="277"/>
  <c r="Y163" i="277" s="1"/>
  <c r="Y148" i="277"/>
  <c r="Y147" i="277" s="1"/>
  <c r="Y145" i="277" s="1"/>
  <c r="Y141" i="277"/>
  <c r="Y223" i="277"/>
  <c r="Y201" i="277"/>
  <c r="Y176" i="277"/>
  <c r="Y154" i="277"/>
  <c r="Y138" i="277"/>
  <c r="Y62" i="277"/>
  <c r="Y15" i="277"/>
  <c r="R471" i="277"/>
  <c r="Q269" i="277"/>
  <c r="Q262" i="277"/>
  <c r="Q294" i="277"/>
  <c r="Q293" i="277"/>
  <c r="Q245" i="277"/>
  <c r="Q308" i="277"/>
  <c r="Q244" i="277"/>
  <c r="Q253" i="277"/>
  <c r="Q231" i="277"/>
  <c r="Q205" i="277"/>
  <c r="Q177" i="277"/>
  <c r="Q257" i="277"/>
  <c r="Q299" i="277"/>
  <c r="Q224" i="277"/>
  <c r="Q208" i="277"/>
  <c r="Q191" i="277"/>
  <c r="Q190" i="277" s="1"/>
  <c r="Q189" i="277" s="1"/>
  <c r="Q173" i="277"/>
  <c r="Q164" i="277"/>
  <c r="Q163" i="277" s="1"/>
  <c r="Q162" i="277" s="1"/>
  <c r="Q160" i="277" s="1"/>
  <c r="Q223" i="277"/>
  <c r="Q222" i="277" s="1"/>
  <c r="Q148" i="277"/>
  <c r="Q147" i="277" s="1"/>
  <c r="Q145" i="277" s="1"/>
  <c r="Q209" i="277"/>
  <c r="Q309" i="277"/>
  <c r="Q139" i="277"/>
  <c r="Q142" i="277"/>
  <c r="Q66" i="277"/>
  <c r="Q172" i="277"/>
  <c r="Q83" i="277"/>
  <c r="Q15" i="277"/>
  <c r="Q154" i="277"/>
  <c r="Q86" i="277"/>
  <c r="D12" i="277"/>
  <c r="D14" i="277"/>
  <c r="P12" i="277"/>
  <c r="P14" i="277"/>
  <c r="N9" i="277"/>
  <c r="AL14" i="277"/>
  <c r="H420" i="277"/>
  <c r="H390" i="277"/>
  <c r="H385" i="277" s="1"/>
  <c r="H375" i="277" s="1"/>
  <c r="H338" i="277"/>
  <c r="H423" i="277"/>
  <c r="H428" i="277"/>
  <c r="H362" i="277" s="1"/>
  <c r="H399" i="277"/>
  <c r="H409" i="277"/>
  <c r="H450" i="277"/>
  <c r="H412" i="277"/>
  <c r="H417" i="277"/>
  <c r="H367" i="277"/>
  <c r="H487" i="277" s="1"/>
  <c r="H121" i="277"/>
  <c r="H278" i="277"/>
  <c r="H8" i="277"/>
  <c r="T420" i="277"/>
  <c r="T390" i="277"/>
  <c r="T385" i="277" s="1"/>
  <c r="T375" i="277" s="1"/>
  <c r="T338" i="277"/>
  <c r="T423" i="277"/>
  <c r="T428" i="277"/>
  <c r="T362" i="277" s="1"/>
  <c r="T399" i="277"/>
  <c r="T409" i="277"/>
  <c r="T450" i="277"/>
  <c r="T412" i="277"/>
  <c r="T417" i="277"/>
  <c r="T367" i="277"/>
  <c r="T487" i="277" s="1"/>
  <c r="T219" i="277"/>
  <c r="T278" i="277"/>
  <c r="T121" i="277"/>
  <c r="T8" i="277"/>
  <c r="U88" i="277"/>
  <c r="U62" i="277" s="1"/>
  <c r="U92" i="277"/>
  <c r="U63" i="277" s="1"/>
  <c r="U308" i="277"/>
  <c r="U309" i="277"/>
  <c r="V471" i="277"/>
  <c r="U257" i="277"/>
  <c r="U245" i="277"/>
  <c r="U253" i="277"/>
  <c r="U307" i="277"/>
  <c r="U230" i="277" s="1"/>
  <c r="U229" i="277" s="1"/>
  <c r="U299" i="277"/>
  <c r="U223" i="277"/>
  <c r="U222" i="277" s="1"/>
  <c r="U231" i="277"/>
  <c r="U293" i="277"/>
  <c r="U262" i="277"/>
  <c r="U177" i="277"/>
  <c r="U224" i="277"/>
  <c r="U269" i="277"/>
  <c r="U139" i="277"/>
  <c r="U205" i="277"/>
  <c r="U294" i="277"/>
  <c r="U209" i="277"/>
  <c r="U208" i="277"/>
  <c r="U148" i="277"/>
  <c r="U147" i="277" s="1"/>
  <c r="U145" i="277" s="1"/>
  <c r="U52" i="277" s="1"/>
  <c r="U66" i="277"/>
  <c r="U154" i="277"/>
  <c r="U191" i="277"/>
  <c r="U190" i="277" s="1"/>
  <c r="U189" i="277" s="1"/>
  <c r="U83" i="277"/>
  <c r="U164" i="277"/>
  <c r="U163" i="277" s="1"/>
  <c r="U162" i="277" s="1"/>
  <c r="U76" i="277" s="1"/>
  <c r="U15" i="277"/>
  <c r="U142" i="277"/>
  <c r="U86" i="277"/>
  <c r="U173" i="277"/>
  <c r="U79" i="277"/>
  <c r="U244" i="277"/>
  <c r="U172" i="277"/>
  <c r="V92" i="277"/>
  <c r="V63" i="277" s="1"/>
  <c r="F471" i="277"/>
  <c r="E307" i="277"/>
  <c r="E230" i="277" s="1"/>
  <c r="E229" i="277" s="1"/>
  <c r="E269" i="277"/>
  <c r="E262" i="277"/>
  <c r="E308" i="277"/>
  <c r="E257" i="277"/>
  <c r="E253" i="277"/>
  <c r="E299" i="277"/>
  <c r="E231" i="277"/>
  <c r="E205" i="277"/>
  <c r="E177" i="277"/>
  <c r="E224" i="277"/>
  <c r="E245" i="277"/>
  <c r="E223" i="277"/>
  <c r="E222" i="277" s="1"/>
  <c r="E173" i="277"/>
  <c r="E208" i="277"/>
  <c r="E309" i="277"/>
  <c r="E244" i="277"/>
  <c r="E172" i="277"/>
  <c r="E294" i="277"/>
  <c r="E148" i="277"/>
  <c r="E147" i="277" s="1"/>
  <c r="E233" i="277" s="1"/>
  <c r="E154" i="277"/>
  <c r="E139" i="277"/>
  <c r="E293" i="277"/>
  <c r="E83" i="277"/>
  <c r="E164" i="277"/>
  <c r="E163" i="277" s="1"/>
  <c r="E191" i="277"/>
  <c r="E190" i="277" s="1"/>
  <c r="E189" i="277" s="1"/>
  <c r="E79" i="277"/>
  <c r="E15" i="277"/>
  <c r="T12" i="277"/>
  <c r="T13" i="277"/>
  <c r="T14" i="277"/>
  <c r="K62" i="277"/>
  <c r="N153" i="277"/>
  <c r="J92" i="277"/>
  <c r="J63" i="277" s="1"/>
  <c r="J88" i="277"/>
  <c r="H12" i="277"/>
  <c r="H13" i="277"/>
  <c r="H14" i="277"/>
  <c r="L428" i="277"/>
  <c r="L362" i="277" s="1"/>
  <c r="L399" i="277"/>
  <c r="L367" i="277"/>
  <c r="L487" i="277" s="1"/>
  <c r="L450" i="277"/>
  <c r="L412" i="277"/>
  <c r="L417" i="277"/>
  <c r="L420" i="277"/>
  <c r="L390" i="277"/>
  <c r="L385" i="277" s="1"/>
  <c r="L375" i="277" s="1"/>
  <c r="L291" i="277" s="1"/>
  <c r="L423" i="277"/>
  <c r="L278" i="277"/>
  <c r="L338" i="277"/>
  <c r="L409" i="277"/>
  <c r="L8" i="277"/>
  <c r="L121" i="277"/>
  <c r="X493" i="277"/>
  <c r="X428" i="277"/>
  <c r="X399" i="277"/>
  <c r="X367" i="277"/>
  <c r="X487" i="277" s="1"/>
  <c r="X409" i="277"/>
  <c r="X450" i="277"/>
  <c r="X412" i="277"/>
  <c r="X417" i="277"/>
  <c r="X375" i="277"/>
  <c r="X489" i="277"/>
  <c r="X420" i="277"/>
  <c r="X390" i="277"/>
  <c r="X385" i="277" s="1"/>
  <c r="X423" i="277"/>
  <c r="X291" i="277"/>
  <c r="X338" i="277"/>
  <c r="X331" i="277" s="1"/>
  <c r="X362" i="277"/>
  <c r="X219" i="277"/>
  <c r="X211" i="277" s="1"/>
  <c r="X121" i="277"/>
  <c r="X8" i="277"/>
  <c r="P13" i="277"/>
  <c r="M63" i="277"/>
  <c r="D8" i="277"/>
  <c r="P8" i="277"/>
  <c r="G420" i="277"/>
  <c r="G303" i="277" s="1"/>
  <c r="G390" i="277"/>
  <c r="G289" i="277" s="1"/>
  <c r="G288" i="277" s="1"/>
  <c r="G287" i="277" s="1"/>
  <c r="G249" i="277" s="1"/>
  <c r="G423" i="277"/>
  <c r="G304" i="277" s="1"/>
  <c r="G428" i="277"/>
  <c r="G298" i="277" s="1"/>
  <c r="G399" i="277"/>
  <c r="G247" i="277" s="1"/>
  <c r="G367" i="277"/>
  <c r="G487" i="277" s="1"/>
  <c r="G409" i="277"/>
  <c r="G300" i="277" s="1"/>
  <c r="G450" i="277"/>
  <c r="G259" i="277" s="1"/>
  <c r="G412" i="277"/>
  <c r="G301" i="277" s="1"/>
  <c r="G338" i="277"/>
  <c r="G417" i="277"/>
  <c r="G302" i="277" s="1"/>
  <c r="G278" i="277"/>
  <c r="G121" i="277"/>
  <c r="S420" i="277"/>
  <c r="S303" i="277" s="1"/>
  <c r="S390" i="277"/>
  <c r="S385" i="277" s="1"/>
  <c r="S375" i="277" s="1"/>
  <c r="S423" i="277"/>
  <c r="S304" i="277" s="1"/>
  <c r="S428" i="277"/>
  <c r="S298" i="277" s="1"/>
  <c r="S399" i="277"/>
  <c r="S247" i="277" s="1"/>
  <c r="S367" i="277"/>
  <c r="S487" i="277" s="1"/>
  <c r="S409" i="277"/>
  <c r="S300" i="277" s="1"/>
  <c r="S450" i="277"/>
  <c r="S259" i="277" s="1"/>
  <c r="S412" i="277"/>
  <c r="S301" i="277" s="1"/>
  <c r="S417" i="277"/>
  <c r="S302" i="277" s="1"/>
  <c r="S219" i="277"/>
  <c r="S278" i="277"/>
  <c r="S338" i="277"/>
  <c r="M15" i="277"/>
  <c r="D71" i="277"/>
  <c r="M154" i="277"/>
  <c r="K208" i="277"/>
  <c r="F293" i="277"/>
  <c r="G471" i="277"/>
  <c r="F299" i="277"/>
  <c r="F309" i="277"/>
  <c r="F257" i="277"/>
  <c r="F308" i="277"/>
  <c r="F244" i="277"/>
  <c r="F253" i="277"/>
  <c r="F205" i="277"/>
  <c r="F269" i="277"/>
  <c r="F223" i="277"/>
  <c r="F222" i="277" s="1"/>
  <c r="I224" i="277"/>
  <c r="F177" i="277"/>
  <c r="F172" i="277"/>
  <c r="F262" i="277"/>
  <c r="F245" i="277"/>
  <c r="F173" i="277"/>
  <c r="F224" i="277"/>
  <c r="F208" i="277"/>
  <c r="F231" i="277"/>
  <c r="F154" i="277"/>
  <c r="F139" i="277"/>
  <c r="F62" i="277"/>
  <c r="F294" i="277"/>
  <c r="F164" i="277"/>
  <c r="F163" i="277" s="1"/>
  <c r="F191" i="277"/>
  <c r="F190" i="277" s="1"/>
  <c r="F189" i="277" s="1"/>
  <c r="F148" i="277"/>
  <c r="F147" i="277" s="1"/>
  <c r="F233" i="277" s="1"/>
  <c r="R299" i="277"/>
  <c r="R309" i="277"/>
  <c r="R244" i="277"/>
  <c r="R262" i="277"/>
  <c r="R191" i="277"/>
  <c r="R190" i="277" s="1"/>
  <c r="R189" i="277" s="1"/>
  <c r="R173" i="277"/>
  <c r="R142" i="277"/>
  <c r="R62" i="277"/>
  <c r="R66" i="277"/>
  <c r="I423" i="277"/>
  <c r="I304" i="277" s="1"/>
  <c r="I428" i="277"/>
  <c r="I298" i="277" s="1"/>
  <c r="I409" i="277"/>
  <c r="I300" i="277" s="1"/>
  <c r="I450" i="277"/>
  <c r="I259" i="277" s="1"/>
  <c r="I412" i="277"/>
  <c r="I301" i="277" s="1"/>
  <c r="I417" i="277"/>
  <c r="I302" i="277" s="1"/>
  <c r="I390" i="277"/>
  <c r="I289" i="277" s="1"/>
  <c r="I288" i="277" s="1"/>
  <c r="I287" i="277" s="1"/>
  <c r="I249" i="277" s="1"/>
  <c r="I367" i="277"/>
  <c r="I487" i="277" s="1"/>
  <c r="I278" i="277"/>
  <c r="I420" i="277"/>
  <c r="I303" i="277" s="1"/>
  <c r="I399" i="277"/>
  <c r="I247" i="277" s="1"/>
  <c r="I362" i="277"/>
  <c r="I243" i="277" s="1"/>
  <c r="I242" i="277" s="1"/>
  <c r="I338" i="277"/>
  <c r="I121" i="277"/>
  <c r="U423" i="277"/>
  <c r="U304" i="277" s="1"/>
  <c r="U428" i="277"/>
  <c r="U298" i="277" s="1"/>
  <c r="U399" i="277"/>
  <c r="U247" i="277" s="1"/>
  <c r="U409" i="277"/>
  <c r="U300" i="277" s="1"/>
  <c r="U450" i="277"/>
  <c r="U259" i="277" s="1"/>
  <c r="U412" i="277"/>
  <c r="U301" i="277" s="1"/>
  <c r="U417" i="277"/>
  <c r="U302" i="277" s="1"/>
  <c r="U367" i="277"/>
  <c r="U487" i="277" s="1"/>
  <c r="U420" i="277"/>
  <c r="U303" i="277" s="1"/>
  <c r="U278" i="277"/>
  <c r="U390" i="277"/>
  <c r="U289" i="277" s="1"/>
  <c r="U288" i="277" s="1"/>
  <c r="U287" i="277" s="1"/>
  <c r="U249" i="277" s="1"/>
  <c r="U338" i="277"/>
  <c r="U219" i="277"/>
  <c r="U121" i="277"/>
  <c r="F142" i="277"/>
  <c r="R224" i="277"/>
  <c r="H471" i="277"/>
  <c r="G307" i="277"/>
  <c r="G299" i="277"/>
  <c r="G308" i="277"/>
  <c r="G253" i="277"/>
  <c r="G294" i="277"/>
  <c r="G244" i="277"/>
  <c r="G309" i="277"/>
  <c r="G262" i="277"/>
  <c r="G230" i="277"/>
  <c r="G229" i="277" s="1"/>
  <c r="G231" i="277"/>
  <c r="G245" i="277"/>
  <c r="G257" i="277"/>
  <c r="G208" i="277"/>
  <c r="G224" i="277"/>
  <c r="G293" i="277"/>
  <c r="J224" i="277"/>
  <c r="G205" i="277"/>
  <c r="G177" i="277"/>
  <c r="G172" i="277"/>
  <c r="G142" i="277"/>
  <c r="G191" i="277"/>
  <c r="G190" i="277" s="1"/>
  <c r="G223" i="277"/>
  <c r="G222" i="277" s="1"/>
  <c r="G269" i="277"/>
  <c r="G164" i="277"/>
  <c r="G163" i="277" s="1"/>
  <c r="G173" i="277"/>
  <c r="G79" i="277"/>
  <c r="T471" i="277"/>
  <c r="S307" i="277"/>
  <c r="S230" i="277" s="1"/>
  <c r="S229" i="277" s="1"/>
  <c r="S299" i="277"/>
  <c r="S308" i="277"/>
  <c r="S253" i="277"/>
  <c r="S293" i="277"/>
  <c r="S244" i="277"/>
  <c r="S257" i="277"/>
  <c r="S262" i="277"/>
  <c r="S269" i="277"/>
  <c r="S231" i="277"/>
  <c r="S309" i="277"/>
  <c r="S294" i="277"/>
  <c r="S223" i="277"/>
  <c r="S222" i="277" s="1"/>
  <c r="S142" i="277"/>
  <c r="S245" i="277"/>
  <c r="S172" i="277"/>
  <c r="S224" i="277"/>
  <c r="S177" i="277"/>
  <c r="S205" i="277"/>
  <c r="S191" i="277"/>
  <c r="S190" i="277" s="1"/>
  <c r="S189" i="277" s="1"/>
  <c r="S173" i="277"/>
  <c r="S148" i="277"/>
  <c r="S147" i="277" s="1"/>
  <c r="S145" i="277" s="1"/>
  <c r="S52" i="277" s="1"/>
  <c r="S164" i="277"/>
  <c r="S163" i="277" s="1"/>
  <c r="S162" i="277" s="1"/>
  <c r="S154" i="277"/>
  <c r="S208" i="277"/>
  <c r="S139" i="277"/>
  <c r="S86" i="277"/>
  <c r="S79" i="277"/>
  <c r="J423" i="277"/>
  <c r="J428" i="277"/>
  <c r="J362" i="277" s="1"/>
  <c r="J409" i="277"/>
  <c r="J450" i="277"/>
  <c r="J412" i="277"/>
  <c r="J417" i="277"/>
  <c r="J420" i="277"/>
  <c r="J390" i="277"/>
  <c r="J385" i="277" s="1"/>
  <c r="J375" i="277" s="1"/>
  <c r="J338" i="277"/>
  <c r="J278" i="277"/>
  <c r="J399" i="277"/>
  <c r="J367" i="277"/>
  <c r="J487" i="277" s="1"/>
  <c r="J121" i="277"/>
  <c r="V423" i="277"/>
  <c r="V493" i="277"/>
  <c r="V428" i="277"/>
  <c r="V409" i="277"/>
  <c r="V450" i="277"/>
  <c r="V412" i="277"/>
  <c r="V417" i="277"/>
  <c r="V489" i="277"/>
  <c r="V420" i="277"/>
  <c r="V390" i="277"/>
  <c r="V385" i="277" s="1"/>
  <c r="V362" i="277"/>
  <c r="V338" i="277"/>
  <c r="V331" i="277" s="1"/>
  <c r="V375" i="277"/>
  <c r="V399" i="277"/>
  <c r="V291" i="277"/>
  <c r="V367" i="277"/>
  <c r="V487" i="277" s="1"/>
  <c r="V219" i="277"/>
  <c r="V211" i="277" s="1"/>
  <c r="V121" i="277"/>
  <c r="E63" i="277"/>
  <c r="E66" i="277"/>
  <c r="E71" i="277"/>
  <c r="Q63" i="277"/>
  <c r="Q71" i="277"/>
  <c r="N88" i="277"/>
  <c r="N62" i="277" s="1"/>
  <c r="H92" i="277"/>
  <c r="N142" i="277"/>
  <c r="K428" i="277"/>
  <c r="K362" i="277" s="1"/>
  <c r="K243" i="277" s="1"/>
  <c r="K242" i="277" s="1"/>
  <c r="K399" i="277"/>
  <c r="K247" i="277" s="1"/>
  <c r="K409" i="277"/>
  <c r="K300" i="277" s="1"/>
  <c r="K450" i="277"/>
  <c r="K259" i="277" s="1"/>
  <c r="K412" i="277"/>
  <c r="K301" i="277" s="1"/>
  <c r="K417" i="277"/>
  <c r="K302" i="277" s="1"/>
  <c r="K420" i="277"/>
  <c r="K303" i="277" s="1"/>
  <c r="K423" i="277"/>
  <c r="K304" i="277" s="1"/>
  <c r="K338" i="277"/>
  <c r="K278" i="277"/>
  <c r="K390" i="277"/>
  <c r="K385" i="277" s="1"/>
  <c r="K375" i="277" s="1"/>
  <c r="K367" i="277"/>
  <c r="K487" i="277" s="1"/>
  <c r="W489" i="277"/>
  <c r="W420" i="277"/>
  <c r="E14" i="277"/>
  <c r="Q14" i="277"/>
  <c r="AM14" i="277"/>
  <c r="S66" i="277"/>
  <c r="I92" i="277"/>
  <c r="I63" i="277" s="1"/>
  <c r="K121" i="277"/>
  <c r="S83" i="277"/>
  <c r="J8" i="277"/>
  <c r="V8" i="277"/>
  <c r="M409" i="277"/>
  <c r="M300" i="277" s="1"/>
  <c r="M450" i="277"/>
  <c r="M259" i="277" s="1"/>
  <c r="M412" i="277"/>
  <c r="M301" i="277" s="1"/>
  <c r="M417" i="277"/>
  <c r="M302" i="277" s="1"/>
  <c r="M420" i="277"/>
  <c r="M303" i="277" s="1"/>
  <c r="M390" i="277"/>
  <c r="M385" i="277" s="1"/>
  <c r="M375" i="277" s="1"/>
  <c r="M338" i="277"/>
  <c r="M423" i="277"/>
  <c r="M304" i="277" s="1"/>
  <c r="M399" i="277"/>
  <c r="M247" i="277" s="1"/>
  <c r="M428" i="277"/>
  <c r="M298" i="277" s="1"/>
  <c r="M367" i="277"/>
  <c r="M487" i="277" s="1"/>
  <c r="M278" i="277"/>
  <c r="M121" i="277"/>
  <c r="Y409" i="277"/>
  <c r="Y450" i="277"/>
  <c r="Y412" i="277"/>
  <c r="Y417" i="277"/>
  <c r="Y375" i="277"/>
  <c r="Y489" i="277"/>
  <c r="Y420" i="277"/>
  <c r="Y390" i="277"/>
  <c r="Y385" i="277" s="1"/>
  <c r="Y362" i="277"/>
  <c r="Y338" i="277"/>
  <c r="Y331" i="277" s="1"/>
  <c r="Y423" i="277"/>
  <c r="Y399" i="277"/>
  <c r="Y493" i="277"/>
  <c r="Y428" i="277"/>
  <c r="Y367" i="277"/>
  <c r="Y487" i="277" s="1"/>
  <c r="Y291" i="277"/>
  <c r="Y219" i="277"/>
  <c r="Y211" i="277" s="1"/>
  <c r="E13" i="277"/>
  <c r="Q13" i="277"/>
  <c r="G15" i="277"/>
  <c r="S15" i="277"/>
  <c r="H63" i="277"/>
  <c r="T63" i="277"/>
  <c r="F79" i="277"/>
  <c r="Q88" i="277"/>
  <c r="G139" i="277"/>
  <c r="G148" i="277"/>
  <c r="G147" i="277" s="1"/>
  <c r="K309" i="277"/>
  <c r="L471" i="277"/>
  <c r="K269" i="277"/>
  <c r="K262" i="277"/>
  <c r="K244" i="277"/>
  <c r="K257" i="277"/>
  <c r="K245" i="277"/>
  <c r="K293" i="277"/>
  <c r="K294" i="277"/>
  <c r="K299" i="277"/>
  <c r="K231" i="277"/>
  <c r="K223" i="277"/>
  <c r="K222" i="277" s="1"/>
  <c r="K191" i="277"/>
  <c r="K190" i="277" s="1"/>
  <c r="K189" i="277" s="1"/>
  <c r="K173" i="277"/>
  <c r="K308" i="277"/>
  <c r="K307" i="277"/>
  <c r="K230" i="277" s="1"/>
  <c r="K229" i="277" s="1"/>
  <c r="K148" i="277"/>
  <c r="K147" i="277" s="1"/>
  <c r="K145" i="277" s="1"/>
  <c r="K172" i="277"/>
  <c r="K177" i="277"/>
  <c r="K253" i="277"/>
  <c r="K79" i="277"/>
  <c r="K142" i="277"/>
  <c r="N409" i="277"/>
  <c r="N300" i="277" s="1"/>
  <c r="N450" i="277"/>
  <c r="N259" i="277" s="1"/>
  <c r="N412" i="277"/>
  <c r="N301" i="277" s="1"/>
  <c r="N417" i="277"/>
  <c r="N302" i="277" s="1"/>
  <c r="N420" i="277"/>
  <c r="N303" i="277" s="1"/>
  <c r="N390" i="277"/>
  <c r="N289" i="277" s="1"/>
  <c r="N288" i="277" s="1"/>
  <c r="N287" i="277" s="1"/>
  <c r="N249" i="277" s="1"/>
  <c r="N338" i="277"/>
  <c r="N423" i="277"/>
  <c r="N304" i="277" s="1"/>
  <c r="N428" i="277"/>
  <c r="N362" i="277" s="1"/>
  <c r="N243" i="277" s="1"/>
  <c r="N242" i="277" s="1"/>
  <c r="N399" i="277"/>
  <c r="N367" i="277"/>
  <c r="N487" i="277" s="1"/>
  <c r="N278" i="277"/>
  <c r="N121" i="277"/>
  <c r="AP14" i="277"/>
  <c r="D66" i="277"/>
  <c r="I66" i="277"/>
  <c r="I71" i="277"/>
  <c r="O450" i="277"/>
  <c r="O412" i="277"/>
  <c r="O417" i="277"/>
  <c r="O420" i="277"/>
  <c r="O390" i="277"/>
  <c r="O385" i="277" s="1"/>
  <c r="O375" i="277" s="1"/>
  <c r="O338" i="277"/>
  <c r="O423" i="277"/>
  <c r="O428" i="277"/>
  <c r="O409" i="277"/>
  <c r="O278" i="277"/>
  <c r="O367" i="277"/>
  <c r="O487" i="277" s="1"/>
  <c r="O399" i="277"/>
  <c r="P71" i="277"/>
  <c r="F83" i="277"/>
  <c r="S121" i="277"/>
  <c r="K139" i="277"/>
  <c r="K205" i="277"/>
  <c r="M299" i="277"/>
  <c r="N471" i="277"/>
  <c r="M294" i="277"/>
  <c r="M309" i="277"/>
  <c r="M308" i="277"/>
  <c r="M289" i="277"/>
  <c r="M288" i="277" s="1"/>
  <c r="M287" i="277" s="1"/>
  <c r="M249" i="277" s="1"/>
  <c r="M262" i="277"/>
  <c r="M269" i="277"/>
  <c r="M231" i="277"/>
  <c r="M208" i="277"/>
  <c r="M293" i="277"/>
  <c r="M253" i="277"/>
  <c r="M245" i="277"/>
  <c r="M244" i="277"/>
  <c r="M223" i="277"/>
  <c r="M222" i="277" s="1"/>
  <c r="M209" i="277"/>
  <c r="M307" i="277"/>
  <c r="M230" i="277" s="1"/>
  <c r="M229" i="277" s="1"/>
  <c r="M177" i="277"/>
  <c r="M172" i="277"/>
  <c r="M257" i="277"/>
  <c r="M224" i="277"/>
  <c r="M102" i="277"/>
  <c r="M184" i="277"/>
  <c r="M142" i="277"/>
  <c r="M205" i="277"/>
  <c r="M164" i="277"/>
  <c r="M163" i="277" s="1"/>
  <c r="M162" i="277" s="1"/>
  <c r="M160" i="277" s="1"/>
  <c r="M83" i="277"/>
  <c r="M173" i="277"/>
  <c r="M148" i="277"/>
  <c r="M147" i="277" s="1"/>
  <c r="M103" i="277" s="1"/>
  <c r="M139" i="277"/>
  <c r="D450" i="277"/>
  <c r="D412" i="277"/>
  <c r="D417" i="277"/>
  <c r="D420" i="277"/>
  <c r="D423" i="277"/>
  <c r="D428" i="277"/>
  <c r="D362" i="277" s="1"/>
  <c r="D399" i="277"/>
  <c r="D409" i="277"/>
  <c r="D390" i="277"/>
  <c r="D385" i="277" s="1"/>
  <c r="D375" i="277" s="1"/>
  <c r="D291" i="277" s="1"/>
  <c r="D278" i="277"/>
  <c r="D338" i="277"/>
  <c r="D367" i="277"/>
  <c r="D487" i="277" s="1"/>
  <c r="P412" i="277"/>
  <c r="P417" i="277"/>
  <c r="P420" i="277"/>
  <c r="P423" i="277"/>
  <c r="P428" i="277"/>
  <c r="P362" i="277" s="1"/>
  <c r="P399" i="277"/>
  <c r="P390" i="277"/>
  <c r="P385" i="277" s="1"/>
  <c r="P375" i="277" s="1"/>
  <c r="P338" i="277"/>
  <c r="P278" i="277"/>
  <c r="G83" i="277"/>
  <c r="K86" i="277"/>
  <c r="K164" i="277"/>
  <c r="K163" i="277" s="1"/>
  <c r="N308" i="277"/>
  <c r="O471" i="277"/>
  <c r="N307" i="277"/>
  <c r="N230" i="277" s="1"/>
  <c r="N229" i="277" s="1"/>
  <c r="N299" i="277"/>
  <c r="N309" i="277"/>
  <c r="N262" i="277"/>
  <c r="N231" i="277"/>
  <c r="N294" i="277"/>
  <c r="N223" i="277"/>
  <c r="N222" i="277" s="1"/>
  <c r="N224" i="277"/>
  <c r="N173" i="277"/>
  <c r="N247" i="277"/>
  <c r="N245" i="277"/>
  <c r="N244" i="277"/>
  <c r="N269" i="277"/>
  <c r="N253" i="277"/>
  <c r="N177" i="277"/>
  <c r="N172" i="277"/>
  <c r="N293" i="277"/>
  <c r="N208" i="277"/>
  <c r="N205" i="277"/>
  <c r="N257" i="277"/>
  <c r="N209" i="277"/>
  <c r="N191" i="277"/>
  <c r="N190" i="277" s="1"/>
  <c r="N189" i="277" s="1"/>
  <c r="N139" i="277"/>
  <c r="N164" i="277"/>
  <c r="N163" i="277" s="1"/>
  <c r="N162" i="277" s="1"/>
  <c r="N148" i="277"/>
  <c r="N147" i="277" s="1"/>
  <c r="N86" i="277"/>
  <c r="E417" i="277"/>
  <c r="E302" i="277" s="1"/>
  <c r="E420" i="277"/>
  <c r="E303" i="277" s="1"/>
  <c r="E423" i="277"/>
  <c r="E304" i="277" s="1"/>
  <c r="E428" i="277"/>
  <c r="E298" i="277" s="1"/>
  <c r="E399" i="277"/>
  <c r="E247" i="277" s="1"/>
  <c r="E367" i="277"/>
  <c r="E487" i="277" s="1"/>
  <c r="E409" i="277"/>
  <c r="E300" i="277" s="1"/>
  <c r="E450" i="277"/>
  <c r="E259" i="277" s="1"/>
  <c r="E278" i="277"/>
  <c r="E412" i="277"/>
  <c r="E301" i="277" s="1"/>
  <c r="E390" i="277"/>
  <c r="E385" i="277" s="1"/>
  <c r="E375" i="277" s="1"/>
  <c r="E291" i="277" s="1"/>
  <c r="E338" i="277"/>
  <c r="E121" i="277"/>
  <c r="Q417" i="277"/>
  <c r="Q302" i="277" s="1"/>
  <c r="Q420" i="277"/>
  <c r="Q303" i="277" s="1"/>
  <c r="Q423" i="277"/>
  <c r="Q304" i="277" s="1"/>
  <c r="Q428" i="277"/>
  <c r="Q298" i="277" s="1"/>
  <c r="Q399" i="277"/>
  <c r="Q247" i="277" s="1"/>
  <c r="Q367" i="277"/>
  <c r="Q487" i="277" s="1"/>
  <c r="Q409" i="277"/>
  <c r="Q300" i="277" s="1"/>
  <c r="Q338" i="277"/>
  <c r="Q278" i="277"/>
  <c r="Q450" i="277"/>
  <c r="Q259" i="277" s="1"/>
  <c r="Q412" i="277"/>
  <c r="Q301" i="277" s="1"/>
  <c r="Q390" i="277"/>
  <c r="Q385" i="277" s="1"/>
  <c r="Q375" i="277" s="1"/>
  <c r="Q219" i="277"/>
  <c r="Q121" i="277"/>
  <c r="K15" i="277"/>
  <c r="S62" i="277"/>
  <c r="J66" i="277"/>
  <c r="M79" i="277"/>
  <c r="G154" i="277"/>
  <c r="F417" i="277"/>
  <c r="F302" i="277" s="1"/>
  <c r="F420" i="277"/>
  <c r="F303" i="277" s="1"/>
  <c r="F423" i="277"/>
  <c r="F304" i="277" s="1"/>
  <c r="F428" i="277"/>
  <c r="F362" i="277" s="1"/>
  <c r="F243" i="277" s="1"/>
  <c r="F242" i="277" s="1"/>
  <c r="F399" i="277"/>
  <c r="F247" i="277" s="1"/>
  <c r="F367" i="277"/>
  <c r="F487" i="277" s="1"/>
  <c r="F409" i="277"/>
  <c r="F300" i="277" s="1"/>
  <c r="F450" i="277"/>
  <c r="F259" i="277" s="1"/>
  <c r="F412" i="277"/>
  <c r="F301" i="277" s="1"/>
  <c r="F338" i="277"/>
  <c r="F278" i="277"/>
  <c r="F390" i="277"/>
  <c r="F385" i="277" s="1"/>
  <c r="F375" i="277" s="1"/>
  <c r="F121" i="277"/>
  <c r="R417" i="277"/>
  <c r="R420" i="277"/>
  <c r="R303" i="277" s="1"/>
  <c r="R423" i="277"/>
  <c r="R304" i="277" s="1"/>
  <c r="R428" i="277"/>
  <c r="R298" i="277" s="1"/>
  <c r="R399" i="277"/>
  <c r="R367" i="277"/>
  <c r="R487" i="277" s="1"/>
  <c r="R409" i="277"/>
  <c r="R450" i="277"/>
  <c r="R412" i="277"/>
  <c r="R390" i="277"/>
  <c r="R385" i="277" s="1"/>
  <c r="R375" i="277" s="1"/>
  <c r="R291" i="277" s="1"/>
  <c r="S290" i="277" s="1"/>
  <c r="R338" i="277"/>
  <c r="R278" i="277"/>
  <c r="R121" i="277"/>
  <c r="M71" i="277"/>
  <c r="M62" i="277" s="1"/>
  <c r="M66" i="277"/>
  <c r="N79" i="277"/>
  <c r="K83" i="277"/>
  <c r="M86" i="277"/>
  <c r="K154" i="277"/>
  <c r="N194" i="277"/>
  <c r="O331" i="277"/>
  <c r="O194" i="277"/>
  <c r="U194" i="277"/>
  <c r="E514" i="277"/>
  <c r="E516" i="277" s="1"/>
  <c r="Q514" i="277"/>
  <c r="Q516" i="277" s="1"/>
  <c r="Q519" i="277" s="1"/>
  <c r="G476" i="277"/>
  <c r="S476" i="277"/>
  <c r="L514" i="277"/>
  <c r="L516" i="277" s="1"/>
  <c r="L519" i="277" s="1"/>
  <c r="J357" i="277"/>
  <c r="V357" i="277"/>
  <c r="U385" i="277"/>
  <c r="U375" i="277" s="1"/>
  <c r="O378" i="277"/>
  <c r="N476" i="277"/>
  <c r="G514" i="277"/>
  <c r="G516" i="277" s="1"/>
  <c r="F357" i="277"/>
  <c r="F307" i="277" s="1"/>
  <c r="F230" i="277" s="1"/>
  <c r="F229" i="277" s="1"/>
  <c r="R357" i="277"/>
  <c r="O476" i="277"/>
  <c r="D476" i="277"/>
  <c r="P476" i="277"/>
  <c r="J378" i="277"/>
  <c r="V378" i="277"/>
  <c r="I476" i="277"/>
  <c r="U476" i="277"/>
  <c r="E8" i="275"/>
  <c r="F471" i="275" s="1"/>
  <c r="X307" i="275"/>
  <c r="X300" i="275"/>
  <c r="X309" i="275"/>
  <c r="X302" i="275"/>
  <c r="X293" i="275"/>
  <c r="X298" i="275"/>
  <c r="X290" i="275"/>
  <c r="X299" i="275"/>
  <c r="Y471" i="275"/>
  <c r="X301" i="275"/>
  <c r="X297" i="275"/>
  <c r="X294" i="275"/>
  <c r="X262" i="275"/>
  <c r="X230" i="275"/>
  <c r="X304" i="275"/>
  <c r="X224" i="275"/>
  <c r="X308" i="275"/>
  <c r="X204" i="275"/>
  <c r="X252" i="275"/>
  <c r="X251" i="275"/>
  <c r="X250" i="275" s="1"/>
  <c r="X223" i="275"/>
  <c r="X249" i="275"/>
  <c r="X154" i="275"/>
  <c r="X191" i="275"/>
  <c r="X289" i="275"/>
  <c r="X243" i="275"/>
  <c r="X201" i="275"/>
  <c r="X175" i="275"/>
  <c r="X176" i="275"/>
  <c r="X164" i="275"/>
  <c r="X163" i="275" s="1"/>
  <c r="X138" i="275"/>
  <c r="X148" i="275"/>
  <c r="X147" i="275" s="1"/>
  <c r="X203" i="275"/>
  <c r="X170" i="275"/>
  <c r="X268" i="275"/>
  <c r="X184" i="275"/>
  <c r="X303" i="275"/>
  <c r="X205" i="275"/>
  <c r="X141" i="275"/>
  <c r="X15" i="275"/>
  <c r="W450" i="275"/>
  <c r="W412" i="275"/>
  <c r="W423" i="275"/>
  <c r="W362" i="275"/>
  <c r="W417" i="275"/>
  <c r="W489" i="275"/>
  <c r="W219" i="275"/>
  <c r="W211" i="275" s="1"/>
  <c r="W121" i="275"/>
  <c r="W8" i="275"/>
  <c r="G12" i="275"/>
  <c r="G14" i="275"/>
  <c r="S12" i="275"/>
  <c r="S13" i="275"/>
  <c r="S14" i="275"/>
  <c r="Q9" i="275"/>
  <c r="AO14" i="275"/>
  <c r="W92" i="275"/>
  <c r="W63" i="275" s="1"/>
  <c r="T154" i="275"/>
  <c r="M299" i="275"/>
  <c r="M308" i="275"/>
  <c r="M309" i="275"/>
  <c r="N471" i="275"/>
  <c r="M307" i="275"/>
  <c r="M230" i="275" s="1"/>
  <c r="M229" i="275" s="1"/>
  <c r="M257" i="275"/>
  <c r="M253" i="275"/>
  <c r="M231" i="275"/>
  <c r="M262" i="275"/>
  <c r="M269" i="275"/>
  <c r="M244" i="275"/>
  <c r="M293" i="275"/>
  <c r="M245" i="275"/>
  <c r="M223" i="275"/>
  <c r="M222" i="275" s="1"/>
  <c r="M209" i="275"/>
  <c r="M294" i="275"/>
  <c r="M177" i="275"/>
  <c r="M164" i="275"/>
  <c r="M163" i="275" s="1"/>
  <c r="M162" i="275" s="1"/>
  <c r="M160" i="275" s="1"/>
  <c r="M148" i="275"/>
  <c r="M147" i="275" s="1"/>
  <c r="M233" i="275" s="1"/>
  <c r="M224" i="275"/>
  <c r="M191" i="275"/>
  <c r="M184" i="275" s="1"/>
  <c r="M205" i="275"/>
  <c r="M172" i="275"/>
  <c r="M139" i="275"/>
  <c r="M208" i="275"/>
  <c r="M154" i="275"/>
  <c r="M173" i="275"/>
  <c r="M15" i="275"/>
  <c r="M79" i="275"/>
  <c r="M62" i="275"/>
  <c r="M86" i="275"/>
  <c r="O71" i="275"/>
  <c r="O63" i="275"/>
  <c r="X245" i="275"/>
  <c r="N71" i="275"/>
  <c r="N62" i="275" s="1"/>
  <c r="N66" i="275"/>
  <c r="R471" i="275"/>
  <c r="Q309" i="275"/>
  <c r="Q253" i="275"/>
  <c r="Q308" i="275"/>
  <c r="Q244" i="275"/>
  <c r="Q299" i="275"/>
  <c r="Q262" i="275"/>
  <c r="Q245" i="275"/>
  <c r="Q257" i="275"/>
  <c r="Q223" i="275"/>
  <c r="Q222" i="275" s="1"/>
  <c r="Q269" i="275"/>
  <c r="Q224" i="275"/>
  <c r="Q173" i="275"/>
  <c r="Q294" i="275"/>
  <c r="Q177" i="275"/>
  <c r="Q205" i="275"/>
  <c r="Q208" i="275"/>
  <c r="Q293" i="275"/>
  <c r="Q164" i="275"/>
  <c r="Q163" i="275" s="1"/>
  <c r="Q162" i="275" s="1"/>
  <c r="Q160" i="275" s="1"/>
  <c r="Q142" i="275"/>
  <c r="Q209" i="275"/>
  <c r="Q139" i="275"/>
  <c r="Q83" i="275"/>
  <c r="Q191" i="275"/>
  <c r="Q190" i="275" s="1"/>
  <c r="Q189" i="275" s="1"/>
  <c r="Q231" i="275"/>
  <c r="Q148" i="275"/>
  <c r="Q147" i="275" s="1"/>
  <c r="Q145" i="275" s="1"/>
  <c r="Q154" i="275"/>
  <c r="Q79" i="275"/>
  <c r="Q172" i="275"/>
  <c r="Q66" i="275"/>
  <c r="Q86" i="275"/>
  <c r="E63" i="275"/>
  <c r="E66" i="275"/>
  <c r="Q71" i="275"/>
  <c r="Q88" i="275"/>
  <c r="Q92" i="275"/>
  <c r="X92" i="275"/>
  <c r="X63" i="275" s="1"/>
  <c r="R308" i="275"/>
  <c r="R299" i="275"/>
  <c r="R253" i="275"/>
  <c r="R245" i="275"/>
  <c r="R257" i="275"/>
  <c r="R205" i="275"/>
  <c r="R293" i="275"/>
  <c r="R233" i="275"/>
  <c r="R83" i="275"/>
  <c r="R191" i="275"/>
  <c r="R190" i="275" s="1"/>
  <c r="R189" i="275" s="1"/>
  <c r="R231" i="275"/>
  <c r="R262" i="275"/>
  <c r="R15" i="275"/>
  <c r="H489" i="275"/>
  <c r="H420" i="275"/>
  <c r="H390" i="275"/>
  <c r="H385" i="275" s="1"/>
  <c r="H409" i="275"/>
  <c r="H291" i="275"/>
  <c r="H278" i="275"/>
  <c r="T420" i="275"/>
  <c r="T303" i="275" s="1"/>
  <c r="T390" i="275"/>
  <c r="T289" i="275" s="1"/>
  <c r="T288" i="275" s="1"/>
  <c r="T287" i="275" s="1"/>
  <c r="T249" i="275" s="1"/>
  <c r="T338" i="275"/>
  <c r="T423" i="275"/>
  <c r="T304" i="275" s="1"/>
  <c r="T428" i="275"/>
  <c r="T298" i="275" s="1"/>
  <c r="T399" i="275"/>
  <c r="T247" i="275" s="1"/>
  <c r="T367" i="275"/>
  <c r="T487" i="275" s="1"/>
  <c r="T409" i="275"/>
  <c r="T412" i="275"/>
  <c r="T301" i="275" s="1"/>
  <c r="T278" i="275"/>
  <c r="T450" i="275"/>
  <c r="T259" i="275" s="1"/>
  <c r="T417" i="275"/>
  <c r="T302" i="275" s="1"/>
  <c r="T121" i="275"/>
  <c r="T219" i="275"/>
  <c r="G13" i="275"/>
  <c r="M83" i="275"/>
  <c r="R92" i="275"/>
  <c r="R63" i="275" s="1"/>
  <c r="R88" i="275"/>
  <c r="T471" i="275"/>
  <c r="S307" i="275"/>
  <c r="S230" i="275" s="1"/>
  <c r="S229" i="275" s="1"/>
  <c r="S299" i="275"/>
  <c r="S293" i="275"/>
  <c r="S308" i="275"/>
  <c r="S289" i="275"/>
  <c r="S288" i="275" s="1"/>
  <c r="S287" i="275" s="1"/>
  <c r="S249" i="275" s="1"/>
  <c r="S257" i="275"/>
  <c r="S245" i="275"/>
  <c r="S253" i="275"/>
  <c r="S231" i="275"/>
  <c r="S309" i="275"/>
  <c r="S262" i="275"/>
  <c r="S269" i="275"/>
  <c r="S209" i="275"/>
  <c r="S191" i="275"/>
  <c r="S190" i="275" s="1"/>
  <c r="S294" i="275"/>
  <c r="S177" i="275"/>
  <c r="S164" i="275"/>
  <c r="S163" i="275" s="1"/>
  <c r="S162" i="275" s="1"/>
  <c r="S76" i="275" s="1"/>
  <c r="S148" i="275"/>
  <c r="S147" i="275" s="1"/>
  <c r="S233" i="275" s="1"/>
  <c r="S205" i="275"/>
  <c r="S208" i="275"/>
  <c r="S224" i="275"/>
  <c r="S244" i="275"/>
  <c r="S79" i="275"/>
  <c r="S62" i="275"/>
  <c r="S172" i="275"/>
  <c r="S66" i="275"/>
  <c r="S86" i="275"/>
  <c r="S142" i="275"/>
  <c r="S83" i="275"/>
  <c r="S15" i="275"/>
  <c r="S223" i="275"/>
  <c r="S222" i="275" s="1"/>
  <c r="S139" i="275"/>
  <c r="S173" i="275"/>
  <c r="I423" i="275"/>
  <c r="I493" i="275"/>
  <c r="I428" i="275"/>
  <c r="I399" i="275"/>
  <c r="I367" i="275"/>
  <c r="I487" i="275" s="1"/>
  <c r="I409" i="275"/>
  <c r="I489" i="275"/>
  <c r="I420" i="275"/>
  <c r="I390" i="275"/>
  <c r="I385" i="275" s="1"/>
  <c r="I362" i="275"/>
  <c r="I338" i="275"/>
  <c r="I331" i="275" s="1"/>
  <c r="I412" i="275"/>
  <c r="I450" i="275"/>
  <c r="I417" i="275"/>
  <c r="I375" i="275"/>
  <c r="I291" i="275"/>
  <c r="I278" i="275"/>
  <c r="I121" i="275"/>
  <c r="I8" i="275"/>
  <c r="U423" i="275"/>
  <c r="U428" i="275"/>
  <c r="U362" i="275" s="1"/>
  <c r="U399" i="275"/>
  <c r="U367" i="275"/>
  <c r="U487" i="275" s="1"/>
  <c r="U409" i="275"/>
  <c r="U420" i="275"/>
  <c r="U390" i="275"/>
  <c r="U338" i="275"/>
  <c r="U450" i="275"/>
  <c r="U412" i="275"/>
  <c r="U278" i="275"/>
  <c r="U417" i="275"/>
  <c r="U219" i="275"/>
  <c r="U121" i="275"/>
  <c r="U8" i="275"/>
  <c r="E14" i="275"/>
  <c r="Q15" i="275"/>
  <c r="X62" i="275"/>
  <c r="L92" i="275"/>
  <c r="L63" i="275" s="1"/>
  <c r="T307" i="275"/>
  <c r="T230" i="275" s="1"/>
  <c r="T229" i="275" s="1"/>
  <c r="T308" i="275"/>
  <c r="U471" i="275"/>
  <c r="T300" i="275"/>
  <c r="T294" i="275"/>
  <c r="T269" i="275"/>
  <c r="T262" i="275"/>
  <c r="T231" i="275"/>
  <c r="T224" i="275"/>
  <c r="T299" i="275"/>
  <c r="T246" i="275"/>
  <c r="T245" i="275"/>
  <c r="T209" i="275"/>
  <c r="T208" i="275"/>
  <c r="T244" i="275"/>
  <c r="T293" i="275"/>
  <c r="T191" i="275"/>
  <c r="T190" i="275" s="1"/>
  <c r="T189" i="275" s="1"/>
  <c r="T309" i="275"/>
  <c r="T177" i="275"/>
  <c r="T164" i="275"/>
  <c r="T163" i="275" s="1"/>
  <c r="T162" i="275" s="1"/>
  <c r="T160" i="275" s="1"/>
  <c r="T205" i="275"/>
  <c r="T257" i="275"/>
  <c r="T173" i="275"/>
  <c r="T142" i="275"/>
  <c r="T223" i="275"/>
  <c r="T222" i="275" s="1"/>
  <c r="T148" i="275"/>
  <c r="T147" i="275" s="1"/>
  <c r="T145" i="275" s="1"/>
  <c r="T52" i="275" s="1"/>
  <c r="T253" i="275"/>
  <c r="T62" i="275"/>
  <c r="T172" i="275"/>
  <c r="T66" i="275"/>
  <c r="T86" i="275"/>
  <c r="T83" i="275"/>
  <c r="T15" i="275"/>
  <c r="T139" i="275"/>
  <c r="J423" i="275"/>
  <c r="J493" i="275"/>
  <c r="J428" i="275"/>
  <c r="J399" i="275"/>
  <c r="J367" i="275"/>
  <c r="J487" i="275" s="1"/>
  <c r="J409" i="275"/>
  <c r="J450" i="275"/>
  <c r="J412" i="275"/>
  <c r="J489" i="275"/>
  <c r="J420" i="275"/>
  <c r="J390" i="275"/>
  <c r="J385" i="275" s="1"/>
  <c r="J338" i="275"/>
  <c r="J331" i="275" s="1"/>
  <c r="J362" i="275"/>
  <c r="J278" i="275"/>
  <c r="J417" i="275"/>
  <c r="J375" i="275"/>
  <c r="J291" i="275"/>
  <c r="J8" i="275"/>
  <c r="J121" i="275"/>
  <c r="V450" i="275"/>
  <c r="V338" i="275"/>
  <c r="V331" i="275" s="1"/>
  <c r="D12" i="275"/>
  <c r="D13" i="275"/>
  <c r="D14" i="275"/>
  <c r="P12" i="275"/>
  <c r="P13" i="275"/>
  <c r="P14" i="275"/>
  <c r="N9" i="275"/>
  <c r="AL14" i="275"/>
  <c r="D92" i="275"/>
  <c r="D63" i="275" s="1"/>
  <c r="O450" i="275"/>
  <c r="O412" i="275"/>
  <c r="O417" i="275"/>
  <c r="O420" i="275"/>
  <c r="O390" i="275"/>
  <c r="O385" i="275" s="1"/>
  <c r="O375" i="275" s="1"/>
  <c r="O338" i="275"/>
  <c r="O409" i="275"/>
  <c r="O423" i="275"/>
  <c r="O428" i="275"/>
  <c r="O362" i="275" s="1"/>
  <c r="O278" i="275"/>
  <c r="O367" i="275"/>
  <c r="O487" i="275" s="1"/>
  <c r="O399" i="275"/>
  <c r="O8" i="275"/>
  <c r="O121" i="275"/>
  <c r="K493" i="275"/>
  <c r="K428" i="275"/>
  <c r="K399" i="275"/>
  <c r="K367" i="275"/>
  <c r="K487" i="275" s="1"/>
  <c r="K409" i="275"/>
  <c r="K450" i="275"/>
  <c r="K412" i="275"/>
  <c r="K423" i="275"/>
  <c r="K417" i="275"/>
  <c r="K489" i="275"/>
  <c r="K420" i="275"/>
  <c r="K390" i="275"/>
  <c r="K385" i="275" s="1"/>
  <c r="K338" i="275"/>
  <c r="K331" i="275" s="1"/>
  <c r="K375" i="275"/>
  <c r="K291" i="275"/>
  <c r="K362" i="275"/>
  <c r="K8" i="275"/>
  <c r="K121" i="275"/>
  <c r="L66" i="275"/>
  <c r="Y299" i="275"/>
  <c r="Y308" i="275"/>
  <c r="Y309" i="275"/>
  <c r="Y301" i="275"/>
  <c r="Y307" i="275"/>
  <c r="Y293" i="275"/>
  <c r="Y303" i="275"/>
  <c r="Y251" i="275"/>
  <c r="Y223" i="275"/>
  <c r="Y268" i="275"/>
  <c r="Y245" i="275"/>
  <c r="Y304" i="275"/>
  <c r="Y201" i="275"/>
  <c r="Y298" i="275"/>
  <c r="Y224" i="275"/>
  <c r="Y203" i="275"/>
  <c r="Y164" i="275"/>
  <c r="Y163" i="275" s="1"/>
  <c r="Y191" i="275"/>
  <c r="Y175" i="275"/>
  <c r="Y170" i="275"/>
  <c r="Y262" i="275"/>
  <c r="Y184" i="275"/>
  <c r="Y138" i="275"/>
  <c r="Y15" i="275"/>
  <c r="Y62" i="275"/>
  <c r="Q12" i="275"/>
  <c r="J63" i="275"/>
  <c r="V63" i="275"/>
  <c r="S154" i="275"/>
  <c r="N83" i="275"/>
  <c r="L417" i="275"/>
  <c r="L375" i="275"/>
  <c r="X493" i="275"/>
  <c r="X428" i="275"/>
  <c r="X399" i="275"/>
  <c r="X367" i="275"/>
  <c r="X487" i="275" s="1"/>
  <c r="X409" i="275"/>
  <c r="X450" i="275"/>
  <c r="X412" i="275"/>
  <c r="X417" i="275"/>
  <c r="X375" i="275"/>
  <c r="X489" i="275"/>
  <c r="X362" i="275"/>
  <c r="X423" i="275"/>
  <c r="X291" i="275"/>
  <c r="X219" i="275"/>
  <c r="X211" i="275" s="1"/>
  <c r="X338" i="275"/>
  <c r="X331" i="275" s="1"/>
  <c r="X420" i="275"/>
  <c r="X121" i="275"/>
  <c r="X390" i="275"/>
  <c r="X385" i="275" s="1"/>
  <c r="F14" i="275"/>
  <c r="R14" i="275"/>
  <c r="D66" i="275"/>
  <c r="M409" i="275"/>
  <c r="M300" i="275" s="1"/>
  <c r="M450" i="275"/>
  <c r="M259" i="275" s="1"/>
  <c r="M412" i="275"/>
  <c r="M301" i="275" s="1"/>
  <c r="M417" i="275"/>
  <c r="M302" i="275" s="1"/>
  <c r="M428" i="275"/>
  <c r="M362" i="275" s="1"/>
  <c r="M243" i="275" s="1"/>
  <c r="M242" i="275" s="1"/>
  <c r="M399" i="275"/>
  <c r="M247" i="275" s="1"/>
  <c r="M367" i="275"/>
  <c r="M487" i="275" s="1"/>
  <c r="M338" i="275"/>
  <c r="M390" i="275"/>
  <c r="M385" i="275" s="1"/>
  <c r="M375" i="275" s="1"/>
  <c r="M423" i="275"/>
  <c r="M304" i="275" s="1"/>
  <c r="M278" i="275"/>
  <c r="M420" i="275"/>
  <c r="M303" i="275" s="1"/>
  <c r="Y409" i="275"/>
  <c r="Y450" i="275"/>
  <c r="Y412" i="275"/>
  <c r="Y417" i="275"/>
  <c r="Y375" i="275"/>
  <c r="Y493" i="275"/>
  <c r="Y428" i="275"/>
  <c r="Y399" i="275"/>
  <c r="Y367" i="275"/>
  <c r="Y487" i="275" s="1"/>
  <c r="Y420" i="275"/>
  <c r="Y390" i="275"/>
  <c r="Y385" i="275" s="1"/>
  <c r="Y423" i="275"/>
  <c r="Y489" i="275"/>
  <c r="Y362" i="275"/>
  <c r="Y338" i="275"/>
  <c r="Y331" i="275" s="1"/>
  <c r="Y219" i="275"/>
  <c r="Y211" i="275" s="1"/>
  <c r="Y291" i="275"/>
  <c r="P63" i="275"/>
  <c r="N409" i="275"/>
  <c r="N300" i="275" s="1"/>
  <c r="N450" i="275"/>
  <c r="N259" i="275" s="1"/>
  <c r="N412" i="275"/>
  <c r="N301" i="275" s="1"/>
  <c r="N417" i="275"/>
  <c r="N302" i="275" s="1"/>
  <c r="N420" i="275"/>
  <c r="N303" i="275" s="1"/>
  <c r="N390" i="275"/>
  <c r="N385" i="275" s="1"/>
  <c r="N375" i="275" s="1"/>
  <c r="N338" i="275"/>
  <c r="N399" i="275"/>
  <c r="N247" i="275" s="1"/>
  <c r="N428" i="275"/>
  <c r="N362" i="275" s="1"/>
  <c r="N243" i="275" s="1"/>
  <c r="N242" i="275" s="1"/>
  <c r="N423" i="275"/>
  <c r="N304" i="275" s="1"/>
  <c r="N367" i="275"/>
  <c r="N487" i="275" s="1"/>
  <c r="N278" i="275"/>
  <c r="F66" i="275"/>
  <c r="M121" i="275"/>
  <c r="F63" i="275"/>
  <c r="N121" i="275"/>
  <c r="D450" i="275"/>
  <c r="D412" i="275"/>
  <c r="D417" i="275"/>
  <c r="D375" i="275"/>
  <c r="D489" i="275"/>
  <c r="D428" i="275"/>
  <c r="D367" i="275"/>
  <c r="D487" i="275" s="1"/>
  <c r="D409" i="275"/>
  <c r="D399" i="275"/>
  <c r="D493" i="275"/>
  <c r="P450" i="275"/>
  <c r="P412" i="275"/>
  <c r="P417" i="275"/>
  <c r="P420" i="275"/>
  <c r="P390" i="275"/>
  <c r="P385" i="275" s="1"/>
  <c r="P375" i="275" s="1"/>
  <c r="P423" i="275"/>
  <c r="P428" i="275"/>
  <c r="P362" i="275" s="1"/>
  <c r="P367" i="275"/>
  <c r="P487" i="275" s="1"/>
  <c r="P409" i="275"/>
  <c r="P278" i="275"/>
  <c r="P219" i="275"/>
  <c r="P211" i="275" s="1"/>
  <c r="P338" i="275" s="1"/>
  <c r="P399" i="275"/>
  <c r="P121" i="275"/>
  <c r="N308" i="275"/>
  <c r="O471" i="275"/>
  <c r="N294" i="275"/>
  <c r="N299" i="275"/>
  <c r="N257" i="275"/>
  <c r="N307" i="275"/>
  <c r="N230" i="275" s="1"/>
  <c r="N229" i="275" s="1"/>
  <c r="N293" i="275"/>
  <c r="N309" i="275"/>
  <c r="N269" i="275"/>
  <c r="N262" i="275"/>
  <c r="N244" i="275"/>
  <c r="N253" i="275"/>
  <c r="N231" i="275"/>
  <c r="N208" i="275"/>
  <c r="N205" i="275"/>
  <c r="N209" i="275"/>
  <c r="N191" i="275"/>
  <c r="N184" i="275" s="1"/>
  <c r="N245" i="275"/>
  <c r="N172" i="275"/>
  <c r="N139" i="275"/>
  <c r="N224" i="275"/>
  <c r="N154" i="275"/>
  <c r="N177" i="275"/>
  <c r="N86" i="275"/>
  <c r="N173" i="275"/>
  <c r="N164" i="275"/>
  <c r="N163" i="275" s="1"/>
  <c r="N162" i="275" s="1"/>
  <c r="N160" i="275" s="1"/>
  <c r="N142" i="275"/>
  <c r="E417" i="275"/>
  <c r="E420" i="275"/>
  <c r="E390" i="275"/>
  <c r="E385" i="275" s="1"/>
  <c r="E362" i="275"/>
  <c r="E338" i="275"/>
  <c r="E331" i="275" s="1"/>
  <c r="E423" i="275"/>
  <c r="E450" i="275"/>
  <c r="E412" i="275"/>
  <c r="E399" i="275"/>
  <c r="E493" i="275"/>
  <c r="E428" i="275"/>
  <c r="E367" i="275"/>
  <c r="E487" i="275" s="1"/>
  <c r="E278" i="275"/>
  <c r="Q417" i="275"/>
  <c r="Q302" i="275" s="1"/>
  <c r="Q420" i="275"/>
  <c r="Q303" i="275" s="1"/>
  <c r="Q390" i="275"/>
  <c r="Q385" i="275" s="1"/>
  <c r="Q375" i="275" s="1"/>
  <c r="Q338" i="275"/>
  <c r="Q423" i="275"/>
  <c r="Q304" i="275" s="1"/>
  <c r="Q450" i="275"/>
  <c r="Q259" i="275" s="1"/>
  <c r="Q412" i="275"/>
  <c r="Q301" i="275" s="1"/>
  <c r="Q428" i="275"/>
  <c r="Q298" i="275" s="1"/>
  <c r="Q399" i="275"/>
  <c r="Q247" i="275" s="1"/>
  <c r="Q409" i="275"/>
  <c r="Q300" i="275" s="1"/>
  <c r="Q367" i="275"/>
  <c r="Q487" i="275" s="1"/>
  <c r="Q278" i="275"/>
  <c r="Q219" i="275"/>
  <c r="Q121" i="275"/>
  <c r="K14" i="275"/>
  <c r="W14" i="275"/>
  <c r="F417" i="275"/>
  <c r="F375" i="275"/>
  <c r="F489" i="275"/>
  <c r="F420" i="275"/>
  <c r="F390" i="275"/>
  <c r="F385" i="275" s="1"/>
  <c r="F362" i="275"/>
  <c r="F338" i="275"/>
  <c r="F331" i="275" s="1"/>
  <c r="F423" i="275"/>
  <c r="F493" i="275"/>
  <c r="F428" i="275"/>
  <c r="F399" i="275"/>
  <c r="F367" i="275"/>
  <c r="F487" i="275" s="1"/>
  <c r="F409" i="275"/>
  <c r="F278" i="275"/>
  <c r="F412" i="275"/>
  <c r="F450" i="275"/>
  <c r="F291" i="275"/>
  <c r="F121" i="275"/>
  <c r="R417" i="275"/>
  <c r="R420" i="275"/>
  <c r="R390" i="275"/>
  <c r="R385" i="275" s="1"/>
  <c r="R375" i="275" s="1"/>
  <c r="R338" i="275"/>
  <c r="R423" i="275"/>
  <c r="R428" i="275"/>
  <c r="R399" i="275"/>
  <c r="R247" i="275" s="1"/>
  <c r="R367" i="275"/>
  <c r="R487" i="275" s="1"/>
  <c r="R412" i="275"/>
  <c r="R301" i="275" s="1"/>
  <c r="R278" i="275"/>
  <c r="R409" i="275"/>
  <c r="R219" i="275"/>
  <c r="R450" i="275"/>
  <c r="J66" i="275"/>
  <c r="P8" i="275"/>
  <c r="G489" i="275"/>
  <c r="G420" i="275"/>
  <c r="G390" i="275"/>
  <c r="G385" i="275" s="1"/>
  <c r="G362" i="275"/>
  <c r="G338" i="275"/>
  <c r="G331" i="275" s="1"/>
  <c r="G399" i="275"/>
  <c r="G367" i="275"/>
  <c r="G487" i="275" s="1"/>
  <c r="G417" i="275"/>
  <c r="G375" i="275"/>
  <c r="G450" i="275"/>
  <c r="G278" i="275"/>
  <c r="G412" i="275"/>
  <c r="S420" i="275"/>
  <c r="S303" i="275" s="1"/>
  <c r="S390" i="275"/>
  <c r="S385" i="275" s="1"/>
  <c r="S375" i="275" s="1"/>
  <c r="S338" i="275"/>
  <c r="S423" i="275"/>
  <c r="S304" i="275" s="1"/>
  <c r="S428" i="275"/>
  <c r="S298" i="275" s="1"/>
  <c r="S399" i="275"/>
  <c r="S247" i="275" s="1"/>
  <c r="S367" i="275"/>
  <c r="S487" i="275" s="1"/>
  <c r="S417" i="275"/>
  <c r="S302" i="275" s="1"/>
  <c r="S409" i="275"/>
  <c r="S300" i="275" s="1"/>
  <c r="S412" i="275"/>
  <c r="S301" i="275" s="1"/>
  <c r="S278" i="275"/>
  <c r="S450" i="275"/>
  <c r="S259" i="275" s="1"/>
  <c r="S219" i="275"/>
  <c r="S121" i="275"/>
  <c r="Y121" i="275"/>
  <c r="L156" i="275"/>
  <c r="L155" i="275" s="1"/>
  <c r="D357" i="275"/>
  <c r="P357" i="275"/>
  <c r="E357" i="275"/>
  <c r="Q357" i="275"/>
  <c r="Q307" i="275" s="1"/>
  <c r="Q230" i="275" s="1"/>
  <c r="Q229" i="275" s="1"/>
  <c r="H514" i="275"/>
  <c r="H516" i="275" s="1"/>
  <c r="G514" i="275"/>
  <c r="G516" i="275" s="1"/>
  <c r="N514" i="275"/>
  <c r="N516" i="275" s="1"/>
  <c r="N519" i="275" s="1"/>
  <c r="E507" i="275"/>
  <c r="Q507" i="275"/>
  <c r="Q514" i="275" s="1"/>
  <c r="Q516" i="275" s="1"/>
  <c r="Q519" i="275" s="1"/>
  <c r="P514" i="275"/>
  <c r="P516" i="275" s="1"/>
  <c r="P519" i="275" s="1"/>
  <c r="E325" i="275"/>
  <c r="E505" i="275" s="1"/>
  <c r="E514" i="275" s="1"/>
  <c r="E516" i="275" s="1"/>
  <c r="K514" i="275"/>
  <c r="K516" i="275" s="1"/>
  <c r="K519" i="275" s="1"/>
  <c r="U385" i="275"/>
  <c r="U375" i="275" s="1"/>
  <c r="U291" i="275" s="1"/>
  <c r="D325" i="275"/>
  <c r="D505" i="275" s="1"/>
  <c r="D514" i="275" s="1"/>
  <c r="D516" i="275" s="1"/>
  <c r="D476" i="275"/>
  <c r="P476" i="275"/>
  <c r="F507" i="275"/>
  <c r="F514" i="275" s="1"/>
  <c r="F516" i="275" s="1"/>
  <c r="R507" i="275"/>
  <c r="R514" i="275" s="1"/>
  <c r="R516" i="275" s="1"/>
  <c r="R519" i="275" s="1"/>
  <c r="M514" i="275"/>
  <c r="M516" i="275" s="1"/>
  <c r="M519" i="275" s="1"/>
  <c r="H476" i="275"/>
  <c r="T476" i="275"/>
  <c r="G507" i="275"/>
  <c r="I476" i="275"/>
  <c r="U476" i="275"/>
  <c r="J514" i="275"/>
  <c r="J516" i="275" s="1"/>
  <c r="J519" i="275" s="1"/>
  <c r="J476" i="275"/>
  <c r="V476" i="275"/>
  <c r="P5" i="6"/>
  <c r="Q5" i="6" s="1"/>
  <c r="R5" i="6" s="1"/>
  <c r="V16" i="112"/>
  <c r="V13" i="112" s="1"/>
  <c r="C6" i="112"/>
  <c r="AW16" i="112"/>
  <c r="Y9" i="112" s="1"/>
  <c r="AT16" i="112"/>
  <c r="AT14" i="112" s="1"/>
  <c r="AU16" i="112"/>
  <c r="W9" i="112" s="1"/>
  <c r="AV16" i="112"/>
  <c r="AV14" i="112" s="1"/>
  <c r="Y478" i="112"/>
  <c r="Y72" i="112" s="1"/>
  <c r="Y465" i="112"/>
  <c r="Y433" i="112"/>
  <c r="Y488" i="112" s="1"/>
  <c r="Y394" i="112"/>
  <c r="Y386" i="112"/>
  <c r="Y383" i="112"/>
  <c r="Y379" i="112"/>
  <c r="Y376" i="112"/>
  <c r="Y371" i="112"/>
  <c r="Y368" i="112"/>
  <c r="Y363" i="112"/>
  <c r="Y486" i="112" s="1"/>
  <c r="Y358" i="112"/>
  <c r="Y490" i="112" s="1"/>
  <c r="Y351" i="112"/>
  <c r="Y348" i="112"/>
  <c r="Y339" i="112"/>
  <c r="Y332" i="112"/>
  <c r="Y194" i="112" s="1"/>
  <c r="Y328" i="112"/>
  <c r="Y326" i="112"/>
  <c r="Y325" i="112" s="1"/>
  <c r="Y320" i="112"/>
  <c r="Y315" i="112"/>
  <c r="Y118" i="112"/>
  <c r="Y93" i="112" s="1"/>
  <c r="Y111" i="112"/>
  <c r="Y110" i="112"/>
  <c r="Y106" i="112" s="1"/>
  <c r="Y16" i="112"/>
  <c r="Y13" i="112" s="1"/>
  <c r="X478" i="112"/>
  <c r="X72" i="112" s="1"/>
  <c r="X465" i="112"/>
  <c r="X433" i="112"/>
  <c r="X488" i="112" s="1"/>
  <c r="X394" i="112"/>
  <c r="X386" i="112"/>
  <c r="X383" i="112"/>
  <c r="X379" i="112"/>
  <c r="X376" i="112"/>
  <c r="X371" i="112"/>
  <c r="X368" i="112"/>
  <c r="X363" i="112"/>
  <c r="X486" i="112" s="1"/>
  <c r="X358" i="112"/>
  <c r="X490" i="112" s="1"/>
  <c r="X2" i="112" s="1"/>
  <c r="X351" i="112"/>
  <c r="X348" i="112"/>
  <c r="X339" i="112"/>
  <c r="X332" i="112"/>
  <c r="X328" i="112"/>
  <c r="X326" i="112"/>
  <c r="X325" i="112" s="1"/>
  <c r="X320" i="112"/>
  <c r="X315" i="112"/>
  <c r="X118" i="112"/>
  <c r="X93" i="112" s="1"/>
  <c r="X92" i="112" s="1"/>
  <c r="X111" i="112"/>
  <c r="X110" i="112"/>
  <c r="X106" i="112" s="1"/>
  <c r="X16" i="112"/>
  <c r="X12" i="112" s="1"/>
  <c r="W478" i="112"/>
  <c r="W72" i="112" s="1"/>
  <c r="W465" i="112"/>
  <c r="W433" i="112"/>
  <c r="W488" i="112" s="1"/>
  <c r="W394" i="112"/>
  <c r="W386" i="112"/>
  <c r="W383" i="112"/>
  <c r="W379" i="112"/>
  <c r="W376" i="112"/>
  <c r="W371" i="112"/>
  <c r="W368" i="112"/>
  <c r="W363" i="112"/>
  <c r="W486" i="112" s="1"/>
  <c r="W358" i="112"/>
  <c r="W490" i="112" s="1"/>
  <c r="W351" i="112"/>
  <c r="W348" i="112"/>
  <c r="W339" i="112"/>
  <c r="W194" i="112" s="1"/>
  <c r="W332" i="112"/>
  <c r="W328" i="112"/>
  <c r="W326" i="112"/>
  <c r="W325" i="112" s="1"/>
  <c r="W320" i="112"/>
  <c r="W315" i="112"/>
  <c r="W118" i="112"/>
  <c r="W93" i="112" s="1"/>
  <c r="W111" i="112"/>
  <c r="W110" i="112"/>
  <c r="W106" i="112" s="1"/>
  <c r="W16" i="112"/>
  <c r="W14" i="112" s="1"/>
  <c r="J191" i="200"/>
  <c r="C191" i="200"/>
  <c r="J190" i="200"/>
  <c r="C190" i="200"/>
  <c r="J189" i="200"/>
  <c r="C189" i="200"/>
  <c r="J188" i="200"/>
  <c r="C188" i="200"/>
  <c r="J187" i="200"/>
  <c r="C187" i="200"/>
  <c r="J186" i="200"/>
  <c r="C186" i="200"/>
  <c r="J185" i="200"/>
  <c r="C185" i="200"/>
  <c r="J184" i="200"/>
  <c r="C184" i="200"/>
  <c r="J183" i="200"/>
  <c r="C183" i="200"/>
  <c r="J182" i="200"/>
  <c r="C182" i="200"/>
  <c r="J181" i="200"/>
  <c r="C181" i="200"/>
  <c r="J180" i="200"/>
  <c r="C180" i="200"/>
  <c r="J179" i="200"/>
  <c r="C179" i="200"/>
  <c r="J178" i="200"/>
  <c r="C178" i="200"/>
  <c r="J177" i="200"/>
  <c r="C177" i="200"/>
  <c r="J176" i="200"/>
  <c r="C176" i="200"/>
  <c r="J175" i="200"/>
  <c r="C175" i="200"/>
  <c r="J174" i="200"/>
  <c r="C174" i="200"/>
  <c r="C1" i="112"/>
  <c r="D358" i="112"/>
  <c r="D490" i="112" s="1"/>
  <c r="D315" i="112"/>
  <c r="D363" i="112"/>
  <c r="D486" i="112" s="1"/>
  <c r="D368" i="112"/>
  <c r="D433" i="112"/>
  <c r="D488" i="112" s="1"/>
  <c r="D386" i="112"/>
  <c r="D451" i="112"/>
  <c r="D453" i="112"/>
  <c r="D455" i="112"/>
  <c r="E358" i="112"/>
  <c r="E490" i="112" s="1"/>
  <c r="E315" i="112"/>
  <c r="E363" i="112"/>
  <c r="E486" i="112" s="1"/>
  <c r="E368" i="112"/>
  <c r="E433" i="112"/>
  <c r="E488" i="112" s="1"/>
  <c r="E386" i="112"/>
  <c r="E451" i="112"/>
  <c r="E453" i="112"/>
  <c r="E455" i="112"/>
  <c r="F358" i="112"/>
  <c r="F490" i="112" s="1"/>
  <c r="F315" i="112"/>
  <c r="F363" i="112"/>
  <c r="F486" i="112" s="1"/>
  <c r="F368" i="112"/>
  <c r="F433" i="112"/>
  <c r="F488" i="112" s="1"/>
  <c r="F386" i="112"/>
  <c r="F451" i="112"/>
  <c r="F453" i="112"/>
  <c r="F455" i="112"/>
  <c r="G358" i="112"/>
  <c r="G490" i="112" s="1"/>
  <c r="G315" i="112"/>
  <c r="G363" i="112"/>
  <c r="G486" i="112" s="1"/>
  <c r="G368" i="112"/>
  <c r="G433" i="112"/>
  <c r="G488" i="112" s="1"/>
  <c r="G386" i="112"/>
  <c r="G451" i="112"/>
  <c r="G453" i="112"/>
  <c r="G455" i="112"/>
  <c r="H358" i="112"/>
  <c r="H490" i="112" s="1"/>
  <c r="H315" i="112"/>
  <c r="H363" i="112"/>
  <c r="H486" i="112" s="1"/>
  <c r="H368" i="112"/>
  <c r="H433" i="112"/>
  <c r="H488" i="112" s="1"/>
  <c r="H386" i="112"/>
  <c r="H451" i="112"/>
  <c r="H453" i="112"/>
  <c r="H455" i="112"/>
  <c r="I358" i="112"/>
  <c r="I490" i="112" s="1"/>
  <c r="I315" i="112"/>
  <c r="I363" i="112"/>
  <c r="I486" i="112" s="1"/>
  <c r="I368" i="112"/>
  <c r="I433" i="112"/>
  <c r="I488" i="112" s="1"/>
  <c r="I386" i="112"/>
  <c r="I451" i="112"/>
  <c r="I453" i="112"/>
  <c r="I455" i="112"/>
  <c r="J358" i="112"/>
  <c r="J490" i="112" s="1"/>
  <c r="J315" i="112"/>
  <c r="J363" i="112"/>
  <c r="J486" i="112" s="1"/>
  <c r="J368" i="112"/>
  <c r="J433" i="112"/>
  <c r="J488" i="112" s="1"/>
  <c r="J386" i="112"/>
  <c r="J451" i="112"/>
  <c r="J453" i="112"/>
  <c r="J455" i="112"/>
  <c r="K358" i="112"/>
  <c r="K490" i="112" s="1"/>
  <c r="K315" i="112"/>
  <c r="K363" i="112"/>
  <c r="K486" i="112" s="1"/>
  <c r="K368" i="112"/>
  <c r="K433" i="112"/>
  <c r="K488" i="112" s="1"/>
  <c r="K386" i="112"/>
  <c r="K451" i="112"/>
  <c r="K453" i="112"/>
  <c r="K455" i="112"/>
  <c r="L358" i="112"/>
  <c r="L315" i="112"/>
  <c r="L363" i="112"/>
  <c r="L486" i="112" s="1"/>
  <c r="L368" i="112"/>
  <c r="L433" i="112"/>
  <c r="L488" i="112" s="1"/>
  <c r="L386" i="112"/>
  <c r="L451" i="112"/>
  <c r="L453" i="112"/>
  <c r="L455" i="112"/>
  <c r="M358" i="112"/>
  <c r="M315" i="112"/>
  <c r="M363" i="112"/>
  <c r="M486" i="112" s="1"/>
  <c r="M368" i="112"/>
  <c r="M433" i="112"/>
  <c r="M488" i="112" s="1"/>
  <c r="M386" i="112"/>
  <c r="M451" i="112"/>
  <c r="M453" i="112"/>
  <c r="M455" i="112"/>
  <c r="N358" i="112"/>
  <c r="N490" i="112" s="1"/>
  <c r="N315" i="112"/>
  <c r="N363" i="112"/>
  <c r="N486" i="112" s="1"/>
  <c r="N368" i="112"/>
  <c r="N433" i="112"/>
  <c r="N488" i="112" s="1"/>
  <c r="N386" i="112"/>
  <c r="N451" i="112"/>
  <c r="N453" i="112"/>
  <c r="N455" i="112"/>
  <c r="O358" i="112"/>
  <c r="O315" i="112"/>
  <c r="O363" i="112"/>
  <c r="O486" i="112" s="1"/>
  <c r="O368" i="112"/>
  <c r="O433" i="112"/>
  <c r="O488" i="112" s="1"/>
  <c r="O386" i="112"/>
  <c r="O451" i="112"/>
  <c r="O453" i="112"/>
  <c r="O455" i="112"/>
  <c r="P358" i="112"/>
  <c r="P490" i="112" s="1"/>
  <c r="P315" i="112"/>
  <c r="P363" i="112"/>
  <c r="P486" i="112" s="1"/>
  <c r="P368" i="112"/>
  <c r="P433" i="112"/>
  <c r="P488" i="112" s="1"/>
  <c r="P386" i="112"/>
  <c r="Q358" i="112"/>
  <c r="Q315" i="112"/>
  <c r="Q363" i="112"/>
  <c r="Q486" i="112" s="1"/>
  <c r="Q368" i="112"/>
  <c r="Q433" i="112"/>
  <c r="Q488" i="112" s="1"/>
  <c r="Q386" i="112"/>
  <c r="R358" i="112"/>
  <c r="R490" i="112" s="1"/>
  <c r="R315" i="112"/>
  <c r="R363" i="112"/>
  <c r="R368" i="112"/>
  <c r="R433" i="112"/>
  <c r="R488" i="112" s="1"/>
  <c r="R386" i="112"/>
  <c r="S358" i="112"/>
  <c r="S490" i="112" s="1"/>
  <c r="T358" i="112"/>
  <c r="T490" i="112" s="1"/>
  <c r="U358" i="112"/>
  <c r="U490" i="112" s="1"/>
  <c r="V358" i="112"/>
  <c r="AE1" i="112"/>
  <c r="F4" i="112"/>
  <c r="G4" i="112"/>
  <c r="H4" i="112"/>
  <c r="I4" i="112"/>
  <c r="J4" i="112"/>
  <c r="K4" i="112"/>
  <c r="L4" i="112"/>
  <c r="M4" i="112"/>
  <c r="N4" i="112"/>
  <c r="O4" i="112"/>
  <c r="P4" i="112"/>
  <c r="Q4" i="112" s="1"/>
  <c r="S315" i="112"/>
  <c r="S16" i="112"/>
  <c r="S13" i="112" s="1"/>
  <c r="T315" i="112"/>
  <c r="T16" i="112"/>
  <c r="U315" i="112"/>
  <c r="U16" i="112"/>
  <c r="U14" i="112" s="1"/>
  <c r="V315" i="112"/>
  <c r="D9" i="112"/>
  <c r="AK16" i="112"/>
  <c r="M9" i="112" s="1"/>
  <c r="L9" i="112" s="1"/>
  <c r="K9" i="112" s="1"/>
  <c r="J9" i="112" s="1"/>
  <c r="I9" i="112" s="1"/>
  <c r="H9" i="112" s="1"/>
  <c r="G9" i="112" s="1"/>
  <c r="F9" i="112" s="1"/>
  <c r="AL16" i="112"/>
  <c r="N9" i="112" s="1"/>
  <c r="AM16" i="112"/>
  <c r="AN16" i="112"/>
  <c r="P9" i="112" s="1"/>
  <c r="AO16" i="112"/>
  <c r="Q9" i="112" s="1"/>
  <c r="AP16" i="112"/>
  <c r="R9" i="112" s="1"/>
  <c r="AQ16" i="112"/>
  <c r="S9" i="112" s="1"/>
  <c r="AR16" i="112"/>
  <c r="T9" i="112" s="1"/>
  <c r="AS16" i="112"/>
  <c r="U9" i="112" s="1"/>
  <c r="D16" i="112"/>
  <c r="D12" i="112" s="1"/>
  <c r="E16" i="112"/>
  <c r="E14" i="112" s="1"/>
  <c r="F16" i="112"/>
  <c r="F13" i="112" s="1"/>
  <c r="G16" i="112"/>
  <c r="H16" i="112"/>
  <c r="H13" i="112" s="1"/>
  <c r="I16" i="112"/>
  <c r="I12" i="112" s="1"/>
  <c r="J16" i="112"/>
  <c r="J13" i="112" s="1"/>
  <c r="K16" i="112"/>
  <c r="L16" i="112"/>
  <c r="L12" i="112" s="1"/>
  <c r="M16" i="112"/>
  <c r="N16" i="112"/>
  <c r="N14" i="112" s="1"/>
  <c r="O16" i="112"/>
  <c r="O13" i="112" s="1"/>
  <c r="P16" i="112"/>
  <c r="P13" i="112" s="1"/>
  <c r="Q16" i="112"/>
  <c r="Q12" i="112" s="1"/>
  <c r="R16" i="112"/>
  <c r="R13" i="112" s="1"/>
  <c r="AJ16" i="112"/>
  <c r="AJ14" i="112" s="1"/>
  <c r="D326" i="112"/>
  <c r="E326" i="112"/>
  <c r="F326" i="112"/>
  <c r="G326" i="112"/>
  <c r="H326" i="112"/>
  <c r="I326" i="112"/>
  <c r="J326" i="112"/>
  <c r="K326" i="112"/>
  <c r="L326" i="112"/>
  <c r="M326" i="112"/>
  <c r="N326" i="112"/>
  <c r="O326" i="112"/>
  <c r="P326" i="112"/>
  <c r="Q326" i="112"/>
  <c r="R326" i="112"/>
  <c r="S158" i="112"/>
  <c r="S149" i="112"/>
  <c r="T158" i="112"/>
  <c r="T149" i="112"/>
  <c r="U158" i="112"/>
  <c r="U149" i="112"/>
  <c r="D332" i="112"/>
  <c r="E332" i="112"/>
  <c r="F332" i="112"/>
  <c r="G332" i="112"/>
  <c r="H332" i="112"/>
  <c r="I332" i="112"/>
  <c r="J332" i="112"/>
  <c r="K332" i="112"/>
  <c r="L332" i="112"/>
  <c r="M332" i="112"/>
  <c r="N332" i="112"/>
  <c r="O332" i="112"/>
  <c r="P332" i="112"/>
  <c r="Q332" i="112"/>
  <c r="R332" i="112"/>
  <c r="S478" i="112"/>
  <c r="S72" i="112" s="1"/>
  <c r="R478" i="112"/>
  <c r="R72" i="112" s="1"/>
  <c r="S339" i="112"/>
  <c r="T478" i="112"/>
  <c r="T72" i="112" s="1"/>
  <c r="T339" i="112"/>
  <c r="S118" i="112"/>
  <c r="S93" i="112" s="1"/>
  <c r="V339" i="112"/>
  <c r="V332" i="112"/>
  <c r="D471" i="112"/>
  <c r="D394" i="112"/>
  <c r="D348" i="112"/>
  <c r="D351" i="112"/>
  <c r="E394" i="112"/>
  <c r="E348" i="112"/>
  <c r="E351" i="112"/>
  <c r="F394" i="112"/>
  <c r="F348" i="112"/>
  <c r="F351" i="112"/>
  <c r="G394" i="112"/>
  <c r="G348" i="112"/>
  <c r="G351" i="112"/>
  <c r="H394" i="112"/>
  <c r="H348" i="112"/>
  <c r="H351" i="112"/>
  <c r="I394" i="112"/>
  <c r="I348" i="112"/>
  <c r="I351" i="112"/>
  <c r="J394" i="112"/>
  <c r="J348" i="112"/>
  <c r="J351" i="112"/>
  <c r="K394" i="112"/>
  <c r="K348" i="112"/>
  <c r="K351" i="112"/>
  <c r="L394" i="112"/>
  <c r="L348" i="112"/>
  <c r="L351" i="112"/>
  <c r="M394" i="112"/>
  <c r="M348" i="112"/>
  <c r="M351" i="112"/>
  <c r="N394" i="112"/>
  <c r="N348" i="112"/>
  <c r="N351" i="112"/>
  <c r="O394" i="112"/>
  <c r="O348" i="112"/>
  <c r="O351" i="112"/>
  <c r="P394" i="112"/>
  <c r="P348" i="112"/>
  <c r="P351" i="112"/>
  <c r="Q394" i="112"/>
  <c r="Q348" i="112"/>
  <c r="Q351" i="112"/>
  <c r="R394" i="112"/>
  <c r="R348" i="112"/>
  <c r="R351" i="112"/>
  <c r="S386" i="112"/>
  <c r="T118" i="112"/>
  <c r="T93" i="112" s="1"/>
  <c r="T386" i="112"/>
  <c r="U478" i="112"/>
  <c r="U72" i="112" s="1"/>
  <c r="U339" i="112"/>
  <c r="U118" i="112"/>
  <c r="U93" i="112" s="1"/>
  <c r="U386" i="112"/>
  <c r="V386" i="112"/>
  <c r="D478" i="112"/>
  <c r="D72" i="112" s="1"/>
  <c r="E478" i="112"/>
  <c r="E72" i="112" s="1"/>
  <c r="F478" i="112"/>
  <c r="F72" i="112" s="1"/>
  <c r="G478" i="112"/>
  <c r="G72" i="112" s="1"/>
  <c r="H478" i="112"/>
  <c r="H72" i="112" s="1"/>
  <c r="I478" i="112"/>
  <c r="I72" i="112" s="1"/>
  <c r="J478" i="112"/>
  <c r="J72" i="112" s="1"/>
  <c r="K478" i="112"/>
  <c r="K72" i="112" s="1"/>
  <c r="L478" i="112"/>
  <c r="L72" i="112" s="1"/>
  <c r="M478" i="112"/>
  <c r="M72" i="112" s="1"/>
  <c r="N478" i="112"/>
  <c r="N72" i="112" s="1"/>
  <c r="O478" i="112"/>
  <c r="O72" i="112" s="1"/>
  <c r="P478" i="112"/>
  <c r="P72" i="112" s="1"/>
  <c r="Q478" i="112"/>
  <c r="Q72" i="112" s="1"/>
  <c r="V478" i="112"/>
  <c r="V72" i="112" s="1"/>
  <c r="H118" i="112"/>
  <c r="H93" i="112" s="1"/>
  <c r="H92" i="112" s="1"/>
  <c r="I118" i="112"/>
  <c r="I93" i="112" s="1"/>
  <c r="J118" i="112"/>
  <c r="J93" i="112" s="1"/>
  <c r="K118" i="112"/>
  <c r="K93" i="112" s="1"/>
  <c r="L118" i="112"/>
  <c r="L93" i="112" s="1"/>
  <c r="M118" i="112"/>
  <c r="M93" i="112" s="1"/>
  <c r="N118" i="112"/>
  <c r="N93" i="112" s="1"/>
  <c r="N88" i="112" s="1"/>
  <c r="O118" i="112"/>
  <c r="O93" i="112" s="1"/>
  <c r="O88" i="112" s="1"/>
  <c r="P118" i="112"/>
  <c r="P93" i="112" s="1"/>
  <c r="P88" i="112" s="1"/>
  <c r="Q118" i="112"/>
  <c r="Q93" i="112" s="1"/>
  <c r="D118" i="112"/>
  <c r="D93" i="112" s="1"/>
  <c r="D92" i="112" s="1"/>
  <c r="E118" i="112"/>
  <c r="E93" i="112" s="1"/>
  <c r="E92" i="112" s="1"/>
  <c r="F118" i="112"/>
  <c r="F93" i="112" s="1"/>
  <c r="G118" i="112"/>
  <c r="G93" i="112" s="1"/>
  <c r="R118" i="112"/>
  <c r="R93" i="112" s="1"/>
  <c r="R88" i="112" s="1"/>
  <c r="V118" i="112"/>
  <c r="V93" i="112" s="1"/>
  <c r="V92" i="112" s="1"/>
  <c r="E211" i="112"/>
  <c r="D211" i="112"/>
  <c r="F211" i="112"/>
  <c r="G211" i="112"/>
  <c r="H211" i="112"/>
  <c r="I211" i="112"/>
  <c r="J211" i="112"/>
  <c r="K211" i="112"/>
  <c r="L211" i="112"/>
  <c r="M211" i="112"/>
  <c r="N211" i="112"/>
  <c r="O211" i="112"/>
  <c r="S332" i="112"/>
  <c r="T332" i="112"/>
  <c r="U332" i="112"/>
  <c r="P110" i="112"/>
  <c r="P106" i="112" s="1"/>
  <c r="Q110" i="112"/>
  <c r="Q106" i="112" s="1"/>
  <c r="R110" i="112"/>
  <c r="R106" i="112" s="1"/>
  <c r="S110" i="112"/>
  <c r="S106" i="112" s="1"/>
  <c r="T110" i="112"/>
  <c r="T106" i="112" s="1"/>
  <c r="U110" i="112"/>
  <c r="U106" i="112" s="1"/>
  <c r="V110" i="112"/>
  <c r="V106" i="112" s="1"/>
  <c r="D110" i="112"/>
  <c r="E110" i="112"/>
  <c r="F110" i="112"/>
  <c r="G110" i="112"/>
  <c r="H110" i="112"/>
  <c r="I110" i="112"/>
  <c r="J110" i="112"/>
  <c r="K110" i="112"/>
  <c r="L110" i="112"/>
  <c r="M110" i="112"/>
  <c r="N110" i="112"/>
  <c r="O110" i="112"/>
  <c r="K111" i="112"/>
  <c r="L111" i="112"/>
  <c r="M111" i="112"/>
  <c r="N111" i="112"/>
  <c r="O111" i="112"/>
  <c r="P111" i="112"/>
  <c r="Q111" i="112"/>
  <c r="R111" i="112"/>
  <c r="S111" i="112"/>
  <c r="T111" i="112"/>
  <c r="U111" i="112"/>
  <c r="V111" i="112"/>
  <c r="N149" i="112"/>
  <c r="O149" i="112"/>
  <c r="P149" i="112"/>
  <c r="Q149" i="112"/>
  <c r="R149" i="112"/>
  <c r="C151" i="112"/>
  <c r="D339" i="112"/>
  <c r="D156" i="112" s="1"/>
  <c r="E339" i="112"/>
  <c r="E156" i="112" s="1"/>
  <c r="F339" i="112"/>
  <c r="G339" i="112"/>
  <c r="G156" i="112" s="1"/>
  <c r="H339" i="112"/>
  <c r="H156" i="112" s="1"/>
  <c r="I339" i="112"/>
  <c r="J339" i="112"/>
  <c r="J156" i="112" s="1"/>
  <c r="K339" i="112"/>
  <c r="L339" i="112"/>
  <c r="D158" i="112"/>
  <c r="E158" i="112"/>
  <c r="F158" i="112"/>
  <c r="G158" i="112"/>
  <c r="H158" i="112"/>
  <c r="I158" i="112"/>
  <c r="J158" i="112"/>
  <c r="K158" i="112"/>
  <c r="L158" i="112"/>
  <c r="M158" i="112"/>
  <c r="N158" i="112"/>
  <c r="O158" i="112"/>
  <c r="P158" i="112"/>
  <c r="Q158" i="112"/>
  <c r="R158" i="112"/>
  <c r="M339" i="112"/>
  <c r="N339" i="112"/>
  <c r="O339" i="112"/>
  <c r="P339" i="112"/>
  <c r="Q339" i="112"/>
  <c r="R339" i="112"/>
  <c r="D376" i="112"/>
  <c r="D379" i="112"/>
  <c r="D383" i="112"/>
  <c r="E376" i="112"/>
  <c r="E379" i="112"/>
  <c r="E383" i="112"/>
  <c r="F376" i="112"/>
  <c r="F379" i="112"/>
  <c r="F383" i="112"/>
  <c r="G376" i="112"/>
  <c r="G379" i="112"/>
  <c r="G383" i="112"/>
  <c r="H376" i="112"/>
  <c r="H379" i="112"/>
  <c r="H383" i="112"/>
  <c r="I376" i="112"/>
  <c r="I379" i="112"/>
  <c r="I383" i="112"/>
  <c r="J376" i="112"/>
  <c r="J379" i="112"/>
  <c r="J383" i="112"/>
  <c r="K376" i="112"/>
  <c r="K379" i="112"/>
  <c r="K383" i="112"/>
  <c r="L376" i="112"/>
  <c r="L379" i="112"/>
  <c r="L383" i="112"/>
  <c r="M376" i="112"/>
  <c r="M379" i="112"/>
  <c r="M383" i="112"/>
  <c r="N376" i="112"/>
  <c r="N379" i="112"/>
  <c r="N383" i="112"/>
  <c r="O376" i="112"/>
  <c r="O379" i="112"/>
  <c r="O383" i="112"/>
  <c r="P376" i="112"/>
  <c r="P379" i="112"/>
  <c r="P383" i="112"/>
  <c r="Q376" i="112"/>
  <c r="Q379" i="112"/>
  <c r="Q383" i="112"/>
  <c r="R376" i="112"/>
  <c r="R379" i="112"/>
  <c r="R383" i="112"/>
  <c r="C298" i="112"/>
  <c r="C302" i="112"/>
  <c r="D320" i="112"/>
  <c r="E320" i="112"/>
  <c r="F320" i="112"/>
  <c r="G320" i="112"/>
  <c r="H320" i="112"/>
  <c r="I320" i="112"/>
  <c r="J320" i="112"/>
  <c r="K320" i="112"/>
  <c r="L320" i="112"/>
  <c r="M320" i="112"/>
  <c r="N320" i="112"/>
  <c r="O320" i="112"/>
  <c r="P320" i="112"/>
  <c r="Q320" i="112"/>
  <c r="R320" i="112"/>
  <c r="S320" i="112"/>
  <c r="T320" i="112"/>
  <c r="U320" i="112"/>
  <c r="V320" i="112"/>
  <c r="S326" i="112"/>
  <c r="T326" i="112"/>
  <c r="T325" i="112" s="1"/>
  <c r="U326" i="112"/>
  <c r="V326" i="112"/>
  <c r="D328" i="112"/>
  <c r="E328" i="112"/>
  <c r="F328" i="112"/>
  <c r="G328" i="112"/>
  <c r="H328" i="112"/>
  <c r="I328" i="112"/>
  <c r="J328" i="112"/>
  <c r="K328" i="112"/>
  <c r="L328" i="112"/>
  <c r="M328" i="112"/>
  <c r="N328" i="112"/>
  <c r="O328" i="112"/>
  <c r="P328" i="112"/>
  <c r="Q328" i="112"/>
  <c r="R328" i="112"/>
  <c r="S328" i="112"/>
  <c r="T328" i="112"/>
  <c r="U328" i="112"/>
  <c r="V328" i="112"/>
  <c r="S348" i="112"/>
  <c r="T348" i="112"/>
  <c r="U348" i="112"/>
  <c r="V348" i="112"/>
  <c r="S351" i="112"/>
  <c r="T351" i="112"/>
  <c r="U351" i="112"/>
  <c r="V351" i="112"/>
  <c r="S363" i="112"/>
  <c r="S486" i="112" s="1"/>
  <c r="T363" i="112"/>
  <c r="T486" i="112" s="1"/>
  <c r="U363" i="112"/>
  <c r="U486" i="112" s="1"/>
  <c r="V363" i="112"/>
  <c r="V486" i="112" s="1"/>
  <c r="S368" i="112"/>
  <c r="T368" i="112"/>
  <c r="U368" i="112"/>
  <c r="V368" i="112"/>
  <c r="D371" i="112"/>
  <c r="E371" i="112"/>
  <c r="F371" i="112"/>
  <c r="G371" i="112"/>
  <c r="H371" i="112"/>
  <c r="I371" i="112"/>
  <c r="J371" i="112"/>
  <c r="K371" i="112"/>
  <c r="L371" i="112"/>
  <c r="M371" i="112"/>
  <c r="N371" i="112"/>
  <c r="O371" i="112"/>
  <c r="P371" i="112"/>
  <c r="Q371" i="112"/>
  <c r="R371" i="112"/>
  <c r="S371" i="112"/>
  <c r="T371" i="112"/>
  <c r="U371" i="112"/>
  <c r="V371" i="112"/>
  <c r="S376" i="112"/>
  <c r="T376" i="112"/>
  <c r="U376" i="112"/>
  <c r="V376" i="112"/>
  <c r="S379" i="112"/>
  <c r="S383" i="112"/>
  <c r="T379" i="112"/>
  <c r="T383" i="112"/>
  <c r="U379" i="112"/>
  <c r="U383" i="112"/>
  <c r="V379" i="112"/>
  <c r="V383" i="112"/>
  <c r="S394" i="112"/>
  <c r="T394" i="112"/>
  <c r="U394" i="112"/>
  <c r="V394" i="112"/>
  <c r="S433" i="112"/>
  <c r="S488" i="112" s="1"/>
  <c r="T433" i="112"/>
  <c r="T488" i="112" s="1"/>
  <c r="U433" i="112"/>
  <c r="U488" i="112" s="1"/>
  <c r="V433" i="112"/>
  <c r="V488" i="112" s="1"/>
  <c r="D465" i="112"/>
  <c r="E465" i="112"/>
  <c r="F465" i="112"/>
  <c r="G465" i="112"/>
  <c r="H465" i="112"/>
  <c r="I465" i="112"/>
  <c r="J465" i="112"/>
  <c r="K465" i="112"/>
  <c r="L465" i="112"/>
  <c r="M465" i="112"/>
  <c r="N465" i="112"/>
  <c r="O465" i="112"/>
  <c r="P465" i="112"/>
  <c r="Q465" i="112"/>
  <c r="R465" i="112"/>
  <c r="S465" i="112"/>
  <c r="T465" i="112"/>
  <c r="U465" i="112"/>
  <c r="V465" i="112"/>
  <c r="C505" i="112"/>
  <c r="D526" i="112"/>
  <c r="D531" i="112"/>
  <c r="D537" i="112"/>
  <c r="D543" i="112"/>
  <c r="E526" i="112"/>
  <c r="E531" i="112"/>
  <c r="E537" i="112"/>
  <c r="E543" i="112"/>
  <c r="F526" i="112"/>
  <c r="F531" i="112"/>
  <c r="F537" i="112"/>
  <c r="F543" i="112"/>
  <c r="G526" i="112"/>
  <c r="G531" i="112"/>
  <c r="G537" i="112"/>
  <c r="G543" i="112"/>
  <c r="H526" i="112"/>
  <c r="H531" i="112"/>
  <c r="H537" i="112"/>
  <c r="H543" i="112"/>
  <c r="I526" i="112"/>
  <c r="I531" i="112"/>
  <c r="I537" i="112"/>
  <c r="I543" i="112"/>
  <c r="J526" i="112"/>
  <c r="J531" i="112"/>
  <c r="J537" i="112"/>
  <c r="J543" i="112"/>
  <c r="K526" i="112"/>
  <c r="K531" i="112"/>
  <c r="K537" i="112"/>
  <c r="K543" i="112"/>
  <c r="L526" i="112"/>
  <c r="L531" i="112"/>
  <c r="L537" i="112"/>
  <c r="L543" i="112"/>
  <c r="M526" i="112"/>
  <c r="M531" i="112"/>
  <c r="M537" i="112"/>
  <c r="M543" i="112"/>
  <c r="N526" i="112"/>
  <c r="N531" i="112"/>
  <c r="N537" i="112"/>
  <c r="N543" i="112"/>
  <c r="O526" i="112"/>
  <c r="O531" i="112"/>
  <c r="O537" i="112"/>
  <c r="O543" i="112"/>
  <c r="P526" i="112"/>
  <c r="P531" i="112"/>
  <c r="P537" i="112"/>
  <c r="P543" i="112"/>
  <c r="Q526" i="112"/>
  <c r="Q531" i="112"/>
  <c r="Q537" i="112"/>
  <c r="Q543" i="112"/>
  <c r="R526" i="112"/>
  <c r="R531" i="112"/>
  <c r="R537" i="112"/>
  <c r="R543" i="112"/>
  <c r="D549" i="112"/>
  <c r="D508" i="112" s="1"/>
  <c r="E549" i="112"/>
  <c r="E508" i="112" s="1"/>
  <c r="F549" i="112"/>
  <c r="F508" i="112" s="1"/>
  <c r="G549" i="112"/>
  <c r="G508" i="112" s="1"/>
  <c r="H549" i="112"/>
  <c r="H508" i="112" s="1"/>
  <c r="I549" i="112"/>
  <c r="I508" i="112" s="1"/>
  <c r="J549" i="112"/>
  <c r="J508" i="112" s="1"/>
  <c r="K549" i="112"/>
  <c r="K508" i="112" s="1"/>
  <c r="L549" i="112"/>
  <c r="L508" i="112" s="1"/>
  <c r="M549" i="112"/>
  <c r="M508" i="112" s="1"/>
  <c r="N549" i="112"/>
  <c r="N508" i="112" s="1"/>
  <c r="O549" i="112"/>
  <c r="O508" i="112" s="1"/>
  <c r="P549" i="112"/>
  <c r="P508" i="112" s="1"/>
  <c r="Q549" i="112"/>
  <c r="Q508" i="112" s="1"/>
  <c r="R549" i="112"/>
  <c r="R508" i="112" s="1"/>
  <c r="D510" i="112"/>
  <c r="E510" i="112"/>
  <c r="F510" i="112"/>
  <c r="G510" i="112"/>
  <c r="H510" i="112"/>
  <c r="I510" i="112"/>
  <c r="J510" i="112"/>
  <c r="K510" i="112"/>
  <c r="L510" i="112"/>
  <c r="M510" i="112"/>
  <c r="N510" i="112"/>
  <c r="O510" i="112"/>
  <c r="P510" i="112"/>
  <c r="Q510" i="112"/>
  <c r="R510" i="112"/>
  <c r="C511" i="112"/>
  <c r="D561" i="112"/>
  <c r="D511" i="112" s="1"/>
  <c r="E561" i="112"/>
  <c r="E511" i="112" s="1"/>
  <c r="F561" i="112"/>
  <c r="F511" i="112" s="1"/>
  <c r="G561" i="112"/>
  <c r="G511" i="112" s="1"/>
  <c r="H561" i="112"/>
  <c r="H511" i="112" s="1"/>
  <c r="I561" i="112"/>
  <c r="I511" i="112" s="1"/>
  <c r="J561" i="112"/>
  <c r="J511" i="112" s="1"/>
  <c r="K561" i="112"/>
  <c r="K511" i="112" s="1"/>
  <c r="L561" i="112"/>
  <c r="L511" i="112" s="1"/>
  <c r="M561" i="112"/>
  <c r="M511" i="112" s="1"/>
  <c r="N561" i="112"/>
  <c r="N511" i="112" s="1"/>
  <c r="O561" i="112"/>
  <c r="O511" i="112" s="1"/>
  <c r="P561" i="112"/>
  <c r="P511" i="112" s="1"/>
  <c r="Q561" i="112"/>
  <c r="Q511" i="112" s="1"/>
  <c r="R561" i="112"/>
  <c r="R511" i="112" s="1"/>
  <c r="C512" i="112"/>
  <c r="D558" i="112"/>
  <c r="D512" i="112" s="1"/>
  <c r="E558" i="112"/>
  <c r="E512" i="112" s="1"/>
  <c r="F558" i="112"/>
  <c r="F512" i="112" s="1"/>
  <c r="G558" i="112"/>
  <c r="G512" i="112" s="1"/>
  <c r="H558" i="112"/>
  <c r="H512" i="112" s="1"/>
  <c r="I558" i="112"/>
  <c r="I512" i="112" s="1"/>
  <c r="J558" i="112"/>
  <c r="J512" i="112" s="1"/>
  <c r="K558" i="112"/>
  <c r="K512" i="112" s="1"/>
  <c r="L558" i="112"/>
  <c r="L512" i="112" s="1"/>
  <c r="M558" i="112"/>
  <c r="M512" i="112" s="1"/>
  <c r="N558" i="112"/>
  <c r="N512" i="112" s="1"/>
  <c r="O558" i="112"/>
  <c r="O512" i="112" s="1"/>
  <c r="P558" i="112"/>
  <c r="P512" i="112" s="1"/>
  <c r="Q558" i="112"/>
  <c r="Q512" i="112" s="1"/>
  <c r="R558" i="112"/>
  <c r="R512" i="112" s="1"/>
  <c r="C513" i="112"/>
  <c r="D565" i="112"/>
  <c r="D513" i="112" s="1"/>
  <c r="E565" i="112"/>
  <c r="E513" i="112" s="1"/>
  <c r="F565" i="112"/>
  <c r="F513" i="112" s="1"/>
  <c r="G565" i="112"/>
  <c r="G513" i="112" s="1"/>
  <c r="H565" i="112"/>
  <c r="H513" i="112" s="1"/>
  <c r="I565" i="112"/>
  <c r="I513" i="112" s="1"/>
  <c r="J565" i="112"/>
  <c r="J513" i="112" s="1"/>
  <c r="K565" i="112"/>
  <c r="K513" i="112" s="1"/>
  <c r="L565" i="112"/>
  <c r="L513" i="112" s="1"/>
  <c r="M565" i="112"/>
  <c r="M513" i="112" s="1"/>
  <c r="N565" i="112"/>
  <c r="N513" i="112" s="1"/>
  <c r="O565" i="112"/>
  <c r="O513" i="112" s="1"/>
  <c r="P565" i="112"/>
  <c r="P513" i="112" s="1"/>
  <c r="Q565" i="112"/>
  <c r="Q513" i="112" s="1"/>
  <c r="R565" i="112"/>
  <c r="R513" i="112" s="1"/>
  <c r="D515" i="112"/>
  <c r="E515" i="112"/>
  <c r="F515" i="112"/>
  <c r="G515" i="112"/>
  <c r="H515" i="112"/>
  <c r="I515" i="112"/>
  <c r="J515" i="112"/>
  <c r="K515" i="112"/>
  <c r="L515" i="112"/>
  <c r="M515" i="112"/>
  <c r="N515" i="112"/>
  <c r="O515" i="112"/>
  <c r="P515" i="112"/>
  <c r="Q515" i="112"/>
  <c r="R515" i="112"/>
  <c r="C518" i="112"/>
  <c r="I577" i="112"/>
  <c r="J577" i="112"/>
  <c r="K577" i="112"/>
  <c r="L577" i="112"/>
  <c r="M577" i="112"/>
  <c r="N577" i="112"/>
  <c r="O577" i="112"/>
  <c r="P577" i="112"/>
  <c r="Q577" i="112"/>
  <c r="R577" i="112"/>
  <c r="C522" i="112"/>
  <c r="C523" i="112"/>
  <c r="C525" i="112"/>
  <c r="C528" i="112"/>
  <c r="C530" i="112"/>
  <c r="C533" i="112"/>
  <c r="C534" i="112"/>
  <c r="C536" i="112"/>
  <c r="C539" i="112"/>
  <c r="C540" i="112"/>
  <c r="C542" i="112"/>
  <c r="C545" i="112"/>
  <c r="C548" i="112"/>
  <c r="C552" i="112"/>
  <c r="C553" i="112"/>
  <c r="D554" i="112"/>
  <c r="E554" i="112"/>
  <c r="F554" i="112"/>
  <c r="G554" i="112"/>
  <c r="H554" i="112"/>
  <c r="I554" i="112"/>
  <c r="J554" i="112"/>
  <c r="K554" i="112"/>
  <c r="L554" i="112"/>
  <c r="M554" i="112"/>
  <c r="N554" i="112"/>
  <c r="O554" i="112"/>
  <c r="P554" i="112"/>
  <c r="Q554" i="112"/>
  <c r="R554" i="112"/>
  <c r="C560" i="112"/>
  <c r="C563" i="112"/>
  <c r="C564" i="112"/>
  <c r="C568" i="112"/>
  <c r="D569" i="112"/>
  <c r="E569" i="112"/>
  <c r="F569" i="112"/>
  <c r="G569" i="112"/>
  <c r="H569" i="112"/>
  <c r="I569" i="112"/>
  <c r="J569" i="112"/>
  <c r="K569" i="112"/>
  <c r="L569" i="112"/>
  <c r="M569" i="112"/>
  <c r="N569" i="112"/>
  <c r="O569" i="112"/>
  <c r="P569" i="112"/>
  <c r="Q569" i="112"/>
  <c r="R569" i="112"/>
  <c r="C572" i="112"/>
  <c r="D573" i="112"/>
  <c r="E573" i="112"/>
  <c r="F573" i="112"/>
  <c r="G573" i="112"/>
  <c r="H573" i="112"/>
  <c r="I573" i="112"/>
  <c r="J573" i="112"/>
  <c r="K573" i="112"/>
  <c r="L573" i="112"/>
  <c r="M573" i="112"/>
  <c r="N573" i="112"/>
  <c r="O573" i="112"/>
  <c r="P573" i="112"/>
  <c r="Q573" i="112"/>
  <c r="R573" i="112"/>
  <c r="C576" i="112"/>
  <c r="D577" i="112"/>
  <c r="E577" i="112"/>
  <c r="F577" i="112"/>
  <c r="G577" i="112"/>
  <c r="H577" i="112"/>
  <c r="C582" i="112"/>
  <c r="C583" i="112"/>
  <c r="C586" i="112"/>
  <c r="C587" i="112"/>
  <c r="C588" i="112"/>
  <c r="C589" i="112"/>
  <c r="C590" i="112"/>
  <c r="C591" i="112"/>
  <c r="C592" i="112"/>
  <c r="C593" i="112"/>
  <c r="C603" i="112"/>
  <c r="C604" i="112"/>
  <c r="C605" i="112"/>
  <c r="C607" i="112"/>
  <c r="C608" i="112"/>
  <c r="C629" i="112"/>
  <c r="C630" i="112"/>
  <c r="C631" i="112"/>
  <c r="C632" i="112"/>
  <c r="C634" i="112"/>
  <c r="C635" i="112"/>
  <c r="C636" i="112"/>
  <c r="C637" i="112"/>
  <c r="C638" i="112"/>
  <c r="C639" i="112"/>
  <c r="C640" i="112"/>
  <c r="C641" i="112"/>
  <c r="C642" i="112"/>
  <c r="C643" i="112"/>
  <c r="D2" i="2"/>
  <c r="D4" i="2" s="1"/>
  <c r="G7" i="200" s="1"/>
  <c r="A10" i="200"/>
  <c r="C11" i="200"/>
  <c r="A11" i="200" s="1"/>
  <c r="C12" i="200"/>
  <c r="A12" i="200" s="1"/>
  <c r="C13" i="200"/>
  <c r="A13" i="200" s="1"/>
  <c r="C14" i="200"/>
  <c r="A14" i="200" s="1"/>
  <c r="C15" i="200"/>
  <c r="A15" i="200" s="1"/>
  <c r="C16" i="200"/>
  <c r="A16" i="200" s="1"/>
  <c r="C17" i="200"/>
  <c r="A17" i="200" s="1"/>
  <c r="C18" i="200"/>
  <c r="A18" i="200" s="1"/>
  <c r="C19" i="200"/>
  <c r="A19" i="200" s="1"/>
  <c r="C20" i="200"/>
  <c r="A20" i="200" s="1"/>
  <c r="C21" i="200"/>
  <c r="A21" i="200" s="1"/>
  <c r="C22" i="200"/>
  <c r="A22" i="200" s="1"/>
  <c r="C23" i="200"/>
  <c r="A23" i="200" s="1"/>
  <c r="C24" i="200"/>
  <c r="A24" i="200" s="1"/>
  <c r="C25" i="200"/>
  <c r="A25" i="200" s="1"/>
  <c r="C26" i="200"/>
  <c r="A26" i="200" s="1"/>
  <c r="C27" i="200"/>
  <c r="A27" i="200" s="1"/>
  <c r="C28" i="200"/>
  <c r="A28" i="200"/>
  <c r="C29" i="200"/>
  <c r="A29" i="200" s="1"/>
  <c r="C30" i="200"/>
  <c r="A30" i="200" s="1"/>
  <c r="C31" i="200"/>
  <c r="A31" i="200" s="1"/>
  <c r="C32" i="200"/>
  <c r="A32" i="200" s="1"/>
  <c r="C33" i="200"/>
  <c r="A33" i="200" s="1"/>
  <c r="C34" i="200"/>
  <c r="A34" i="200" s="1"/>
  <c r="C35" i="200"/>
  <c r="A35" i="200" s="1"/>
  <c r="C36" i="200"/>
  <c r="A36" i="200" s="1"/>
  <c r="C37" i="200"/>
  <c r="A37" i="200" s="1"/>
  <c r="C38" i="200"/>
  <c r="A38" i="200" s="1"/>
  <c r="C39" i="200"/>
  <c r="A39" i="200" s="1"/>
  <c r="C40" i="200"/>
  <c r="A40" i="200"/>
  <c r="C41" i="200"/>
  <c r="A41" i="200" s="1"/>
  <c r="C42" i="200"/>
  <c r="A42" i="200" s="1"/>
  <c r="C43" i="200"/>
  <c r="A43" i="200"/>
  <c r="C44" i="200"/>
  <c r="A44" i="200" s="1"/>
  <c r="C45" i="200"/>
  <c r="A45" i="200" s="1"/>
  <c r="C46" i="200"/>
  <c r="A46" i="200" s="1"/>
  <c r="C47" i="200"/>
  <c r="A47" i="200" s="1"/>
  <c r="C48" i="200"/>
  <c r="A48" i="200" s="1"/>
  <c r="C49" i="200"/>
  <c r="A49" i="200" s="1"/>
  <c r="C50" i="200"/>
  <c r="A50" i="200" s="1"/>
  <c r="C51" i="200"/>
  <c r="A51" i="200" s="1"/>
  <c r="C52" i="200"/>
  <c r="A52" i="200" s="1"/>
  <c r="C53" i="200"/>
  <c r="A53" i="200" s="1"/>
  <c r="C54" i="200"/>
  <c r="A54" i="200" s="1"/>
  <c r="C55" i="200"/>
  <c r="A55" i="200" s="1"/>
  <c r="C56" i="200"/>
  <c r="A56" i="200" s="1"/>
  <c r="C57" i="200"/>
  <c r="A57" i="200" s="1"/>
  <c r="C58" i="200"/>
  <c r="A58" i="200" s="1"/>
  <c r="C59" i="200"/>
  <c r="A59" i="200" s="1"/>
  <c r="C60" i="200"/>
  <c r="A60" i="200" s="1"/>
  <c r="C61" i="200"/>
  <c r="A61" i="200" s="1"/>
  <c r="C62" i="200"/>
  <c r="A62" i="200" s="1"/>
  <c r="C63" i="200"/>
  <c r="A63" i="200" s="1"/>
  <c r="C64" i="200"/>
  <c r="A64" i="200" s="1"/>
  <c r="C65" i="200"/>
  <c r="A65" i="200" s="1"/>
  <c r="C66" i="200"/>
  <c r="A66" i="200" s="1"/>
  <c r="C67" i="200"/>
  <c r="A67" i="200" s="1"/>
  <c r="C68" i="200"/>
  <c r="A68" i="200" s="1"/>
  <c r="C69" i="200"/>
  <c r="A69" i="200" s="1"/>
  <c r="C70" i="200"/>
  <c r="A70" i="200" s="1"/>
  <c r="C71" i="200"/>
  <c r="A71" i="200" s="1"/>
  <c r="C72" i="200"/>
  <c r="A72" i="200" s="1"/>
  <c r="C73" i="200"/>
  <c r="A73" i="200" s="1"/>
  <c r="C74" i="200"/>
  <c r="A74" i="200" s="1"/>
  <c r="C75" i="200"/>
  <c r="A75" i="200" s="1"/>
  <c r="C76" i="200"/>
  <c r="A76" i="200" s="1"/>
  <c r="C77" i="200"/>
  <c r="A77" i="200" s="1"/>
  <c r="C78" i="200"/>
  <c r="A78" i="200" s="1"/>
  <c r="C79" i="200"/>
  <c r="A79" i="200" s="1"/>
  <c r="C80" i="200"/>
  <c r="A80" i="200" s="1"/>
  <c r="C81" i="200"/>
  <c r="A81" i="200" s="1"/>
  <c r="C82" i="200"/>
  <c r="A82" i="200" s="1"/>
  <c r="C83" i="200"/>
  <c r="A83" i="200" s="1"/>
  <c r="C84" i="200"/>
  <c r="A84" i="200" s="1"/>
  <c r="C85" i="200"/>
  <c r="A85" i="200" s="1"/>
  <c r="C86" i="200"/>
  <c r="A86" i="200" s="1"/>
  <c r="C87" i="200"/>
  <c r="A87" i="200" s="1"/>
  <c r="C88" i="200"/>
  <c r="A88" i="200" s="1"/>
  <c r="C89" i="200"/>
  <c r="A89" i="200" s="1"/>
  <c r="C90" i="200"/>
  <c r="A90" i="200" s="1"/>
  <c r="C91" i="200"/>
  <c r="A91" i="200" s="1"/>
  <c r="C92" i="200"/>
  <c r="A92" i="200" s="1"/>
  <c r="C93" i="200"/>
  <c r="A93" i="200" s="1"/>
  <c r="C94" i="200"/>
  <c r="A94" i="200" s="1"/>
  <c r="C95" i="200"/>
  <c r="A95" i="200" s="1"/>
  <c r="C96" i="200"/>
  <c r="A96" i="200" s="1"/>
  <c r="C97" i="200"/>
  <c r="A97" i="200" s="1"/>
  <c r="C98" i="200"/>
  <c r="A98" i="200" s="1"/>
  <c r="C99" i="200"/>
  <c r="A99" i="200" s="1"/>
  <c r="C100" i="200"/>
  <c r="A100" i="200" s="1"/>
  <c r="C101" i="200"/>
  <c r="A101" i="200" s="1"/>
  <c r="C102" i="200"/>
  <c r="A102" i="200" s="1"/>
  <c r="C103" i="200"/>
  <c r="A103" i="200" s="1"/>
  <c r="C104" i="200"/>
  <c r="A104" i="200" s="1"/>
  <c r="C105" i="200"/>
  <c r="A105" i="200" s="1"/>
  <c r="C106" i="200"/>
  <c r="A106" i="200" s="1"/>
  <c r="C107" i="200"/>
  <c r="A107" i="200" s="1"/>
  <c r="C108" i="200"/>
  <c r="A108" i="200" s="1"/>
  <c r="C109" i="200"/>
  <c r="A109" i="200" s="1"/>
  <c r="C110" i="200"/>
  <c r="A110" i="200" s="1"/>
  <c r="C111" i="200"/>
  <c r="A111" i="200" s="1"/>
  <c r="C112" i="200"/>
  <c r="A112" i="200" s="1"/>
  <c r="C113" i="200"/>
  <c r="A113" i="200" s="1"/>
  <c r="C114" i="200"/>
  <c r="A114" i="200" s="1"/>
  <c r="C115" i="200"/>
  <c r="A115" i="200" s="1"/>
  <c r="C116" i="200"/>
  <c r="A116" i="200" s="1"/>
  <c r="C117" i="200"/>
  <c r="A117" i="200" s="1"/>
  <c r="C118" i="200"/>
  <c r="A118" i="200" s="1"/>
  <c r="C119" i="200"/>
  <c r="A119" i="200" s="1"/>
  <c r="C120" i="200"/>
  <c r="A120" i="200" s="1"/>
  <c r="C121" i="200"/>
  <c r="A121" i="200" s="1"/>
  <c r="C122" i="200"/>
  <c r="A122" i="200" s="1"/>
  <c r="C123" i="200"/>
  <c r="A123" i="200" s="1"/>
  <c r="C124" i="200"/>
  <c r="A124" i="200" s="1"/>
  <c r="C125" i="200"/>
  <c r="A125" i="200" s="1"/>
  <c r="C126" i="200"/>
  <c r="A126" i="200" s="1"/>
  <c r="C127" i="200"/>
  <c r="A127" i="200" s="1"/>
  <c r="C128" i="200"/>
  <c r="A128" i="200" s="1"/>
  <c r="C129" i="200"/>
  <c r="A129" i="200" s="1"/>
  <c r="C130" i="200"/>
  <c r="A130" i="200" s="1"/>
  <c r="C131" i="200"/>
  <c r="A131" i="200" s="1"/>
  <c r="C132" i="200"/>
  <c r="A132" i="200" s="1"/>
  <c r="C133" i="200"/>
  <c r="A133" i="200" s="1"/>
  <c r="C134" i="200"/>
  <c r="A134" i="200" s="1"/>
  <c r="C135" i="200"/>
  <c r="A135" i="200" s="1"/>
  <c r="C136" i="200"/>
  <c r="A136" i="200" s="1"/>
  <c r="C137" i="200"/>
  <c r="A137" i="200" s="1"/>
  <c r="C138" i="200"/>
  <c r="A138" i="200" s="1"/>
  <c r="C139" i="200"/>
  <c r="A139" i="200" s="1"/>
  <c r="C140" i="200"/>
  <c r="A140" i="200" s="1"/>
  <c r="C141" i="200"/>
  <c r="A141" i="200" s="1"/>
  <c r="C142" i="200"/>
  <c r="A142" i="200" s="1"/>
  <c r="C143" i="200"/>
  <c r="C144" i="200"/>
  <c r="C145" i="200"/>
  <c r="C146" i="200"/>
  <c r="C147" i="200"/>
  <c r="C148" i="200"/>
  <c r="C149" i="200"/>
  <c r="C150" i="200"/>
  <c r="J150" i="200"/>
  <c r="C151" i="200"/>
  <c r="J151" i="200"/>
  <c r="C152" i="200"/>
  <c r="J152" i="200"/>
  <c r="C153" i="200"/>
  <c r="J153" i="200"/>
  <c r="C154" i="200"/>
  <c r="J154" i="200"/>
  <c r="C155" i="200"/>
  <c r="J155" i="200"/>
  <c r="C156" i="200"/>
  <c r="J156" i="200"/>
  <c r="C157" i="200"/>
  <c r="J157" i="200"/>
  <c r="C158" i="200"/>
  <c r="J158" i="200"/>
  <c r="C159" i="200"/>
  <c r="J159" i="200"/>
  <c r="C160" i="200"/>
  <c r="J160" i="200"/>
  <c r="C161" i="200"/>
  <c r="J161" i="200"/>
  <c r="C162" i="200"/>
  <c r="J162" i="200"/>
  <c r="C163" i="200"/>
  <c r="J163" i="200"/>
  <c r="C164" i="200"/>
  <c r="J164" i="200"/>
  <c r="C165" i="200"/>
  <c r="J165" i="200"/>
  <c r="C166" i="200"/>
  <c r="J166" i="200"/>
  <c r="C167" i="200"/>
  <c r="J167" i="200"/>
  <c r="C168" i="200"/>
  <c r="J168" i="200"/>
  <c r="C169" i="200"/>
  <c r="J169" i="200"/>
  <c r="C170" i="200"/>
  <c r="J170" i="200"/>
  <c r="C171" i="200"/>
  <c r="J171" i="200"/>
  <c r="C172" i="200"/>
  <c r="J172" i="200"/>
  <c r="C173" i="200"/>
  <c r="J173" i="200"/>
  <c r="A192" i="200"/>
  <c r="C192" i="200"/>
  <c r="A193" i="200"/>
  <c r="C193" i="200"/>
  <c r="A194" i="200"/>
  <c r="C194" i="200"/>
  <c r="A195" i="200"/>
  <c r="C195" i="200"/>
  <c r="A196" i="200"/>
  <c r="C196" i="200"/>
  <c r="A197" i="200"/>
  <c r="C197" i="200"/>
  <c r="A198" i="200"/>
  <c r="C198" i="200"/>
  <c r="A199" i="200"/>
  <c r="C199" i="200"/>
  <c r="A200" i="200"/>
  <c r="C200" i="200"/>
  <c r="A201" i="200"/>
  <c r="C201" i="200"/>
  <c r="A202" i="200"/>
  <c r="C202" i="200"/>
  <c r="A203" i="200"/>
  <c r="C203" i="200"/>
  <c r="A204" i="200"/>
  <c r="C204" i="200"/>
  <c r="A205" i="200"/>
  <c r="C205" i="200"/>
  <c r="A206" i="200"/>
  <c r="C206" i="200"/>
  <c r="A207" i="200"/>
  <c r="C207" i="200"/>
  <c r="A208" i="200"/>
  <c r="C208" i="200"/>
  <c r="A209" i="200"/>
  <c r="C209" i="200"/>
  <c r="A210" i="200"/>
  <c r="C210" i="200"/>
  <c r="A211" i="200"/>
  <c r="C211" i="200"/>
  <c r="A212" i="200"/>
  <c r="C212" i="200"/>
  <c r="A213" i="200"/>
  <c r="C213" i="200"/>
  <c r="A214" i="200"/>
  <c r="C214" i="200"/>
  <c r="A215" i="200"/>
  <c r="C215" i="200"/>
  <c r="A216" i="200"/>
  <c r="C216" i="200"/>
  <c r="A217" i="200"/>
  <c r="C217" i="200"/>
  <c r="A218" i="200"/>
  <c r="C218" i="200"/>
  <c r="A219" i="200"/>
  <c r="C219" i="200"/>
  <c r="A220" i="200"/>
  <c r="C220" i="200"/>
  <c r="A221" i="200"/>
  <c r="C221" i="200"/>
  <c r="A222" i="200"/>
  <c r="C222" i="200"/>
  <c r="F4" i="219"/>
  <c r="G4" i="219"/>
  <c r="S141" i="277" l="1"/>
  <c r="S140" i="277" s="1"/>
  <c r="E362" i="277"/>
  <c r="E243" i="277" s="1"/>
  <c r="E242" i="277" s="1"/>
  <c r="W154" i="277"/>
  <c r="W121" i="277"/>
  <c r="W299" i="277"/>
  <c r="R164" i="277"/>
  <c r="R163" i="277" s="1"/>
  <c r="R162" i="277" s="1"/>
  <c r="R76" i="277" s="1"/>
  <c r="W62" i="277"/>
  <c r="R302" i="277"/>
  <c r="W412" i="277"/>
  <c r="R293" i="277"/>
  <c r="R292" i="277" s="1"/>
  <c r="W290" i="277"/>
  <c r="R301" i="277"/>
  <c r="M362" i="277"/>
  <c r="M243" i="277" s="1"/>
  <c r="M242" i="277" s="1"/>
  <c r="W362" i="277"/>
  <c r="W450" i="277"/>
  <c r="R79" i="277"/>
  <c r="R73" i="277" s="1"/>
  <c r="R148" i="277"/>
  <c r="R147" i="277" s="1"/>
  <c r="R103" i="277" s="1"/>
  <c r="R253" i="277"/>
  <c r="W15" i="277"/>
  <c r="W203" i="277"/>
  <c r="W302" i="277"/>
  <c r="R307" i="277"/>
  <c r="R230" i="277" s="1"/>
  <c r="R229" i="277" s="1"/>
  <c r="R259" i="277"/>
  <c r="P219" i="277"/>
  <c r="P450" i="277"/>
  <c r="P489" i="277" s="1"/>
  <c r="W423" i="277"/>
  <c r="W409" i="277"/>
  <c r="G69" i="277"/>
  <c r="R208" i="277"/>
  <c r="R269" i="277"/>
  <c r="U141" i="277"/>
  <c r="U140" i="277" s="1"/>
  <c r="W141" i="277"/>
  <c r="W307" i="277"/>
  <c r="W301" i="277"/>
  <c r="O121" i="277"/>
  <c r="O8" i="277"/>
  <c r="O300" i="277" s="1"/>
  <c r="O298" i="277"/>
  <c r="W176" i="277"/>
  <c r="K292" i="277"/>
  <c r="W338" i="277"/>
  <c r="W331" i="277" s="1"/>
  <c r="S471" i="277"/>
  <c r="W223" i="277"/>
  <c r="W219" i="277"/>
  <c r="W211" i="277" s="1"/>
  <c r="R139" i="277"/>
  <c r="W138" i="277"/>
  <c r="M246" i="277"/>
  <c r="O247" i="277"/>
  <c r="O301" i="277"/>
  <c r="R83" i="277"/>
  <c r="W367" i="277"/>
  <c r="W487" i="277" s="1"/>
  <c r="W399" i="277"/>
  <c r="S246" i="277"/>
  <c r="R86" i="277"/>
  <c r="R172" i="277"/>
  <c r="R294" i="277"/>
  <c r="W191" i="277"/>
  <c r="W289" i="277"/>
  <c r="W309" i="277"/>
  <c r="O304" i="277"/>
  <c r="W170" i="277"/>
  <c r="W417" i="277"/>
  <c r="W304" i="277"/>
  <c r="R231" i="277"/>
  <c r="W390" i="277"/>
  <c r="W385" i="277" s="1"/>
  <c r="W428" i="277"/>
  <c r="R154" i="277"/>
  <c r="R245" i="277"/>
  <c r="R308" i="277"/>
  <c r="W175" i="277"/>
  <c r="W308" i="277"/>
  <c r="W298" i="277"/>
  <c r="W297" i="277"/>
  <c r="W224" i="277"/>
  <c r="W375" i="277"/>
  <c r="O164" i="277"/>
  <c r="O163" i="277" s="1"/>
  <c r="O162" i="277" s="1"/>
  <c r="O160" i="277" s="1"/>
  <c r="Q103" i="277"/>
  <c r="R205" i="277"/>
  <c r="W294" i="277"/>
  <c r="K289" i="277"/>
  <c r="K288" i="277" s="1"/>
  <c r="K287" i="277" s="1"/>
  <c r="K249" i="277" s="1"/>
  <c r="R300" i="277"/>
  <c r="P367" i="277"/>
  <c r="P487" i="277" s="1"/>
  <c r="R247" i="277"/>
  <c r="P409" i="277"/>
  <c r="W291" i="277"/>
  <c r="R177" i="277"/>
  <c r="R223" i="277"/>
  <c r="R222" i="277" s="1"/>
  <c r="R257" i="277"/>
  <c r="Y293" i="277"/>
  <c r="Y292" i="277" s="1"/>
  <c r="W230" i="277"/>
  <c r="W268" i="277"/>
  <c r="N73" i="277"/>
  <c r="G246" i="277"/>
  <c r="W164" i="277"/>
  <c r="W163" i="277" s="1"/>
  <c r="W300" i="277"/>
  <c r="W303" i="277"/>
  <c r="W262" i="277"/>
  <c r="W184" i="277"/>
  <c r="W205" i="277"/>
  <c r="W251" i="277"/>
  <c r="W249" i="277"/>
  <c r="W267" i="277" s="1"/>
  <c r="F489" i="277"/>
  <c r="F493" i="277" s="1"/>
  <c r="Y222" i="277"/>
  <c r="Y221" i="277" s="1"/>
  <c r="H489" i="277"/>
  <c r="H493" i="277" s="1"/>
  <c r="H1" i="277" s="1"/>
  <c r="W148" i="277"/>
  <c r="W147" i="277" s="1"/>
  <c r="W145" i="277" s="1"/>
  <c r="W252" i="277"/>
  <c r="W243" i="277"/>
  <c r="W293" i="277"/>
  <c r="S69" i="277"/>
  <c r="N246" i="277"/>
  <c r="G141" i="277"/>
  <c r="G140" i="277" s="1"/>
  <c r="W204" i="277"/>
  <c r="W201" i="277"/>
  <c r="W245" i="277"/>
  <c r="M73" i="277"/>
  <c r="V11" i="112"/>
  <c r="V338" i="112" s="1"/>
  <c r="T233" i="275"/>
  <c r="N103" i="275"/>
  <c r="S141" i="275"/>
  <c r="S140" i="275" s="1"/>
  <c r="N145" i="275"/>
  <c r="N46" i="275" s="1"/>
  <c r="T362" i="275"/>
  <c r="T243" i="275" s="1"/>
  <c r="T242" i="275" s="1"/>
  <c r="T138" i="275" s="1"/>
  <c r="T137" i="275" s="1"/>
  <c r="O489" i="275"/>
  <c r="O493" i="275" s="1"/>
  <c r="V409" i="275"/>
  <c r="V219" i="275"/>
  <c r="V211" i="275" s="1"/>
  <c r="L121" i="275"/>
  <c r="V420" i="275"/>
  <c r="L8" i="275"/>
  <c r="L164" i="275" s="1"/>
  <c r="L163" i="275" s="1"/>
  <c r="L489" i="275"/>
  <c r="V417" i="275"/>
  <c r="H8" i="275"/>
  <c r="H262" i="275" s="1"/>
  <c r="R298" i="275"/>
  <c r="L291" i="275"/>
  <c r="M290" i="275" s="1"/>
  <c r="V428" i="275"/>
  <c r="H399" i="275"/>
  <c r="R139" i="275"/>
  <c r="S471" i="275"/>
  <c r="D423" i="275"/>
  <c r="L362" i="275"/>
  <c r="L367" i="275"/>
  <c r="L487" i="275" s="1"/>
  <c r="V489" i="275"/>
  <c r="V493" i="275"/>
  <c r="H121" i="275"/>
  <c r="H428" i="275"/>
  <c r="R142" i="275"/>
  <c r="R209" i="275"/>
  <c r="R309" i="275"/>
  <c r="M141" i="275"/>
  <c r="M140" i="275" s="1"/>
  <c r="W338" i="275"/>
  <c r="W331" i="275" s="1"/>
  <c r="W409" i="275"/>
  <c r="R145" i="275"/>
  <c r="R52" i="275" s="1"/>
  <c r="L2" i="275"/>
  <c r="L1" i="275"/>
  <c r="N141" i="275"/>
  <c r="N140" i="275" s="1"/>
  <c r="D338" i="275"/>
  <c r="D331" i="275" s="1"/>
  <c r="L399" i="275"/>
  <c r="Y230" i="275"/>
  <c r="Y297" i="275"/>
  <c r="R103" i="275"/>
  <c r="H493" i="275"/>
  <c r="R208" i="275"/>
  <c r="W375" i="275"/>
  <c r="R259" i="275"/>
  <c r="D362" i="275"/>
  <c r="L428" i="275"/>
  <c r="Y249" i="275"/>
  <c r="Y252" i="275"/>
  <c r="V375" i="275"/>
  <c r="H412" i="275"/>
  <c r="R66" i="275"/>
  <c r="Q103" i="275"/>
  <c r="W390" i="275"/>
  <c r="W385" i="275" s="1"/>
  <c r="W399" i="275"/>
  <c r="G409" i="275"/>
  <c r="G493" i="275"/>
  <c r="R303" i="275"/>
  <c r="E291" i="275"/>
  <c r="E489" i="275"/>
  <c r="D291" i="275"/>
  <c r="D390" i="275"/>
  <c r="D385" i="275" s="1"/>
  <c r="L390" i="275"/>
  <c r="L385" i="275" s="1"/>
  <c r="L493" i="275"/>
  <c r="Y176" i="275"/>
  <c r="Y294" i="275"/>
  <c r="Y243" i="275"/>
  <c r="Y300" i="275"/>
  <c r="V8" i="275"/>
  <c r="V294" i="275" s="1"/>
  <c r="V362" i="275"/>
  <c r="H417" i="275"/>
  <c r="H338" i="275"/>
  <c r="H331" i="275" s="1"/>
  <c r="R62" i="275"/>
  <c r="R244" i="275"/>
  <c r="R294" i="275"/>
  <c r="W291" i="275"/>
  <c r="W428" i="275"/>
  <c r="R173" i="275"/>
  <c r="N138" i="275"/>
  <c r="N137" i="275" s="1"/>
  <c r="L412" i="275"/>
  <c r="V367" i="275"/>
  <c r="V487" i="275" s="1"/>
  <c r="V278" i="275"/>
  <c r="W278" i="275" s="1"/>
  <c r="X278" i="275" s="1"/>
  <c r="Y278" i="275" s="1"/>
  <c r="L450" i="275"/>
  <c r="V399" i="275"/>
  <c r="H367" i="275"/>
  <c r="H487" i="275" s="1"/>
  <c r="S362" i="275"/>
  <c r="S243" i="275" s="1"/>
  <c r="S242" i="275" s="1"/>
  <c r="L409" i="275"/>
  <c r="V291" i="275"/>
  <c r="R177" i="275"/>
  <c r="S489" i="275"/>
  <c r="S493" i="275" s="1"/>
  <c r="R304" i="275"/>
  <c r="L423" i="275"/>
  <c r="Y141" i="275"/>
  <c r="Y289" i="275"/>
  <c r="Y288" i="275" s="1"/>
  <c r="V390" i="275"/>
  <c r="V385" i="275" s="1"/>
  <c r="V423" i="275"/>
  <c r="H375" i="275"/>
  <c r="R86" i="275"/>
  <c r="R154" i="275"/>
  <c r="R167" i="275" s="1"/>
  <c r="R166" i="275" s="1"/>
  <c r="W367" i="275"/>
  <c r="W487" i="275" s="1"/>
  <c r="G121" i="275"/>
  <c r="G428" i="275"/>
  <c r="D121" i="275"/>
  <c r="L338" i="275"/>
  <c r="L331" i="275" s="1"/>
  <c r="Y154" i="275"/>
  <c r="Y302" i="275"/>
  <c r="H423" i="275"/>
  <c r="R224" i="275"/>
  <c r="R269" i="275"/>
  <c r="G291" i="275"/>
  <c r="R300" i="275"/>
  <c r="R302" i="275"/>
  <c r="R297" i="275" s="1"/>
  <c r="R258" i="275" s="1"/>
  <c r="E409" i="275"/>
  <c r="E375" i="275"/>
  <c r="D278" i="275"/>
  <c r="Y205" i="275"/>
  <c r="Y148" i="275"/>
  <c r="Y147" i="275" s="1"/>
  <c r="Y145" i="275" s="1"/>
  <c r="Y204" i="275"/>
  <c r="Y202" i="275" s="1"/>
  <c r="V121" i="275"/>
  <c r="H450" i="275"/>
  <c r="R79" i="275"/>
  <c r="R172" i="275"/>
  <c r="R223" i="275"/>
  <c r="R222" i="275" s="1"/>
  <c r="R221" i="275" s="1"/>
  <c r="W420" i="275"/>
  <c r="R307" i="275"/>
  <c r="R230" i="275" s="1"/>
  <c r="R229" i="275" s="1"/>
  <c r="R141" i="275" s="1"/>
  <c r="R140" i="275" s="1"/>
  <c r="R164" i="275"/>
  <c r="R163" i="275" s="1"/>
  <c r="R162" i="275" s="1"/>
  <c r="R76" i="275" s="1"/>
  <c r="S103" i="275"/>
  <c r="Q289" i="275"/>
  <c r="Q288" i="275" s="1"/>
  <c r="Q287" i="275" s="1"/>
  <c r="Q249" i="275" s="1"/>
  <c r="Q248" i="275" s="1"/>
  <c r="N298" i="275"/>
  <c r="N297" i="275" s="1"/>
  <c r="N258" i="275" s="1"/>
  <c r="R362" i="275"/>
  <c r="R243" i="275" s="1"/>
  <c r="R242" i="275" s="1"/>
  <c r="Q46" i="275"/>
  <c r="Q292" i="275"/>
  <c r="T46" i="275"/>
  <c r="Q246" i="275"/>
  <c r="N76" i="275"/>
  <c r="T51" i="275"/>
  <c r="Q102" i="275"/>
  <c r="U51" i="277"/>
  <c r="U73" i="277"/>
  <c r="F171" i="277"/>
  <c r="F186" i="277" s="1"/>
  <c r="Q102" i="277"/>
  <c r="M76" i="277"/>
  <c r="M171" i="277"/>
  <c r="M186" i="277" s="1"/>
  <c r="Q46" i="277"/>
  <c r="M141" i="277"/>
  <c r="M140" i="277" s="1"/>
  <c r="G184" i="277"/>
  <c r="U171" i="277"/>
  <c r="U186" i="277" s="1"/>
  <c r="F141" i="277"/>
  <c r="F140" i="277" s="1"/>
  <c r="N292" i="277"/>
  <c r="E184" i="277"/>
  <c r="N184" i="277"/>
  <c r="T184" i="275"/>
  <c r="Q141" i="275"/>
  <c r="Q140" i="275" s="1"/>
  <c r="T69" i="275"/>
  <c r="X288" i="275"/>
  <c r="Q184" i="275"/>
  <c r="Q171" i="275"/>
  <c r="Q186" i="275" s="1"/>
  <c r="Q76" i="275"/>
  <c r="T141" i="275"/>
  <c r="T140" i="275" s="1"/>
  <c r="R184" i="275"/>
  <c r="N171" i="275"/>
  <c r="N186" i="275" s="1"/>
  <c r="T76" i="275"/>
  <c r="G297" i="277"/>
  <c r="G258" i="277" s="1"/>
  <c r="Q362" i="277"/>
  <c r="Q243" i="277" s="1"/>
  <c r="Q242" i="277" s="1"/>
  <c r="Q56" i="277" s="1"/>
  <c r="M233" i="277"/>
  <c r="K298" i="277"/>
  <c r="K297" i="277" s="1"/>
  <c r="K258" i="277" s="1"/>
  <c r="Y288" i="277"/>
  <c r="O362" i="277"/>
  <c r="O243" i="277" s="1"/>
  <c r="O242" i="277" s="1"/>
  <c r="S102" i="277"/>
  <c r="G362" i="277"/>
  <c r="G243" i="277" s="1"/>
  <c r="G242" i="277" s="1"/>
  <c r="U362" i="277"/>
  <c r="U243" i="277" s="1"/>
  <c r="U242" i="277" s="1"/>
  <c r="U56" i="277" s="1"/>
  <c r="F298" i="277"/>
  <c r="F297" i="277" s="1"/>
  <c r="F258" i="277" s="1"/>
  <c r="I385" i="277"/>
  <c r="I375" i="277" s="1"/>
  <c r="I291" i="277" s="1"/>
  <c r="N141" i="277"/>
  <c r="N140" i="277" s="1"/>
  <c r="K489" i="277"/>
  <c r="K493" i="277" s="1"/>
  <c r="K1" i="277" s="1"/>
  <c r="G255" i="277"/>
  <c r="G254" i="277" s="1"/>
  <c r="G233" i="277"/>
  <c r="N298" i="277"/>
  <c r="K141" i="277"/>
  <c r="K140" i="277" s="1"/>
  <c r="K233" i="277"/>
  <c r="K138" i="277" s="1"/>
  <c r="K137" i="277" s="1"/>
  <c r="S73" i="277"/>
  <c r="K102" i="277"/>
  <c r="K246" i="277"/>
  <c r="M297" i="277"/>
  <c r="M258" i="277" s="1"/>
  <c r="S292" i="277"/>
  <c r="R489" i="277"/>
  <c r="R493" i="277" s="1"/>
  <c r="U69" i="277"/>
  <c r="N102" i="277"/>
  <c r="R171" i="277"/>
  <c r="R186" i="277" s="1"/>
  <c r="E102" i="277"/>
  <c r="E141" i="277"/>
  <c r="E140" i="277" s="1"/>
  <c r="I141" i="277"/>
  <c r="I140" i="277" s="1"/>
  <c r="S489" i="277"/>
  <c r="S493" i="277" s="1"/>
  <c r="S10" i="277" s="1"/>
  <c r="G385" i="277"/>
  <c r="G375" i="277" s="1"/>
  <c r="G291" i="277" s="1"/>
  <c r="M292" i="277"/>
  <c r="S289" i="277"/>
  <c r="S288" i="277" s="1"/>
  <c r="S287" i="277" s="1"/>
  <c r="S249" i="277" s="1"/>
  <c r="S248" i="277" s="1"/>
  <c r="S256" i="277" s="1"/>
  <c r="S254" i="277" s="1"/>
  <c r="P291" i="277"/>
  <c r="Q290" i="277" s="1"/>
  <c r="N248" i="277"/>
  <c r="N267" i="277"/>
  <c r="I297" i="277"/>
  <c r="I258" i="277" s="1"/>
  <c r="G248" i="277"/>
  <c r="G256" i="277" s="1"/>
  <c r="T291" i="277"/>
  <c r="U290" i="277" s="1"/>
  <c r="T489" i="277"/>
  <c r="T493" i="277" s="1"/>
  <c r="I248" i="277"/>
  <c r="I256" i="277" s="1"/>
  <c r="M291" i="277"/>
  <c r="M489" i="277"/>
  <c r="M493" i="277" s="1"/>
  <c r="O489" i="277"/>
  <c r="O493" i="277" s="1"/>
  <c r="O291" i="277"/>
  <c r="U489" i="277"/>
  <c r="U493" i="277" s="1"/>
  <c r="U291" i="277"/>
  <c r="K248" i="277"/>
  <c r="K256" i="277" s="1"/>
  <c r="U248" i="277"/>
  <c r="U256" i="277" s="1"/>
  <c r="U254" i="277" s="1"/>
  <c r="V257" i="277" s="1"/>
  <c r="Q297" i="277"/>
  <c r="Q258" i="277" s="1"/>
  <c r="U297" i="277"/>
  <c r="U258" i="277" s="1"/>
  <c r="V258" i="277" s="1"/>
  <c r="W258" i="277" s="1"/>
  <c r="X258" i="277" s="1"/>
  <c r="Y258" i="277" s="1"/>
  <c r="N297" i="277"/>
  <c r="N258" i="277" s="1"/>
  <c r="M248" i="277"/>
  <c r="J291" i="277"/>
  <c r="K290" i="277" s="1"/>
  <c r="J489" i="277"/>
  <c r="J493" i="277" s="1"/>
  <c r="Q489" i="277"/>
  <c r="Q493" i="277" s="1"/>
  <c r="Q291" i="277"/>
  <c r="R290" i="277" s="1"/>
  <c r="H2" i="277"/>
  <c r="K56" i="277"/>
  <c r="E297" i="277"/>
  <c r="E258" i="277" s="1"/>
  <c r="S297" i="277"/>
  <c r="S258" i="277" s="1"/>
  <c r="Q51" i="277"/>
  <c r="Q69" i="277"/>
  <c r="S160" i="277"/>
  <c r="S46" i="277" s="1"/>
  <c r="S76" i="277"/>
  <c r="F167" i="277"/>
  <c r="F166" i="277" s="1"/>
  <c r="F153" i="277"/>
  <c r="L489" i="277"/>
  <c r="L493" i="277" s="1"/>
  <c r="N145" i="277"/>
  <c r="N56" i="277" s="1"/>
  <c r="N69" i="277"/>
  <c r="D489" i="277"/>
  <c r="D493" i="277" s="1"/>
  <c r="M221" i="277"/>
  <c r="F246" i="277"/>
  <c r="F289" i="277"/>
  <c r="F288" i="277" s="1"/>
  <c r="F287" i="277" s="1"/>
  <c r="F249" i="277" s="1"/>
  <c r="G267" i="277" s="1"/>
  <c r="D309" i="277"/>
  <c r="E471" i="277"/>
  <c r="D304" i="277"/>
  <c r="D298" i="277"/>
  <c r="D308" i="277"/>
  <c r="D299" i="277"/>
  <c r="D255" i="277"/>
  <c r="D254" i="277" s="1"/>
  <c r="D257" i="277"/>
  <c r="D307" i="277"/>
  <c r="D230" i="277" s="1"/>
  <c r="D229" i="277" s="1"/>
  <c r="D300" i="277"/>
  <c r="D243" i="277"/>
  <c r="D242" i="277" s="1"/>
  <c r="D302" i="277"/>
  <c r="D259" i="277"/>
  <c r="D224" i="277"/>
  <c r="D289" i="277"/>
  <c r="D288" i="277" s="1"/>
  <c r="D287" i="277" s="1"/>
  <c r="D249" i="277" s="1"/>
  <c r="D262" i="277"/>
  <c r="D231" i="277"/>
  <c r="D223" i="277"/>
  <c r="D222" i="277" s="1"/>
  <c r="D301" i="277"/>
  <c r="D247" i="277"/>
  <c r="D246" i="277"/>
  <c r="D265" i="277" s="1"/>
  <c r="D245" i="277"/>
  <c r="D244" i="277"/>
  <c r="D294" i="277"/>
  <c r="D173" i="277"/>
  <c r="D164" i="277"/>
  <c r="D163" i="277" s="1"/>
  <c r="D208" i="277"/>
  <c r="D205" i="277"/>
  <c r="D177" i="277"/>
  <c r="D191" i="277"/>
  <c r="D190" i="277" s="1"/>
  <c r="D189" i="277" s="1"/>
  <c r="D293" i="277"/>
  <c r="D290" i="277"/>
  <c r="D148" i="277"/>
  <c r="D147" i="277" s="1"/>
  <c r="D269" i="277"/>
  <c r="D253" i="277"/>
  <c r="D172" i="277"/>
  <c r="D154" i="277"/>
  <c r="D303" i="277"/>
  <c r="D139" i="277"/>
  <c r="D83" i="277"/>
  <c r="D79" i="277"/>
  <c r="D15" i="277"/>
  <c r="D142" i="277"/>
  <c r="D62" i="277"/>
  <c r="N225" i="277"/>
  <c r="N193" i="277"/>
  <c r="N192" i="277" s="1"/>
  <c r="N183" i="277"/>
  <c r="N182" i="277" s="1"/>
  <c r="N181" i="277" s="1"/>
  <c r="N179" i="277" s="1"/>
  <c r="N151" i="277"/>
  <c r="N36" i="277" s="1"/>
  <c r="U221" i="277"/>
  <c r="Q171" i="277"/>
  <c r="Q186" i="277" s="1"/>
  <c r="I102" i="277"/>
  <c r="K167" i="277"/>
  <c r="K166" i="277" s="1"/>
  <c r="K153" i="277"/>
  <c r="N160" i="277"/>
  <c r="N51" i="277"/>
  <c r="V278" i="277"/>
  <c r="W278" i="277" s="1"/>
  <c r="X278" i="277" s="1"/>
  <c r="Y278" i="277" s="1"/>
  <c r="S184" i="277"/>
  <c r="L307" i="277"/>
  <c r="L230" i="277" s="1"/>
  <c r="L229" i="277" s="1"/>
  <c r="L301" i="277"/>
  <c r="L302" i="277"/>
  <c r="M471" i="277"/>
  <c r="L304" i="277"/>
  <c r="L269" i="277"/>
  <c r="L262" i="277"/>
  <c r="L309" i="277"/>
  <c r="L289" i="277"/>
  <c r="L288" i="277" s="1"/>
  <c r="L287" i="277" s="1"/>
  <c r="L249" i="277" s="1"/>
  <c r="L247" i="277"/>
  <c r="L255" i="277"/>
  <c r="L254" i="277" s="1"/>
  <c r="L231" i="277"/>
  <c r="L293" i="277"/>
  <c r="L303" i="277"/>
  <c r="L294" i="277"/>
  <c r="L308" i="277"/>
  <c r="L300" i="277"/>
  <c r="L172" i="277"/>
  <c r="L208" i="277"/>
  <c r="L257" i="277"/>
  <c r="L205" i="277"/>
  <c r="L243" i="277"/>
  <c r="L242" i="277" s="1"/>
  <c r="L164" i="277"/>
  <c r="L163" i="277" s="1"/>
  <c r="L177" i="277"/>
  <c r="L253" i="277"/>
  <c r="L246" i="277"/>
  <c r="L298" i="277"/>
  <c r="L173" i="277"/>
  <c r="L223" i="277"/>
  <c r="L222" i="277" s="1"/>
  <c r="L142" i="277"/>
  <c r="L299" i="277"/>
  <c r="L259" i="277"/>
  <c r="L148" i="277"/>
  <c r="L147" i="277" s="1"/>
  <c r="L139" i="277"/>
  <c r="L244" i="277"/>
  <c r="L154" i="277"/>
  <c r="L15" i="277"/>
  <c r="L86" i="277"/>
  <c r="L79" i="277"/>
  <c r="L191" i="277"/>
  <c r="L190" i="277" s="1"/>
  <c r="L189" i="277" s="1"/>
  <c r="L62" i="277"/>
  <c r="L83" i="277"/>
  <c r="L245" i="277"/>
  <c r="N167" i="277"/>
  <c r="N166" i="277" s="1"/>
  <c r="Q62" i="277"/>
  <c r="Q52" i="277" s="1"/>
  <c r="Q292" i="277"/>
  <c r="Y167" i="277"/>
  <c r="Y153" i="277"/>
  <c r="I184" i="277"/>
  <c r="I255" i="277"/>
  <c r="I254" i="277" s="1"/>
  <c r="N221" i="277"/>
  <c r="F162" i="277"/>
  <c r="F73" i="277" s="1"/>
  <c r="F157" i="277"/>
  <c r="U153" i="277"/>
  <c r="U167" i="277"/>
  <c r="U166" i="277" s="1"/>
  <c r="H303" i="277"/>
  <c r="H294" i="277"/>
  <c r="H299" i="277"/>
  <c r="H308" i="277"/>
  <c r="H300" i="277"/>
  <c r="H302" i="277"/>
  <c r="H293" i="277"/>
  <c r="H307" i="277"/>
  <c r="H230" i="277" s="1"/>
  <c r="H229" i="277" s="1"/>
  <c r="H304" i="277"/>
  <c r="H289" i="277"/>
  <c r="H288" i="277" s="1"/>
  <c r="H287" i="277" s="1"/>
  <c r="H249" i="277" s="1"/>
  <c r="H259" i="277"/>
  <c r="H301" i="277"/>
  <c r="H269" i="277"/>
  <c r="H253" i="277"/>
  <c r="H245" i="277"/>
  <c r="H309" i="277"/>
  <c r="H262" i="277"/>
  <c r="H246" i="277"/>
  <c r="K224" i="277"/>
  <c r="I471" i="277"/>
  <c r="H257" i="277"/>
  <c r="H191" i="277"/>
  <c r="H190" i="277" s="1"/>
  <c r="H189" i="277" s="1"/>
  <c r="H184" i="277"/>
  <c r="H298" i="277"/>
  <c r="H224" i="277"/>
  <c r="H247" i="277"/>
  <c r="H231" i="277"/>
  <c r="H243" i="277"/>
  <c r="H242" i="277" s="1"/>
  <c r="H244" i="277"/>
  <c r="H205" i="277"/>
  <c r="H255" i="277"/>
  <c r="H254" i="277" s="1"/>
  <c r="H208" i="277"/>
  <c r="H154" i="277"/>
  <c r="H139" i="277"/>
  <c r="H177" i="277"/>
  <c r="H172" i="277"/>
  <c r="H173" i="277"/>
  <c r="H164" i="277"/>
  <c r="H163" i="277" s="1"/>
  <c r="H79" i="277"/>
  <c r="H142" i="277"/>
  <c r="H83" i="277"/>
  <c r="H148" i="277"/>
  <c r="H147" i="277" s="1"/>
  <c r="H15" i="277"/>
  <c r="H62" i="277"/>
  <c r="H223" i="277"/>
  <c r="H222" i="277" s="1"/>
  <c r="R362" i="277"/>
  <c r="R243" i="277" s="1"/>
  <c r="R242" i="277" s="1"/>
  <c r="R102" i="277"/>
  <c r="K184" i="277"/>
  <c r="S291" i="277"/>
  <c r="T290" i="277" s="1"/>
  <c r="S51" i="277"/>
  <c r="K52" i="277"/>
  <c r="U102" i="277"/>
  <c r="Q184" i="277"/>
  <c r="Y267" i="277"/>
  <c r="W233" i="277"/>
  <c r="I145" i="277"/>
  <c r="I56" i="277" s="1"/>
  <c r="I103" i="277"/>
  <c r="J69" i="277"/>
  <c r="I171" i="277"/>
  <c r="I186" i="277" s="1"/>
  <c r="I292" i="277"/>
  <c r="G167" i="277"/>
  <c r="G166" i="277" s="1"/>
  <c r="G153" i="277"/>
  <c r="K291" i="277"/>
  <c r="H69" i="277"/>
  <c r="S171" i="277"/>
  <c r="S186" i="277" s="1"/>
  <c r="F102" i="277"/>
  <c r="M153" i="277"/>
  <c r="M167" i="277"/>
  <c r="M166" i="277" s="1"/>
  <c r="S362" i="277"/>
  <c r="S243" i="277" s="1"/>
  <c r="S242" i="277" s="1"/>
  <c r="K103" i="277"/>
  <c r="U184" i="277"/>
  <c r="T303" i="277"/>
  <c r="T294" i="277"/>
  <c r="T299" i="277"/>
  <c r="T308" i="277"/>
  <c r="T300" i="277"/>
  <c r="T302" i="277"/>
  <c r="T293" i="277"/>
  <c r="T289" i="277"/>
  <c r="T288" i="277" s="1"/>
  <c r="T287" i="277" s="1"/>
  <c r="T249" i="277" s="1"/>
  <c r="U267" i="277" s="1"/>
  <c r="T259" i="277"/>
  <c r="T298" i="277"/>
  <c r="T257" i="277"/>
  <c r="T245" i="277"/>
  <c r="T307" i="277"/>
  <c r="T230" i="277"/>
  <c r="T229" i="277" s="1"/>
  <c r="T269" i="277"/>
  <c r="T309" i="277"/>
  <c r="T304" i="277"/>
  <c r="T247" i="277"/>
  <c r="T246" i="277"/>
  <c r="T209" i="277"/>
  <c r="T208" i="277"/>
  <c r="T191" i="277"/>
  <c r="T190" i="277" s="1"/>
  <c r="T189" i="277" s="1"/>
  <c r="T224" i="277"/>
  <c r="T231" i="277"/>
  <c r="T253" i="277"/>
  <c r="U471" i="277"/>
  <c r="T172" i="277"/>
  <c r="T177" i="277"/>
  <c r="T301" i="277"/>
  <c r="T262" i="277"/>
  <c r="T244" i="277"/>
  <c r="T164" i="277"/>
  <c r="T163" i="277" s="1"/>
  <c r="T162" i="277" s="1"/>
  <c r="T76" i="277" s="1"/>
  <c r="T139" i="277"/>
  <c r="T223" i="277"/>
  <c r="T222" i="277" s="1"/>
  <c r="T205" i="277"/>
  <c r="T154" i="277"/>
  <c r="T173" i="277"/>
  <c r="T79" i="277"/>
  <c r="T62" i="277"/>
  <c r="T243" i="277"/>
  <c r="T242" i="277" s="1"/>
  <c r="T148" i="277"/>
  <c r="T147" i="277" s="1"/>
  <c r="T233" i="277" s="1"/>
  <c r="T15" i="277"/>
  <c r="T83" i="277"/>
  <c r="T66" i="277"/>
  <c r="T142" i="277"/>
  <c r="T86" i="277"/>
  <c r="H291" i="277"/>
  <c r="Q153" i="277"/>
  <c r="Q167" i="277"/>
  <c r="Q166" i="277" s="1"/>
  <c r="Y202" i="277"/>
  <c r="I246" i="277"/>
  <c r="P309" i="277"/>
  <c r="Q471" i="277"/>
  <c r="P304" i="277"/>
  <c r="P298" i="277"/>
  <c r="P308" i="277"/>
  <c r="P294" i="277"/>
  <c r="P299" i="277"/>
  <c r="P293" i="277"/>
  <c r="P257" i="277"/>
  <c r="P243" i="277"/>
  <c r="P242" i="277" s="1"/>
  <c r="P247" i="277"/>
  <c r="P245" i="277"/>
  <c r="P303" i="277"/>
  <c r="P300" i="277"/>
  <c r="P262" i="277"/>
  <c r="P224" i="277"/>
  <c r="P209" i="277"/>
  <c r="P208" i="277"/>
  <c r="P302" i="277"/>
  <c r="P205" i="277"/>
  <c r="P231" i="277"/>
  <c r="P164" i="277"/>
  <c r="P163" i="277" s="1"/>
  <c r="P162" i="277" s="1"/>
  <c r="P160" i="277" s="1"/>
  <c r="P223" i="277"/>
  <c r="P222" i="277" s="1"/>
  <c r="P154" i="277"/>
  <c r="P244" i="277"/>
  <c r="P253" i="277"/>
  <c r="P246" i="277"/>
  <c r="P173" i="277"/>
  <c r="P142" i="277"/>
  <c r="P269" i="277"/>
  <c r="P289" i="277"/>
  <c r="P288" i="277" s="1"/>
  <c r="P287" i="277" s="1"/>
  <c r="P249" i="277" s="1"/>
  <c r="P307" i="277"/>
  <c r="P230" i="277" s="1"/>
  <c r="P229" i="277" s="1"/>
  <c r="P301" i="277"/>
  <c r="P148" i="277"/>
  <c r="P147" i="277" s="1"/>
  <c r="P233" i="277" s="1"/>
  <c r="P172" i="277"/>
  <c r="P139" i="277"/>
  <c r="P191" i="277"/>
  <c r="P190" i="277" s="1"/>
  <c r="P189" i="277" s="1"/>
  <c r="P62" i="277"/>
  <c r="P83" i="277"/>
  <c r="P66" i="277"/>
  <c r="P15" i="277"/>
  <c r="P177" i="277"/>
  <c r="P79" i="277"/>
  <c r="P86" i="277"/>
  <c r="E221" i="277"/>
  <c r="E489" i="277"/>
  <c r="E493" i="277" s="1"/>
  <c r="R153" i="277"/>
  <c r="R167" i="277"/>
  <c r="R166" i="277" s="1"/>
  <c r="R221" i="277"/>
  <c r="F255" i="277"/>
  <c r="F254" i="277" s="1"/>
  <c r="X307" i="277"/>
  <c r="X290" i="277"/>
  <c r="X301" i="277"/>
  <c r="X302" i="277"/>
  <c r="Y471" i="277"/>
  <c r="X304" i="277"/>
  <c r="X297" i="277"/>
  <c r="X300" i="277"/>
  <c r="X299" i="277"/>
  <c r="X262" i="277"/>
  <c r="X309" i="277"/>
  <c r="X308" i="277"/>
  <c r="X294" i="277"/>
  <c r="X230" i="277"/>
  <c r="X224" i="277"/>
  <c r="X293" i="277"/>
  <c r="X268" i="277"/>
  <c r="X298" i="277"/>
  <c r="X251" i="277"/>
  <c r="X303" i="277"/>
  <c r="X289" i="277"/>
  <c r="X205" i="277"/>
  <c r="X164" i="277"/>
  <c r="X163" i="277" s="1"/>
  <c r="X252" i="277"/>
  <c r="X245" i="277"/>
  <c r="X170" i="277"/>
  <c r="X243" i="277"/>
  <c r="X204" i="277"/>
  <c r="X191" i="277"/>
  <c r="X184" i="277"/>
  <c r="X201" i="277"/>
  <c r="X138" i="277"/>
  <c r="X249" i="277"/>
  <c r="X154" i="277"/>
  <c r="X141" i="277"/>
  <c r="X223" i="277"/>
  <c r="X203" i="277"/>
  <c r="X15" i="277"/>
  <c r="X148" i="277"/>
  <c r="X147" i="277" s="1"/>
  <c r="X145" i="277" s="1"/>
  <c r="X175" i="277"/>
  <c r="X62" i="277"/>
  <c r="X176" i="277"/>
  <c r="U160" i="277"/>
  <c r="U46" i="277" s="1"/>
  <c r="U60" i="277"/>
  <c r="U292" i="277"/>
  <c r="Y233" i="277"/>
  <c r="N385" i="277"/>
  <c r="N375" i="277" s="1"/>
  <c r="K171" i="277"/>
  <c r="K186" i="277" s="1"/>
  <c r="G171" i="277"/>
  <c r="G186" i="277" s="1"/>
  <c r="G221" i="277"/>
  <c r="D69" i="277"/>
  <c r="E162" i="277"/>
  <c r="E51" i="277" s="1"/>
  <c r="E157" i="277"/>
  <c r="E167" i="277"/>
  <c r="E166" i="277" s="1"/>
  <c r="E153" i="277"/>
  <c r="U246" i="277"/>
  <c r="S103" i="277"/>
  <c r="I162" i="277"/>
  <c r="I157" i="277"/>
  <c r="F291" i="277"/>
  <c r="N76" i="277"/>
  <c r="G145" i="277"/>
  <c r="G52" i="277" s="1"/>
  <c r="G103" i="277"/>
  <c r="S167" i="277"/>
  <c r="S166" i="277" s="1"/>
  <c r="S153" i="277"/>
  <c r="G189" i="277"/>
  <c r="G102" i="277"/>
  <c r="R184" i="277"/>
  <c r="E246" i="277"/>
  <c r="E289" i="277"/>
  <c r="E288" i="277" s="1"/>
  <c r="E287" i="277" s="1"/>
  <c r="E249" i="277" s="1"/>
  <c r="E255" i="277"/>
  <c r="E254" i="277" s="1"/>
  <c r="Q233" i="277"/>
  <c r="W167" i="277"/>
  <c r="W153" i="277"/>
  <c r="S221" i="277"/>
  <c r="G162" i="277"/>
  <c r="G73" i="277" s="1"/>
  <c r="G157" i="277"/>
  <c r="R289" i="277"/>
  <c r="R288" i="277" s="1"/>
  <c r="R287" i="277" s="1"/>
  <c r="R249" i="277" s="1"/>
  <c r="R246" i="277"/>
  <c r="F184" i="277"/>
  <c r="Q76" i="277"/>
  <c r="Q221" i="277"/>
  <c r="I62" i="277"/>
  <c r="N233" i="277"/>
  <c r="N171" i="277"/>
  <c r="N186" i="277" s="1"/>
  <c r="K221" i="277"/>
  <c r="V304" i="277"/>
  <c r="V297" i="277"/>
  <c r="V300" i="277"/>
  <c r="V309" i="277"/>
  <c r="V301" i="277"/>
  <c r="W471" i="277"/>
  <c r="V303" i="277"/>
  <c r="V294" i="277"/>
  <c r="V268" i="277"/>
  <c r="V302" i="277"/>
  <c r="V299" i="277"/>
  <c r="V289" i="277"/>
  <c r="V223" i="277"/>
  <c r="V252" i="277"/>
  <c r="V249" i="277"/>
  <c r="V245" i="277"/>
  <c r="V243" i="277"/>
  <c r="V205" i="277"/>
  <c r="V164" i="277"/>
  <c r="V163" i="277" s="1"/>
  <c r="V293" i="277"/>
  <c r="V262" i="277"/>
  <c r="V201" i="277"/>
  <c r="V308" i="277"/>
  <c r="V224" i="277"/>
  <c r="V204" i="277"/>
  <c r="V191" i="277"/>
  <c r="V176" i="277"/>
  <c r="V251" i="277"/>
  <c r="V230" i="277"/>
  <c r="V175" i="277"/>
  <c r="V148" i="277"/>
  <c r="V147" i="277" s="1"/>
  <c r="V145" i="277" s="1"/>
  <c r="V154" i="277"/>
  <c r="V298" i="277"/>
  <c r="V307" i="277"/>
  <c r="V203" i="277"/>
  <c r="V141" i="277"/>
  <c r="V170" i="277"/>
  <c r="V138" i="277"/>
  <c r="V83" i="277"/>
  <c r="V62" i="277"/>
  <c r="V290" i="277"/>
  <c r="V15" i="277"/>
  <c r="V79" i="277"/>
  <c r="V184" i="277"/>
  <c r="N103" i="277"/>
  <c r="E145" i="277"/>
  <c r="E56" i="277" s="1"/>
  <c r="E103" i="277"/>
  <c r="U103" i="277"/>
  <c r="Q246" i="277"/>
  <c r="Y250" i="277"/>
  <c r="F69" i="277"/>
  <c r="I153" i="277"/>
  <c r="I167" i="277"/>
  <c r="I166" i="277" s="1"/>
  <c r="E62" i="277"/>
  <c r="M51" i="277"/>
  <c r="M69" i="277"/>
  <c r="K157" i="277"/>
  <c r="K162" i="277"/>
  <c r="K73" i="277" s="1"/>
  <c r="M145" i="277"/>
  <c r="M52" i="277" s="1"/>
  <c r="K255" i="277"/>
  <c r="K254" i="277" s="1"/>
  <c r="J304" i="277"/>
  <c r="J300" i="277"/>
  <c r="J309" i="277"/>
  <c r="J301" i="277"/>
  <c r="K471" i="277"/>
  <c r="J303" i="277"/>
  <c r="J294" i="277"/>
  <c r="J302" i="277"/>
  <c r="J308" i="277"/>
  <c r="J259" i="277"/>
  <c r="J246" i="277"/>
  <c r="J298" i="277"/>
  <c r="J223" i="277"/>
  <c r="J222" i="277" s="1"/>
  <c r="J269" i="277"/>
  <c r="J244" i="277"/>
  <c r="J307" i="277"/>
  <c r="J230" i="277" s="1"/>
  <c r="J229" i="277" s="1"/>
  <c r="J299" i="277"/>
  <c r="J289" i="277"/>
  <c r="J288" i="277" s="1"/>
  <c r="J287" i="277" s="1"/>
  <c r="J249" i="277" s="1"/>
  <c r="J293" i="277"/>
  <c r="J205" i="277"/>
  <c r="J177" i="277"/>
  <c r="J164" i="277"/>
  <c r="J163" i="277" s="1"/>
  <c r="J245" i="277"/>
  <c r="J243" i="277"/>
  <c r="J242" i="277" s="1"/>
  <c r="J253" i="277"/>
  <c r="J191" i="277"/>
  <c r="J190" i="277" s="1"/>
  <c r="J189" i="277" s="1"/>
  <c r="J148" i="277"/>
  <c r="J147" i="277" s="1"/>
  <c r="J145" i="277" s="1"/>
  <c r="J173" i="277"/>
  <c r="J257" i="277"/>
  <c r="J247" i="277"/>
  <c r="J154" i="277"/>
  <c r="J255" i="277"/>
  <c r="J254" i="277" s="1"/>
  <c r="J231" i="277"/>
  <c r="J172" i="277"/>
  <c r="J262" i="277"/>
  <c r="J208" i="277"/>
  <c r="J142" i="277"/>
  <c r="J83" i="277"/>
  <c r="J62" i="277"/>
  <c r="J15" i="277"/>
  <c r="J79" i="277"/>
  <c r="J139" i="277"/>
  <c r="K69" i="277"/>
  <c r="S233" i="277"/>
  <c r="G292" i="277"/>
  <c r="F145" i="277"/>
  <c r="F52" i="277" s="1"/>
  <c r="F221" i="277"/>
  <c r="E171" i="277"/>
  <c r="E186" i="277" s="1"/>
  <c r="U233" i="277"/>
  <c r="F103" i="277"/>
  <c r="Q141" i="277"/>
  <c r="Q140" i="277" s="1"/>
  <c r="Q289" i="277"/>
  <c r="Q288" i="277" s="1"/>
  <c r="Q287" i="277" s="1"/>
  <c r="Q249" i="277" s="1"/>
  <c r="I221" i="277"/>
  <c r="Q73" i="277"/>
  <c r="E154" i="275"/>
  <c r="E138" i="275"/>
  <c r="E83" i="275"/>
  <c r="E79" i="275" s="1"/>
  <c r="E148" i="275"/>
  <c r="E147" i="275" s="1"/>
  <c r="E145" i="275" s="1"/>
  <c r="E232" i="275"/>
  <c r="E176" i="275"/>
  <c r="E203" i="275"/>
  <c r="E230" i="275"/>
  <c r="E246" i="275"/>
  <c r="E265" i="275" s="1"/>
  <c r="E268" i="275"/>
  <c r="E251" i="275"/>
  <c r="E40" i="275"/>
  <c r="E244" i="275"/>
  <c r="E15" i="275"/>
  <c r="E198" i="275"/>
  <c r="E281" i="275"/>
  <c r="E227" i="275" s="1"/>
  <c r="E50" i="275"/>
  <c r="E224" i="275"/>
  <c r="E294" i="275"/>
  <c r="E142" i="275"/>
  <c r="E223" i="275"/>
  <c r="E269" i="275"/>
  <c r="E41" i="275"/>
  <c r="E208" i="275"/>
  <c r="E255" i="275"/>
  <c r="E36" i="275"/>
  <c r="E170" i="275"/>
  <c r="E245" i="275"/>
  <c r="E172" i="275"/>
  <c r="E184" i="275"/>
  <c r="E307" i="275"/>
  <c r="E197" i="275"/>
  <c r="E252" i="275"/>
  <c r="E233" i="275"/>
  <c r="E49" i="275"/>
  <c r="E164" i="275"/>
  <c r="E163" i="275" s="1"/>
  <c r="E205" i="275"/>
  <c r="E231" i="275"/>
  <c r="E290" i="275"/>
  <c r="E177" i="275"/>
  <c r="E201" i="275"/>
  <c r="E253" i="275"/>
  <c r="E262" i="275"/>
  <c r="E308" i="275"/>
  <c r="E48" i="275"/>
  <c r="E141" i="275"/>
  <c r="E247" i="275"/>
  <c r="E258" i="275"/>
  <c r="E259" i="275"/>
  <c r="E62" i="275"/>
  <c r="E191" i="275"/>
  <c r="E173" i="275"/>
  <c r="E243" i="275"/>
  <c r="E289" i="275"/>
  <c r="E139" i="275"/>
  <c r="E204" i="275"/>
  <c r="E249" i="275"/>
  <c r="E267" i="275" s="1"/>
  <c r="E257" i="275"/>
  <c r="E309" i="275"/>
  <c r="D8" i="275"/>
  <c r="D303" i="275" s="1"/>
  <c r="E303" i="275" s="1"/>
  <c r="Q291" i="275"/>
  <c r="R290" i="275" s="1"/>
  <c r="Q489" i="275"/>
  <c r="Q493" i="275" s="1"/>
  <c r="M291" i="275"/>
  <c r="M489" i="275"/>
  <c r="M493" i="275" s="1"/>
  <c r="S297" i="275"/>
  <c r="S258" i="275" s="1"/>
  <c r="R291" i="275"/>
  <c r="S290" i="275" s="1"/>
  <c r="R489" i="275"/>
  <c r="R493" i="275" s="1"/>
  <c r="S248" i="275"/>
  <c r="S138" i="275"/>
  <c r="S137" i="275" s="1"/>
  <c r="T267" i="275"/>
  <c r="T248" i="275"/>
  <c r="T256" i="275" s="1"/>
  <c r="T254" i="275" s="1"/>
  <c r="N489" i="275"/>
  <c r="N493" i="275" s="1"/>
  <c r="N291" i="275"/>
  <c r="O10" i="275"/>
  <c r="O1" i="275"/>
  <c r="O2" i="275"/>
  <c r="Q297" i="275"/>
  <c r="Q258" i="275" s="1"/>
  <c r="P291" i="275"/>
  <c r="Q290" i="275" s="1"/>
  <c r="P489" i="275"/>
  <c r="P493" i="275" s="1"/>
  <c r="T297" i="275"/>
  <c r="T258" i="275" s="1"/>
  <c r="X222" i="275"/>
  <c r="Q362" i="275"/>
  <c r="Q243" i="275" s="1"/>
  <c r="Q242" i="275" s="1"/>
  <c r="N289" i="275"/>
  <c r="N288" i="275" s="1"/>
  <c r="N287" i="275" s="1"/>
  <c r="N249" i="275" s="1"/>
  <c r="N292" i="275"/>
  <c r="K278" i="275"/>
  <c r="T221" i="275"/>
  <c r="R102" i="275"/>
  <c r="M221" i="275"/>
  <c r="X233" i="275"/>
  <c r="J308" i="275"/>
  <c r="J309" i="275"/>
  <c r="K471" i="275"/>
  <c r="J290" i="275"/>
  <c r="J269" i="275"/>
  <c r="J262" i="275"/>
  <c r="J281" i="275"/>
  <c r="J227" i="275" s="1"/>
  <c r="J255" i="275"/>
  <c r="J252" i="275"/>
  <c r="J249" i="275"/>
  <c r="J257" i="275"/>
  <c r="J246" i="275"/>
  <c r="J265" i="275" s="1"/>
  <c r="J243" i="275"/>
  <c r="J232" i="275"/>
  <c r="J307" i="275"/>
  <c r="J268" i="275"/>
  <c r="J233" i="275"/>
  <c r="J259" i="275"/>
  <c r="J294" i="275"/>
  <c r="J253" i="275"/>
  <c r="J230" i="275"/>
  <c r="J203" i="275"/>
  <c r="J245" i="275"/>
  <c r="J223" i="275"/>
  <c r="J142" i="275"/>
  <c r="J231" i="275"/>
  <c r="J198" i="275"/>
  <c r="J172" i="275"/>
  <c r="J251" i="275"/>
  <c r="J244" i="275"/>
  <c r="J204" i="275"/>
  <c r="J201" i="275"/>
  <c r="J191" i="275"/>
  <c r="J197" i="275"/>
  <c r="J184" i="275"/>
  <c r="J173" i="275"/>
  <c r="J170" i="275"/>
  <c r="J258" i="275"/>
  <c r="J247" i="275"/>
  <c r="J148" i="275"/>
  <c r="J147" i="275" s="1"/>
  <c r="J145" i="275" s="1"/>
  <c r="J138" i="275"/>
  <c r="J289" i="275"/>
  <c r="J177" i="275"/>
  <c r="J176" i="275"/>
  <c r="J154" i="275"/>
  <c r="J208" i="275"/>
  <c r="J139" i="275"/>
  <c r="J205" i="275"/>
  <c r="J164" i="275"/>
  <c r="J163" i="275" s="1"/>
  <c r="J83" i="275"/>
  <c r="J79" i="275" s="1"/>
  <c r="J49" i="275"/>
  <c r="J36" i="275"/>
  <c r="J50" i="275"/>
  <c r="J40" i="275"/>
  <c r="J15" i="275"/>
  <c r="J41" i="275"/>
  <c r="J141" i="275"/>
  <c r="J48" i="275"/>
  <c r="J62" i="275"/>
  <c r="S189" i="275"/>
  <c r="S102" i="275"/>
  <c r="N153" i="275"/>
  <c r="N167" i="275"/>
  <c r="M51" i="275"/>
  <c r="O291" i="275"/>
  <c r="V299" i="275"/>
  <c r="V308" i="275"/>
  <c r="V309" i="275"/>
  <c r="V301" i="275"/>
  <c r="V262" i="275"/>
  <c r="V300" i="275"/>
  <c r="V298" i="275"/>
  <c r="V252" i="275"/>
  <c r="V249" i="275"/>
  <c r="V243" i="275"/>
  <c r="V289" i="275"/>
  <c r="V203" i="275"/>
  <c r="V205" i="275"/>
  <c r="V230" i="275"/>
  <c r="V204" i="275"/>
  <c r="V302" i="275"/>
  <c r="V176" i="275"/>
  <c r="V175" i="275"/>
  <c r="V148" i="275"/>
  <c r="V147" i="275" s="1"/>
  <c r="V145" i="275" s="1"/>
  <c r="V141" i="275"/>
  <c r="V184" i="275"/>
  <c r="V223" i="275"/>
  <c r="V201" i="275"/>
  <c r="V170" i="275"/>
  <c r="U307" i="275"/>
  <c r="U230" i="275" s="1"/>
  <c r="U229" i="275" s="1"/>
  <c r="U299" i="275"/>
  <c r="U308" i="275"/>
  <c r="U300" i="275"/>
  <c r="U303" i="275"/>
  <c r="U294" i="275"/>
  <c r="U301" i="275"/>
  <c r="U269" i="275"/>
  <c r="U262" i="275"/>
  <c r="U309" i="275"/>
  <c r="U246" i="275"/>
  <c r="U265" i="275" s="1"/>
  <c r="U289" i="275"/>
  <c r="U288" i="275" s="1"/>
  <c r="U287" i="275" s="1"/>
  <c r="U249" i="275" s="1"/>
  <c r="U259" i="275"/>
  <c r="U298" i="275"/>
  <c r="U293" i="275"/>
  <c r="U257" i="275"/>
  <c r="U247" i="275"/>
  <c r="U208" i="275"/>
  <c r="U244" i="275"/>
  <c r="V471" i="275"/>
  <c r="U302" i="275"/>
  <c r="U205" i="275"/>
  <c r="U231" i="275"/>
  <c r="U223" i="275"/>
  <c r="U222" i="275" s="1"/>
  <c r="U209" i="275"/>
  <c r="U245" i="275"/>
  <c r="U172" i="275"/>
  <c r="U142" i="275"/>
  <c r="U243" i="275"/>
  <c r="U242" i="275" s="1"/>
  <c r="U304" i="275"/>
  <c r="U191" i="275"/>
  <c r="U190" i="275" s="1"/>
  <c r="U189" i="275" s="1"/>
  <c r="U148" i="275"/>
  <c r="U147" i="275" s="1"/>
  <c r="U253" i="275"/>
  <c r="U224" i="275"/>
  <c r="U177" i="275"/>
  <c r="U66" i="275"/>
  <c r="U86" i="275"/>
  <c r="U83" i="275"/>
  <c r="U15" i="275"/>
  <c r="U139" i="275"/>
  <c r="U164" i="275"/>
  <c r="U163" i="275" s="1"/>
  <c r="U162" i="275" s="1"/>
  <c r="U76" i="275" s="1"/>
  <c r="U154" i="275"/>
  <c r="U62" i="275"/>
  <c r="U173" i="275"/>
  <c r="U79" i="275"/>
  <c r="S246" i="275"/>
  <c r="T265" i="275" s="1"/>
  <c r="S292" i="275"/>
  <c r="R246" i="275"/>
  <c r="Q63" i="275"/>
  <c r="W298" i="275"/>
  <c r="W307" i="275"/>
  <c r="W308" i="275"/>
  <c r="W300" i="275"/>
  <c r="W309" i="275"/>
  <c r="W301" i="275"/>
  <c r="W304" i="275"/>
  <c r="W297" i="275"/>
  <c r="X471" i="275"/>
  <c r="W294" i="275"/>
  <c r="W290" i="275"/>
  <c r="W299" i="275"/>
  <c r="W293" i="275"/>
  <c r="W230" i="275"/>
  <c r="W303" i="275"/>
  <c r="W252" i="275"/>
  <c r="W249" i="275"/>
  <c r="W243" i="275"/>
  <c r="W251" i="275"/>
  <c r="W223" i="275"/>
  <c r="W203" i="275"/>
  <c r="W224" i="275"/>
  <c r="W262" i="275"/>
  <c r="W268" i="275"/>
  <c r="W184" i="275"/>
  <c r="W176" i="275"/>
  <c r="W170" i="275"/>
  <c r="W204" i="275"/>
  <c r="W191" i="275"/>
  <c r="W175" i="275"/>
  <c r="W164" i="275"/>
  <c r="W163" i="275" s="1"/>
  <c r="W138" i="275"/>
  <c r="W289" i="275"/>
  <c r="W148" i="275"/>
  <c r="W147" i="275" s="1"/>
  <c r="W145" i="275" s="1"/>
  <c r="W245" i="275"/>
  <c r="W141" i="275"/>
  <c r="W302" i="275"/>
  <c r="W205" i="275"/>
  <c r="W154" i="275"/>
  <c r="W15" i="275"/>
  <c r="W201" i="275"/>
  <c r="W62" i="275"/>
  <c r="T73" i="275"/>
  <c r="S291" i="275"/>
  <c r="T290" i="275" s="1"/>
  <c r="P309" i="275"/>
  <c r="Q471" i="275"/>
  <c r="P303" i="275"/>
  <c r="P304" i="275"/>
  <c r="P289" i="275"/>
  <c r="P288" i="275" s="1"/>
  <c r="P287" i="275" s="1"/>
  <c r="P249" i="275" s="1"/>
  <c r="P300" i="275"/>
  <c r="P293" i="275"/>
  <c r="P253" i="275"/>
  <c r="P302" i="275"/>
  <c r="P259" i="275"/>
  <c r="P299" i="275"/>
  <c r="P294" i="275"/>
  <c r="P269" i="275"/>
  <c r="P301" i="275"/>
  <c r="P224" i="275"/>
  <c r="P257" i="275"/>
  <c r="P245" i="275"/>
  <c r="P223" i="275"/>
  <c r="P222" i="275" s="1"/>
  <c r="P308" i="275"/>
  <c r="P231" i="275"/>
  <c r="P262" i="275"/>
  <c r="P243" i="275"/>
  <c r="P242" i="275" s="1"/>
  <c r="P208" i="275"/>
  <c r="P307" i="275"/>
  <c r="P230" i="275" s="1"/>
  <c r="P229" i="275" s="1"/>
  <c r="P177" i="275"/>
  <c r="P205" i="275"/>
  <c r="P154" i="275"/>
  <c r="P244" i="275"/>
  <c r="P246" i="275"/>
  <c r="P298" i="275"/>
  <c r="P191" i="275"/>
  <c r="P190" i="275" s="1"/>
  <c r="P189" i="275" s="1"/>
  <c r="P173" i="275"/>
  <c r="P172" i="275"/>
  <c r="P79" i="275"/>
  <c r="P164" i="275"/>
  <c r="P163" i="275" s="1"/>
  <c r="P162" i="275" s="1"/>
  <c r="P76" i="275" s="1"/>
  <c r="P142" i="275"/>
  <c r="P209" i="275"/>
  <c r="P139" i="275"/>
  <c r="P247" i="275"/>
  <c r="P148" i="275"/>
  <c r="P147" i="275" s="1"/>
  <c r="P233" i="275" s="1"/>
  <c r="P62" i="275"/>
  <c r="P83" i="275"/>
  <c r="P66" i="275"/>
  <c r="P15" i="275"/>
  <c r="P86" i="275"/>
  <c r="M69" i="275"/>
  <c r="Y233" i="275"/>
  <c r="Y222" i="275"/>
  <c r="T171" i="275"/>
  <c r="T186" i="275" s="1"/>
  <c r="U489" i="275"/>
  <c r="U493" i="275" s="1"/>
  <c r="S73" i="275"/>
  <c r="R292" i="275"/>
  <c r="Q69" i="275"/>
  <c r="Q51" i="275"/>
  <c r="Q62" i="275"/>
  <c r="Q52" i="275" s="1"/>
  <c r="M292" i="275"/>
  <c r="M298" i="275"/>
  <c r="M297" i="275" s="1"/>
  <c r="M258" i="275" s="1"/>
  <c r="K308" i="275"/>
  <c r="K309" i="275"/>
  <c r="K281" i="275"/>
  <c r="K227" i="275" s="1"/>
  <c r="K307" i="275"/>
  <c r="K289" i="275"/>
  <c r="K247" i="275"/>
  <c r="K294" i="275"/>
  <c r="K290" i="275"/>
  <c r="K257" i="275"/>
  <c r="K232" i="275"/>
  <c r="K262" i="275"/>
  <c r="K230" i="275"/>
  <c r="K253" i="275"/>
  <c r="K243" i="275"/>
  <c r="K203" i="275"/>
  <c r="K268" i="275"/>
  <c r="K252" i="275"/>
  <c r="K251" i="275"/>
  <c r="K259" i="275"/>
  <c r="K255" i="275"/>
  <c r="K249" i="275"/>
  <c r="K246" i="275"/>
  <c r="K265" i="275" s="1"/>
  <c r="K184" i="275"/>
  <c r="K176" i="275"/>
  <c r="K170" i="275"/>
  <c r="K244" i="275"/>
  <c r="K223" i="275"/>
  <c r="K204" i="275"/>
  <c r="K173" i="275"/>
  <c r="K201" i="275"/>
  <c r="K191" i="275"/>
  <c r="K269" i="275"/>
  <c r="K245" i="275"/>
  <c r="K197" i="275"/>
  <c r="K258" i="275"/>
  <c r="K148" i="275"/>
  <c r="K147" i="275" s="1"/>
  <c r="K145" i="275" s="1"/>
  <c r="K231" i="275"/>
  <c r="K138" i="275"/>
  <c r="K233" i="275"/>
  <c r="K205" i="275"/>
  <c r="K208" i="275"/>
  <c r="L471" i="275"/>
  <c r="K172" i="275"/>
  <c r="K154" i="275"/>
  <c r="K177" i="275"/>
  <c r="K164" i="275"/>
  <c r="K163" i="275" s="1"/>
  <c r="K142" i="275"/>
  <c r="K198" i="275"/>
  <c r="K83" i="275"/>
  <c r="K49" i="275"/>
  <c r="K36" i="275"/>
  <c r="K50" i="275"/>
  <c r="K40" i="275"/>
  <c r="K15" i="275"/>
  <c r="K41" i="275"/>
  <c r="K141" i="275"/>
  <c r="K62" i="275"/>
  <c r="K86" i="275"/>
  <c r="K48" i="275"/>
  <c r="K139" i="275"/>
  <c r="S184" i="275"/>
  <c r="Y267" i="275"/>
  <c r="Y250" i="275"/>
  <c r="T103" i="275"/>
  <c r="M171" i="275"/>
  <c r="M186" i="275" s="1"/>
  <c r="T385" i="275"/>
  <c r="T375" i="275" s="1"/>
  <c r="T102" i="275"/>
  <c r="T292" i="275"/>
  <c r="S171" i="275"/>
  <c r="S186" i="275" s="1"/>
  <c r="S145" i="275"/>
  <c r="S52" i="275" s="1"/>
  <c r="S69" i="275"/>
  <c r="Q73" i="275"/>
  <c r="N73" i="275"/>
  <c r="X292" i="275"/>
  <c r="M145" i="275"/>
  <c r="M52" i="275" s="1"/>
  <c r="M103" i="275"/>
  <c r="T153" i="275"/>
  <c r="T167" i="275"/>
  <c r="T166" i="275" s="1"/>
  <c r="N52" i="275"/>
  <c r="S160" i="275"/>
  <c r="S51" i="275"/>
  <c r="G8" i="275"/>
  <c r="F8" i="275"/>
  <c r="M76" i="275"/>
  <c r="M246" i="275"/>
  <c r="O300" i="275"/>
  <c r="O309" i="275"/>
  <c r="O302" i="275"/>
  <c r="P471" i="275"/>
  <c r="O308" i="275"/>
  <c r="O307" i="275"/>
  <c r="O230" i="275" s="1"/>
  <c r="O229" i="275" s="1"/>
  <c r="O304" i="275"/>
  <c r="O303" i="275"/>
  <c r="O293" i="275"/>
  <c r="O253" i="275"/>
  <c r="O243" i="275"/>
  <c r="O242" i="275" s="1"/>
  <c r="O298" i="275"/>
  <c r="O269" i="275"/>
  <c r="O231" i="275"/>
  <c r="O224" i="275"/>
  <c r="O205" i="275"/>
  <c r="O257" i="275"/>
  <c r="O245" i="275"/>
  <c r="O223" i="275"/>
  <c r="O222" i="275" s="1"/>
  <c r="O259" i="275"/>
  <c r="O299" i="275"/>
  <c r="O289" i="275"/>
  <c r="O288" i="275" s="1"/>
  <c r="O287" i="275" s="1"/>
  <c r="O249" i="275" s="1"/>
  <c r="O244" i="275"/>
  <c r="O208" i="275"/>
  <c r="O172" i="275"/>
  <c r="O301" i="275"/>
  <c r="O294" i="275"/>
  <c r="O154" i="275"/>
  <c r="O262" i="275"/>
  <c r="O177" i="275"/>
  <c r="O86" i="275"/>
  <c r="O173" i="275"/>
  <c r="O79" i="275"/>
  <c r="O164" i="275"/>
  <c r="O163" i="275" s="1"/>
  <c r="O162" i="275" s="1"/>
  <c r="O160" i="275" s="1"/>
  <c r="O142" i="275"/>
  <c r="O209" i="275"/>
  <c r="O139" i="275"/>
  <c r="O247" i="275"/>
  <c r="O191" i="275"/>
  <c r="O184" i="275" s="1"/>
  <c r="O246" i="275"/>
  <c r="O62" i="275"/>
  <c r="O148" i="275"/>
  <c r="O147" i="275" s="1"/>
  <c r="O83" i="275"/>
  <c r="O15" i="275"/>
  <c r="O66" i="275"/>
  <c r="Q167" i="275"/>
  <c r="Q166" i="275" s="1"/>
  <c r="Q153" i="275"/>
  <c r="Q221" i="275"/>
  <c r="X202" i="275"/>
  <c r="X167" i="275"/>
  <c r="X153" i="275"/>
  <c r="Y153" i="275"/>
  <c r="Y167" i="275"/>
  <c r="T56" i="275"/>
  <c r="S221" i="275"/>
  <c r="Q233" i="275"/>
  <c r="M73" i="275"/>
  <c r="X145" i="275"/>
  <c r="N246" i="275"/>
  <c r="R289" i="275"/>
  <c r="R288" i="275" s="1"/>
  <c r="R287" i="275" s="1"/>
  <c r="R249" i="275" s="1"/>
  <c r="S267" i="275" s="1"/>
  <c r="N69" i="275"/>
  <c r="N51" i="275"/>
  <c r="M167" i="275"/>
  <c r="M153" i="275"/>
  <c r="S153" i="275"/>
  <c r="S167" i="275"/>
  <c r="S166" i="275" s="1"/>
  <c r="I307" i="275"/>
  <c r="I308" i="275"/>
  <c r="I294" i="275"/>
  <c r="I255" i="275"/>
  <c r="J471" i="275"/>
  <c r="I290" i="275"/>
  <c r="I269" i="275"/>
  <c r="I262" i="275"/>
  <c r="I252" i="275"/>
  <c r="I246" i="275"/>
  <c r="I265" i="275" s="1"/>
  <c r="I289" i="275"/>
  <c r="I249" i="275"/>
  <c r="I257" i="275"/>
  <c r="I243" i="275"/>
  <c r="I253" i="275"/>
  <c r="I244" i="275"/>
  <c r="I245" i="275"/>
  <c r="I232" i="275"/>
  <c r="I223" i="275"/>
  <c r="I247" i="275"/>
  <c r="I208" i="275"/>
  <c r="I268" i="275"/>
  <c r="I230" i="275"/>
  <c r="I258" i="275"/>
  <c r="I205" i="275"/>
  <c r="I198" i="275"/>
  <c r="I231" i="275"/>
  <c r="L224" i="275"/>
  <c r="I172" i="275"/>
  <c r="I309" i="275"/>
  <c r="I251" i="275"/>
  <c r="I204" i="275"/>
  <c r="I201" i="275"/>
  <c r="I164" i="275"/>
  <c r="I163" i="275" s="1"/>
  <c r="I142" i="275"/>
  <c r="I197" i="275"/>
  <c r="I184" i="275"/>
  <c r="I173" i="275"/>
  <c r="I170" i="275"/>
  <c r="I148" i="275"/>
  <c r="I147" i="275" s="1"/>
  <c r="I145" i="275" s="1"/>
  <c r="I233" i="275"/>
  <c r="I177" i="275"/>
  <c r="I154" i="275"/>
  <c r="I203" i="275"/>
  <c r="I281" i="275"/>
  <c r="I227" i="275" s="1"/>
  <c r="I191" i="275"/>
  <c r="I139" i="275"/>
  <c r="I48" i="275"/>
  <c r="I259" i="275"/>
  <c r="I83" i="275"/>
  <c r="I79" i="275" s="1"/>
  <c r="I49" i="275"/>
  <c r="I36" i="275"/>
  <c r="I50" i="275"/>
  <c r="I40" i="275"/>
  <c r="I15" i="275"/>
  <c r="I41" i="275"/>
  <c r="I141" i="275"/>
  <c r="I138" i="275"/>
  <c r="I176" i="275"/>
  <c r="I62" i="275"/>
  <c r="N277" i="275"/>
  <c r="N279" i="275" s="1"/>
  <c r="M289" i="275"/>
  <c r="M288" i="275" s="1"/>
  <c r="M287" i="275" s="1"/>
  <c r="M249" i="275" s="1"/>
  <c r="X267" i="275"/>
  <c r="D4" i="112"/>
  <c r="E4" i="112" s="1"/>
  <c r="S92" i="112"/>
  <c r="S63" i="112" s="1"/>
  <c r="S88" i="112"/>
  <c r="Q92" i="112"/>
  <c r="Q63" i="112" s="1"/>
  <c r="Q88" i="112"/>
  <c r="U476" i="112"/>
  <c r="U92" i="112"/>
  <c r="U63" i="112" s="1"/>
  <c r="M92" i="112"/>
  <c r="M88" i="112"/>
  <c r="L92" i="112"/>
  <c r="L63" i="112" s="1"/>
  <c r="L88" i="112"/>
  <c r="T92" i="112"/>
  <c r="T63" i="112" s="1"/>
  <c r="T88" i="112"/>
  <c r="W10" i="112"/>
  <c r="W11" i="112"/>
  <c r="W493" i="112" s="1"/>
  <c r="V357" i="112"/>
  <c r="U357" i="112"/>
  <c r="X476" i="112"/>
  <c r="S357" i="112"/>
  <c r="Y11" i="112"/>
  <c r="V375" i="112"/>
  <c r="V367" i="112"/>
  <c r="V487" i="112" s="1"/>
  <c r="AS14" i="112"/>
  <c r="AL14" i="112"/>
  <c r="V14" i="112"/>
  <c r="AO14" i="112"/>
  <c r="J14" i="112"/>
  <c r="X9" i="112"/>
  <c r="V9" i="112"/>
  <c r="AU14" i="112"/>
  <c r="V420" i="112"/>
  <c r="V219" i="112"/>
  <c r="V211" i="112" s="1"/>
  <c r="V417" i="112"/>
  <c r="V325" i="112"/>
  <c r="M194" i="112"/>
  <c r="J325" i="112"/>
  <c r="J505" i="112" s="1"/>
  <c r="J476" i="112"/>
  <c r="E476" i="112"/>
  <c r="P325" i="112"/>
  <c r="P505" i="112" s="1"/>
  <c r="T476" i="112"/>
  <c r="K194" i="112"/>
  <c r="R325" i="112"/>
  <c r="R505" i="112" s="1"/>
  <c r="Q325" i="112"/>
  <c r="Q505" i="112" s="1"/>
  <c r="U325" i="112"/>
  <c r="AW14" i="112"/>
  <c r="Y14" i="112"/>
  <c r="W13" i="112"/>
  <c r="X194" i="112"/>
  <c r="X13" i="112"/>
  <c r="H14" i="112"/>
  <c r="F11" i="112"/>
  <c r="F121" i="112" s="1"/>
  <c r="X14" i="112"/>
  <c r="E325" i="112"/>
  <c r="E505" i="112" s="1"/>
  <c r="S194" i="112"/>
  <c r="H325" i="112"/>
  <c r="H505" i="112" s="1"/>
  <c r="F194" i="112"/>
  <c r="S378" i="112"/>
  <c r="T357" i="112"/>
  <c r="G476" i="112"/>
  <c r="AR14" i="112"/>
  <c r="AK14" i="112"/>
  <c r="S14" i="112"/>
  <c r="S12" i="112"/>
  <c r="I476" i="112"/>
  <c r="X63" i="112"/>
  <c r="R194" i="112"/>
  <c r="AQ14" i="112"/>
  <c r="P14" i="112"/>
  <c r="V331" i="112"/>
  <c r="P11" i="112"/>
  <c r="P420" i="112" s="1"/>
  <c r="W12" i="112"/>
  <c r="X1" i="112"/>
  <c r="X378" i="112"/>
  <c r="Y10" i="112"/>
  <c r="Y493" i="112"/>
  <c r="Y375" i="112"/>
  <c r="Y417" i="112"/>
  <c r="Y219" i="112"/>
  <c r="Y211" i="112" s="1"/>
  <c r="W378" i="112"/>
  <c r="Y378" i="112"/>
  <c r="V450" i="112"/>
  <c r="V409" i="112"/>
  <c r="V362" i="112"/>
  <c r="K325" i="112"/>
  <c r="K505" i="112" s="1"/>
  <c r="N13" i="112"/>
  <c r="R11" i="112"/>
  <c r="R420" i="112" s="1"/>
  <c r="Q11" i="112"/>
  <c r="Q420" i="112" s="1"/>
  <c r="H11" i="112"/>
  <c r="H121" i="112" s="1"/>
  <c r="X10" i="112"/>
  <c r="P476" i="112"/>
  <c r="T378" i="112"/>
  <c r="T11" i="112"/>
  <c r="T390" i="112" s="1"/>
  <c r="T385" i="112" s="1"/>
  <c r="T375" i="112" s="1"/>
  <c r="W357" i="112"/>
  <c r="Y357" i="112"/>
  <c r="I507" i="112"/>
  <c r="V428" i="112"/>
  <c r="V399" i="112"/>
  <c r="N194" i="112"/>
  <c r="F156" i="112"/>
  <c r="N476" i="112"/>
  <c r="F476" i="112"/>
  <c r="D11" i="112"/>
  <c r="D450" i="112" s="1"/>
  <c r="W476" i="112"/>
  <c r="X11" i="112"/>
  <c r="X409" i="112" s="1"/>
  <c r="X357" i="112"/>
  <c r="Y476" i="112"/>
  <c r="D14" i="112"/>
  <c r="D13" i="112"/>
  <c r="H12" i="112"/>
  <c r="Y12" i="112"/>
  <c r="Y2" i="112"/>
  <c r="Y1" i="112"/>
  <c r="Y92" i="112"/>
  <c r="Y63" i="112" s="1"/>
  <c r="Y121" i="112"/>
  <c r="Y338" i="112"/>
  <c r="Y331" i="112" s="1"/>
  <c r="Y367" i="112"/>
  <c r="Y487" i="112" s="1"/>
  <c r="Y399" i="112"/>
  <c r="Y420" i="112"/>
  <c r="Y450" i="112"/>
  <c r="Y489" i="112"/>
  <c r="Y409" i="112"/>
  <c r="Y423" i="112"/>
  <c r="Y291" i="112"/>
  <c r="Y362" i="112"/>
  <c r="Y390" i="112"/>
  <c r="Y385" i="112" s="1"/>
  <c r="Y412" i="112"/>
  <c r="Y428" i="112"/>
  <c r="W1" i="112"/>
  <c r="W2" i="112"/>
  <c r="W92" i="112"/>
  <c r="W63" i="112" s="1"/>
  <c r="R4" i="112"/>
  <c r="S4" i="112" s="1"/>
  <c r="T4" i="112" s="1"/>
  <c r="U4" i="112" s="1"/>
  <c r="V4" i="112" s="1"/>
  <c r="W4" i="112" s="1"/>
  <c r="X4" i="112" s="1"/>
  <c r="Y4" i="112" s="1"/>
  <c r="S476" i="112"/>
  <c r="P357" i="112"/>
  <c r="L14" i="112"/>
  <c r="V493" i="112"/>
  <c r="V412" i="112"/>
  <c r="V476" i="112"/>
  <c r="V390" i="112"/>
  <c r="V385" i="112" s="1"/>
  <c r="L325" i="112"/>
  <c r="L505" i="112" s="1"/>
  <c r="R378" i="112"/>
  <c r="F378" i="112"/>
  <c r="V291" i="112"/>
  <c r="V121" i="112"/>
  <c r="U194" i="112"/>
  <c r="M357" i="112"/>
  <c r="L476" i="112"/>
  <c r="I357" i="112"/>
  <c r="D476" i="112"/>
  <c r="Q13" i="112"/>
  <c r="I13" i="112"/>
  <c r="P12" i="112"/>
  <c r="J12" i="112"/>
  <c r="L11" i="112"/>
  <c r="L121" i="112" s="1"/>
  <c r="L13" i="112"/>
  <c r="V489" i="112"/>
  <c r="Q476" i="112"/>
  <c r="V423" i="112"/>
  <c r="S325" i="112"/>
  <c r="G66" i="112"/>
  <c r="G357" i="112"/>
  <c r="M325" i="112"/>
  <c r="M505" i="112" s="1"/>
  <c r="R14" i="112"/>
  <c r="I14" i="112"/>
  <c r="R12" i="112"/>
  <c r="M476" i="112"/>
  <c r="G187" i="200"/>
  <c r="G189" i="200"/>
  <c r="G188" i="200"/>
  <c r="G191" i="200"/>
  <c r="G186" i="200"/>
  <c r="G190" i="200"/>
  <c r="G183" i="200"/>
  <c r="G182" i="200"/>
  <c r="G181" i="200"/>
  <c r="G185" i="200"/>
  <c r="G180" i="200"/>
  <c r="G184" i="200"/>
  <c r="G176" i="200"/>
  <c r="G179" i="200"/>
  <c r="G177" i="200"/>
  <c r="G175" i="200"/>
  <c r="G174" i="200"/>
  <c r="G178" i="200"/>
  <c r="O378" i="112"/>
  <c r="G378" i="112"/>
  <c r="J194" i="112"/>
  <c r="L194" i="112"/>
  <c r="F92" i="112"/>
  <c r="F63" i="112" s="1"/>
  <c r="J357" i="112"/>
  <c r="H476" i="112"/>
  <c r="E357" i="112"/>
  <c r="Q507" i="112"/>
  <c r="N507" i="112"/>
  <c r="U378" i="112"/>
  <c r="H378" i="112"/>
  <c r="G194" i="112"/>
  <c r="R476" i="112"/>
  <c r="O476" i="112"/>
  <c r="O325" i="112"/>
  <c r="O505" i="112" s="1"/>
  <c r="G325" i="112"/>
  <c r="G505" i="112" s="1"/>
  <c r="D325" i="112"/>
  <c r="D505" i="112" s="1"/>
  <c r="J11" i="112"/>
  <c r="J412" i="112" s="1"/>
  <c r="J507" i="112"/>
  <c r="G507" i="112"/>
  <c r="E507" i="112"/>
  <c r="J378" i="112"/>
  <c r="E378" i="112"/>
  <c r="O194" i="112"/>
  <c r="H194" i="112"/>
  <c r="F66" i="112"/>
  <c r="L357" i="112"/>
  <c r="H357" i="112"/>
  <c r="N325" i="112"/>
  <c r="N505" i="112" s="1"/>
  <c r="I325" i="112"/>
  <c r="I505" i="112" s="1"/>
  <c r="F325" i="112"/>
  <c r="F505" i="112" s="1"/>
  <c r="S11" i="112"/>
  <c r="N11" i="112"/>
  <c r="N121" i="112" s="1"/>
  <c r="L490" i="112"/>
  <c r="E11" i="112"/>
  <c r="E423" i="112" s="1"/>
  <c r="G150" i="200"/>
  <c r="I92" i="112"/>
  <c r="I63" i="112" s="1"/>
  <c r="R507" i="112"/>
  <c r="F507" i="112"/>
  <c r="G92" i="112"/>
  <c r="G63" i="112" s="1"/>
  <c r="K476" i="112"/>
  <c r="J92" i="112"/>
  <c r="J63" i="112" s="1"/>
  <c r="H63" i="112"/>
  <c r="O507" i="112"/>
  <c r="N66" i="112"/>
  <c r="K378" i="112"/>
  <c r="E194" i="112"/>
  <c r="N357" i="112"/>
  <c r="K357" i="112"/>
  <c r="AN14" i="112"/>
  <c r="E13" i="112"/>
  <c r="M507" i="112"/>
  <c r="N378" i="112"/>
  <c r="M378" i="112"/>
  <c r="D194" i="112"/>
  <c r="O357" i="112"/>
  <c r="Q14" i="112"/>
  <c r="AP14" i="112"/>
  <c r="P378" i="112"/>
  <c r="R357" i="112"/>
  <c r="Q357" i="112"/>
  <c r="F357" i="112"/>
  <c r="K11" i="112"/>
  <c r="K390" i="112" s="1"/>
  <c r="I11" i="112"/>
  <c r="I423" i="112" s="1"/>
  <c r="G162" i="200"/>
  <c r="G153" i="200"/>
  <c r="G158" i="200"/>
  <c r="G9" i="200"/>
  <c r="G173" i="200"/>
  <c r="G164" i="200"/>
  <c r="G166" i="200"/>
  <c r="G157" i="200"/>
  <c r="G154" i="200"/>
  <c r="G2" i="200"/>
  <c r="G165" i="200"/>
  <c r="G156" i="200"/>
  <c r="G170" i="200"/>
  <c r="G161" i="200"/>
  <c r="G6" i="200"/>
  <c r="G5" i="200"/>
  <c r="G172" i="200"/>
  <c r="G169" i="200"/>
  <c r="D6" i="2"/>
  <c r="L507" i="112"/>
  <c r="P92" i="112"/>
  <c r="P63" i="112" s="1"/>
  <c r="J66" i="112"/>
  <c r="H507" i="112"/>
  <c r="Q378" i="112"/>
  <c r="D378" i="112"/>
  <c r="I194" i="112"/>
  <c r="I156" i="112"/>
  <c r="I66" i="112"/>
  <c r="K507" i="112"/>
  <c r="V378" i="112"/>
  <c r="D507" i="112"/>
  <c r="L378" i="112"/>
  <c r="I378" i="112"/>
  <c r="P194" i="112"/>
  <c r="M66" i="112"/>
  <c r="M63" i="112"/>
  <c r="P507" i="112"/>
  <c r="R92" i="112"/>
  <c r="R63" i="112" s="1"/>
  <c r="D71" i="112"/>
  <c r="D66" i="112"/>
  <c r="D63" i="112"/>
  <c r="G3" i="200"/>
  <c r="G152" i="200"/>
  <c r="G160" i="200"/>
  <c r="G168" i="200"/>
  <c r="G155" i="200"/>
  <c r="G163" i="200"/>
  <c r="G171" i="200"/>
  <c r="G4" i="200"/>
  <c r="G8" i="200"/>
  <c r="G151" i="200"/>
  <c r="G159" i="200"/>
  <c r="G167" i="200"/>
  <c r="K92" i="112"/>
  <c r="K63" i="112" s="1"/>
  <c r="K66" i="112"/>
  <c r="V63" i="112"/>
  <c r="D357" i="112"/>
  <c r="N92" i="112"/>
  <c r="N63" i="112" s="1"/>
  <c r="L156" i="112"/>
  <c r="T194" i="112"/>
  <c r="O92" i="112"/>
  <c r="O63" i="112" s="1"/>
  <c r="L66" i="112"/>
  <c r="K156" i="112"/>
  <c r="E66" i="112"/>
  <c r="E63" i="112"/>
  <c r="Q194" i="112"/>
  <c r="H66" i="112"/>
  <c r="R486" i="112"/>
  <c r="F428" i="112"/>
  <c r="F362" i="112" s="1"/>
  <c r="M12" i="112"/>
  <c r="M13" i="112"/>
  <c r="M14" i="112"/>
  <c r="M490" i="112"/>
  <c r="F14" i="112"/>
  <c r="F12" i="112"/>
  <c r="T12" i="112"/>
  <c r="T14" i="112"/>
  <c r="T13" i="112"/>
  <c r="M11" i="112"/>
  <c r="O12" i="112"/>
  <c r="O14" i="112"/>
  <c r="U12" i="112"/>
  <c r="U13" i="112"/>
  <c r="V10" i="112"/>
  <c r="V490" i="112"/>
  <c r="Q490" i="112"/>
  <c r="O490" i="112"/>
  <c r="G12" i="112"/>
  <c r="G14" i="112"/>
  <c r="V12" i="112"/>
  <c r="V194" i="112"/>
  <c r="G13" i="112"/>
  <c r="K12" i="112"/>
  <c r="K14" i="112"/>
  <c r="K13" i="112"/>
  <c r="N12" i="112"/>
  <c r="E12" i="112"/>
  <c r="O9" i="112"/>
  <c r="AM14" i="112"/>
  <c r="U11" i="112"/>
  <c r="U121" i="112" s="1"/>
  <c r="O11" i="112"/>
  <c r="G11" i="112"/>
  <c r="R160" i="277" l="1"/>
  <c r="R51" i="277"/>
  <c r="T141" i="277"/>
  <c r="T140" i="277" s="1"/>
  <c r="P259" i="277"/>
  <c r="R297" i="277"/>
  <c r="R258" i="277" s="1"/>
  <c r="W288" i="277"/>
  <c r="T265" i="277"/>
  <c r="T48" i="277" s="1"/>
  <c r="K267" i="277"/>
  <c r="W292" i="277"/>
  <c r="N290" i="277"/>
  <c r="W202" i="277"/>
  <c r="S1" i="277"/>
  <c r="G265" i="277"/>
  <c r="G48" i="277" s="1"/>
  <c r="P493" i="277"/>
  <c r="P1" i="277" s="1"/>
  <c r="H265" i="277"/>
  <c r="H175" i="277" s="1"/>
  <c r="H174" i="277" s="1"/>
  <c r="H53" i="277" s="1"/>
  <c r="S265" i="277"/>
  <c r="S48" i="277" s="1"/>
  <c r="S2" i="277"/>
  <c r="O51" i="277"/>
  <c r="J290" i="277"/>
  <c r="R141" i="277"/>
  <c r="R140" i="277" s="1"/>
  <c r="O302" i="277"/>
  <c r="V222" i="277"/>
  <c r="V221" i="277" s="1"/>
  <c r="O259" i="277"/>
  <c r="AC64" i="277"/>
  <c r="O95" i="277" s="1"/>
  <c r="R69" i="277"/>
  <c r="O76" i="277"/>
  <c r="O224" i="277"/>
  <c r="O253" i="277"/>
  <c r="O154" i="277"/>
  <c r="O62" i="277"/>
  <c r="O308" i="277"/>
  <c r="O79" i="277"/>
  <c r="O73" i="277" s="1"/>
  <c r="O223" i="277"/>
  <c r="O222" i="277" s="1"/>
  <c r="O221" i="277" s="1"/>
  <c r="O142" i="277"/>
  <c r="O86" i="277"/>
  <c r="O209" i="277"/>
  <c r="O208" i="277"/>
  <c r="O262" i="277"/>
  <c r="O205" i="277"/>
  <c r="X209" i="277" s="1"/>
  <c r="O294" i="277"/>
  <c r="O139" i="277"/>
  <c r="O15" i="277"/>
  <c r="O177" i="277"/>
  <c r="O83" i="277"/>
  <c r="O307" i="277"/>
  <c r="O230" i="277" s="1"/>
  <c r="O229" i="277" s="1"/>
  <c r="O148" i="277"/>
  <c r="O147" i="277" s="1"/>
  <c r="O245" i="277"/>
  <c r="O309" i="277"/>
  <c r="O66" i="277"/>
  <c r="O244" i="277"/>
  <c r="O172" i="277"/>
  <c r="O289" i="277"/>
  <c r="O288" i="277" s="1"/>
  <c r="O287" i="277" s="1"/>
  <c r="O249" i="277" s="1"/>
  <c r="O293" i="277"/>
  <c r="O292" i="277" s="1"/>
  <c r="O191" i="277"/>
  <c r="O190" i="277" s="1"/>
  <c r="O189" i="277" s="1"/>
  <c r="P471" i="277"/>
  <c r="O269" i="277"/>
  <c r="O173" i="277"/>
  <c r="O299" i="277"/>
  <c r="O257" i="277"/>
  <c r="O231" i="277"/>
  <c r="R233" i="277"/>
  <c r="R138" i="277" s="1"/>
  <c r="R137" i="277" s="1"/>
  <c r="R145" i="277"/>
  <c r="R52" i="277" s="1"/>
  <c r="O246" i="277"/>
  <c r="P265" i="277" s="1"/>
  <c r="P48" i="277" s="1"/>
  <c r="N265" i="277"/>
  <c r="N175" i="277" s="1"/>
  <c r="N174" i="277" s="1"/>
  <c r="N53" i="277" s="1"/>
  <c r="W222" i="277"/>
  <c r="W221" i="277" s="1"/>
  <c r="W277" i="277" s="1"/>
  <c r="W279" i="277" s="1"/>
  <c r="W250" i="277"/>
  <c r="O303" i="277"/>
  <c r="R1" i="277"/>
  <c r="R10" i="277"/>
  <c r="J52" i="277"/>
  <c r="Q138" i="277"/>
  <c r="Q137" i="277" s="1"/>
  <c r="X222" i="277"/>
  <c r="X221" i="277" s="1"/>
  <c r="O265" i="277"/>
  <c r="I489" i="277"/>
  <c r="I493" i="277" s="1"/>
  <c r="I2" i="277" s="1"/>
  <c r="K2" i="277"/>
  <c r="L148" i="275"/>
  <c r="L147" i="275" s="1"/>
  <c r="L69" i="275" s="1"/>
  <c r="G290" i="277"/>
  <c r="F292" i="277"/>
  <c r="Y287" i="277"/>
  <c r="W287" i="277"/>
  <c r="E265" i="277"/>
  <c r="E176" i="277" s="1"/>
  <c r="V250" i="277"/>
  <c r="J184" i="277"/>
  <c r="P184" i="277"/>
  <c r="V209" i="277"/>
  <c r="W450" i="112"/>
  <c r="W428" i="112"/>
  <c r="W420" i="112"/>
  <c r="W390" i="112"/>
  <c r="W385" i="112" s="1"/>
  <c r="W291" i="112"/>
  <c r="W417" i="112"/>
  <c r="W399" i="112"/>
  <c r="W367" i="112"/>
  <c r="W487" i="112" s="1"/>
  <c r="W362" i="112"/>
  <c r="W423" i="112"/>
  <c r="W219" i="112"/>
  <c r="W211" i="112" s="1"/>
  <c r="W121" i="112"/>
  <c r="W409" i="112"/>
  <c r="W375" i="112"/>
  <c r="W412" i="112"/>
  <c r="W338" i="112"/>
  <c r="W331" i="112" s="1"/>
  <c r="W489" i="112"/>
  <c r="R171" i="275"/>
  <c r="R186" i="275" s="1"/>
  <c r="R73" i="275"/>
  <c r="N56" i="275"/>
  <c r="N33" i="275"/>
  <c r="R56" i="275"/>
  <c r="L86" i="275"/>
  <c r="L204" i="275"/>
  <c r="L249" i="275"/>
  <c r="L267" i="275" s="1"/>
  <c r="L195" i="275" s="1"/>
  <c r="L169" i="275" s="1"/>
  <c r="L208" i="275"/>
  <c r="L48" i="275"/>
  <c r="L197" i="275"/>
  <c r="L41" i="275"/>
  <c r="L173" i="275"/>
  <c r="L243" i="275"/>
  <c r="M471" i="275"/>
  <c r="L154" i="275"/>
  <c r="L153" i="275" s="1"/>
  <c r="L193" i="275" s="1"/>
  <c r="L170" i="275"/>
  <c r="Y292" i="275"/>
  <c r="Y287" i="275" s="1"/>
  <c r="L184" i="275"/>
  <c r="L40" i="275"/>
  <c r="L50" i="275"/>
  <c r="L223" i="275"/>
  <c r="L232" i="275"/>
  <c r="L294" i="275"/>
  <c r="L290" i="275"/>
  <c r="L231" i="275"/>
  <c r="L269" i="275"/>
  <c r="L246" i="275"/>
  <c r="L265" i="275" s="1"/>
  <c r="L176" i="275"/>
  <c r="L257" i="275"/>
  <c r="L203" i="275"/>
  <c r="L245" i="275"/>
  <c r="V83" i="275"/>
  <c r="V79" i="275" s="1"/>
  <c r="L278" i="275"/>
  <c r="L268" i="275"/>
  <c r="L258" i="275"/>
  <c r="L15" i="275"/>
  <c r="L281" i="275"/>
  <c r="L227" i="275" s="1"/>
  <c r="L36" i="275"/>
  <c r="L289" i="275"/>
  <c r="L233" i="275"/>
  <c r="L198" i="275"/>
  <c r="H258" i="275"/>
  <c r="H268" i="275"/>
  <c r="H208" i="275"/>
  <c r="H243" i="275"/>
  <c r="H309" i="275"/>
  <c r="H48" i="275"/>
  <c r="H41" i="275"/>
  <c r="H138" i="275"/>
  <c r="H83" i="275"/>
  <c r="H79" i="275" s="1"/>
  <c r="H40" i="275"/>
  <c r="H232" i="275"/>
  <c r="I471" i="275"/>
  <c r="K224" i="275"/>
  <c r="H62" i="275"/>
  <c r="H170" i="275"/>
  <c r="H233" i="275"/>
  <c r="H307" i="275"/>
  <c r="H255" i="275"/>
  <c r="H224" i="275"/>
  <c r="H36" i="275"/>
  <c r="S1" i="275"/>
  <c r="S2" i="275"/>
  <c r="H257" i="275"/>
  <c r="H308" i="275"/>
  <c r="H281" i="275"/>
  <c r="H227" i="275" s="1"/>
  <c r="H230" i="275"/>
  <c r="H269" i="275"/>
  <c r="H50" i="275"/>
  <c r="H177" i="275"/>
  <c r="H204" i="275"/>
  <c r="H49" i="275"/>
  <c r="H141" i="275"/>
  <c r="V62" i="275"/>
  <c r="V191" i="275"/>
  <c r="V245" i="275"/>
  <c r="V303" i="275"/>
  <c r="V297" i="275"/>
  <c r="H201" i="275"/>
  <c r="H259" i="275"/>
  <c r="L230" i="275"/>
  <c r="H139" i="275"/>
  <c r="L177" i="275"/>
  <c r="L253" i="275"/>
  <c r="L251" i="275"/>
  <c r="H245" i="275"/>
  <c r="L141" i="275"/>
  <c r="L49" i="275"/>
  <c r="H198" i="275"/>
  <c r="V154" i="275"/>
  <c r="V153" i="275" s="1"/>
  <c r="V268" i="275"/>
  <c r="V307" i="275"/>
  <c r="V293" i="275"/>
  <c r="V304" i="275"/>
  <c r="R153" i="275"/>
  <c r="R225" i="275" s="1"/>
  <c r="H148" i="275"/>
  <c r="H147" i="275" s="1"/>
  <c r="H145" i="275" s="1"/>
  <c r="H231" i="275"/>
  <c r="L205" i="275"/>
  <c r="L262" i="275"/>
  <c r="L83" i="275"/>
  <c r="H294" i="275"/>
  <c r="L255" i="275"/>
  <c r="H289" i="275"/>
  <c r="L191" i="275"/>
  <c r="L157" i="275" s="1"/>
  <c r="L138" i="275"/>
  <c r="R51" i="275"/>
  <c r="R160" i="275"/>
  <c r="R46" i="275" s="1"/>
  <c r="R138" i="275"/>
  <c r="R137" i="275" s="1"/>
  <c r="H172" i="275"/>
  <c r="H197" i="275"/>
  <c r="L139" i="275"/>
  <c r="L308" i="275"/>
  <c r="H247" i="275"/>
  <c r="L307" i="275"/>
  <c r="H290" i="275"/>
  <c r="H173" i="275"/>
  <c r="H246" i="275"/>
  <c r="H265" i="275" s="1"/>
  <c r="H223" i="275"/>
  <c r="H251" i="275"/>
  <c r="H205" i="275"/>
  <c r="H184" i="275"/>
  <c r="H191" i="275"/>
  <c r="H203" i="275"/>
  <c r="H154" i="275"/>
  <c r="H249" i="275"/>
  <c r="H267" i="275" s="1"/>
  <c r="V15" i="275"/>
  <c r="V138" i="275"/>
  <c r="V224" i="275"/>
  <c r="V222" i="275" s="1"/>
  <c r="V221" i="275" s="1"/>
  <c r="V290" i="275"/>
  <c r="V288" i="275" s="1"/>
  <c r="P290" i="275"/>
  <c r="L309" i="275"/>
  <c r="H15" i="275"/>
  <c r="H164" i="275"/>
  <c r="H163" i="275" s="1"/>
  <c r="L172" i="275"/>
  <c r="X287" i="275"/>
  <c r="V251" i="275"/>
  <c r="V250" i="275" s="1"/>
  <c r="V164" i="275"/>
  <c r="V163" i="275" s="1"/>
  <c r="W471" i="275"/>
  <c r="L244" i="275"/>
  <c r="L252" i="275"/>
  <c r="H142" i="275"/>
  <c r="L142" i="275"/>
  <c r="L62" i="275"/>
  <c r="L201" i="275"/>
  <c r="H244" i="275"/>
  <c r="L247" i="275"/>
  <c r="L259" i="275"/>
  <c r="H253" i="275"/>
  <c r="H252" i="275"/>
  <c r="H176" i="275"/>
  <c r="P102" i="275"/>
  <c r="U102" i="275"/>
  <c r="W202" i="275"/>
  <c r="N290" i="275"/>
  <c r="P292" i="275"/>
  <c r="U184" i="275"/>
  <c r="P141" i="275"/>
  <c r="P140" i="275" s="1"/>
  <c r="W250" i="275"/>
  <c r="R265" i="275"/>
  <c r="R175" i="275" s="1"/>
  <c r="R174" i="275" s="1"/>
  <c r="R53" i="275" s="1"/>
  <c r="P297" i="275"/>
  <c r="P258" i="275" s="1"/>
  <c r="S10" i="275"/>
  <c r="V247" i="275"/>
  <c r="W247" i="275" s="1"/>
  <c r="X247" i="275" s="1"/>
  <c r="Y247" i="275" s="1"/>
  <c r="U297" i="275"/>
  <c r="U258" i="275" s="1"/>
  <c r="V258" i="275" s="1"/>
  <c r="W258" i="275" s="1"/>
  <c r="X258" i="275" s="1"/>
  <c r="Y258" i="275" s="1"/>
  <c r="V202" i="275"/>
  <c r="N265" i="275"/>
  <c r="N48" i="275" s="1"/>
  <c r="Q265" i="277"/>
  <c r="Q175" i="277" s="1"/>
  <c r="Q174" i="277" s="1"/>
  <c r="Q53" i="277" s="1"/>
  <c r="H102" i="277"/>
  <c r="J265" i="277"/>
  <c r="J175" i="277" s="1"/>
  <c r="J174" i="277" s="1"/>
  <c r="J53" i="277" s="1"/>
  <c r="S267" i="277"/>
  <c r="S266" i="277" s="1"/>
  <c r="N138" i="277"/>
  <c r="N137" i="277" s="1"/>
  <c r="N52" i="277"/>
  <c r="N176" i="277"/>
  <c r="N46" i="277"/>
  <c r="D292" i="277"/>
  <c r="L265" i="277"/>
  <c r="L175" i="277" s="1"/>
  <c r="L174" i="277" s="1"/>
  <c r="L53" i="277" s="1"/>
  <c r="J297" i="277"/>
  <c r="J258" i="277" s="1"/>
  <c r="N31" i="277"/>
  <c r="N32" i="277"/>
  <c r="P297" i="277"/>
  <c r="P258" i="277" s="1"/>
  <c r="S265" i="275"/>
  <c r="S176" i="275" s="1"/>
  <c r="O171" i="275"/>
  <c r="O186" i="275" s="1"/>
  <c r="O73" i="275"/>
  <c r="W222" i="275"/>
  <c r="W221" i="275" s="1"/>
  <c r="O76" i="275"/>
  <c r="U292" i="275"/>
  <c r="O297" i="275"/>
  <c r="O258" i="275" s="1"/>
  <c r="P265" i="275"/>
  <c r="P175" i="275" s="1"/>
  <c r="P174" i="275" s="1"/>
  <c r="P53" i="275" s="1"/>
  <c r="U175" i="275"/>
  <c r="U174" i="275" s="1"/>
  <c r="U53" i="275" s="1"/>
  <c r="V53" i="275" s="1"/>
  <c r="V177" i="275" s="1"/>
  <c r="P73" i="275"/>
  <c r="O141" i="275"/>
  <c r="O140" i="275" s="1"/>
  <c r="O51" i="275"/>
  <c r="T260" i="275"/>
  <c r="T263" i="275" s="1"/>
  <c r="U141" i="275"/>
  <c r="U140" i="275" s="1"/>
  <c r="F290" i="277"/>
  <c r="H290" i="277"/>
  <c r="U138" i="277"/>
  <c r="U137" i="277" s="1"/>
  <c r="P141" i="277"/>
  <c r="P140" i="277" s="1"/>
  <c r="T297" i="277"/>
  <c r="T258" i="277" s="1"/>
  <c r="V247" i="277"/>
  <c r="W247" i="277" s="1"/>
  <c r="X247" i="277" s="1"/>
  <c r="Y247" i="277" s="1"/>
  <c r="X202" i="277"/>
  <c r="P69" i="277"/>
  <c r="P138" i="277"/>
  <c r="P137" i="277" s="1"/>
  <c r="I265" i="277"/>
  <c r="I48" i="277" s="1"/>
  <c r="T175" i="277"/>
  <c r="T174" i="277" s="1"/>
  <c r="T53" i="277" s="1"/>
  <c r="H141" i="277"/>
  <c r="H140" i="277" s="1"/>
  <c r="L171" i="277"/>
  <c r="L186" i="277" s="1"/>
  <c r="J141" i="277"/>
  <c r="J140" i="277" s="1"/>
  <c r="I69" i="277"/>
  <c r="G260" i="277"/>
  <c r="G232" i="277" s="1"/>
  <c r="G234" i="277" s="1"/>
  <c r="J233" i="277"/>
  <c r="J138" i="277" s="1"/>
  <c r="J137" i="277" s="1"/>
  <c r="I52" i="277"/>
  <c r="L297" i="277"/>
  <c r="L258" i="277" s="1"/>
  <c r="T102" i="277"/>
  <c r="H233" i="277"/>
  <c r="V233" i="277"/>
  <c r="M265" i="277"/>
  <c r="M176" i="277" s="1"/>
  <c r="P290" i="277"/>
  <c r="L290" i="277"/>
  <c r="L292" i="277"/>
  <c r="D297" i="277"/>
  <c r="D258" i="277" s="1"/>
  <c r="G489" i="277"/>
  <c r="G493" i="277" s="1"/>
  <c r="G2" i="277" s="1"/>
  <c r="R2" i="277"/>
  <c r="J102" i="277"/>
  <c r="H297" i="277"/>
  <c r="H258" i="277" s="1"/>
  <c r="U195" i="277"/>
  <c r="U169" i="277" s="1"/>
  <c r="U266" i="277"/>
  <c r="U252" i="277"/>
  <c r="U201" i="277"/>
  <c r="H267" i="277"/>
  <c r="H248" i="277"/>
  <c r="I267" i="277"/>
  <c r="P248" i="277"/>
  <c r="O10" i="277"/>
  <c r="O1" i="277"/>
  <c r="O2" i="277"/>
  <c r="K266" i="277"/>
  <c r="K195" i="277"/>
  <c r="K169" i="277" s="1"/>
  <c r="K201" i="277"/>
  <c r="K252" i="277"/>
  <c r="D1" i="277"/>
  <c r="D2" i="277"/>
  <c r="D267" i="277"/>
  <c r="D248" i="277"/>
  <c r="L248" i="277"/>
  <c r="L267" i="277"/>
  <c r="D145" i="277"/>
  <c r="D52" i="277" s="1"/>
  <c r="D103" i="277"/>
  <c r="F277" i="277"/>
  <c r="F279" i="277" s="1"/>
  <c r="F33" i="277"/>
  <c r="V259" i="277"/>
  <c r="W259" i="277" s="1"/>
  <c r="X259" i="277" s="1"/>
  <c r="Y259" i="277" s="1"/>
  <c r="V288" i="277"/>
  <c r="W151" i="277"/>
  <c r="W31" i="277" s="1"/>
  <c r="W193" i="277"/>
  <c r="W183" i="277"/>
  <c r="W182" i="277" s="1"/>
  <c r="Q225" i="277"/>
  <c r="Q183" i="277"/>
  <c r="Q182" i="277" s="1"/>
  <c r="Q181" i="277" s="1"/>
  <c r="Q179" i="277" s="1"/>
  <c r="Q32" i="277" s="1"/>
  <c r="Q193" i="277"/>
  <c r="Q192" i="277" s="1"/>
  <c r="Q151" i="277"/>
  <c r="Q31" i="277" s="1"/>
  <c r="T184" i="277"/>
  <c r="M225" i="277"/>
  <c r="M183" i="277"/>
  <c r="M182" i="277" s="1"/>
  <c r="M181" i="277" s="1"/>
  <c r="M179" i="277" s="1"/>
  <c r="M32" i="277" s="1"/>
  <c r="M193" i="277"/>
  <c r="M192" i="277" s="1"/>
  <c r="M151" i="277"/>
  <c r="M31" i="277" s="1"/>
  <c r="H171" i="277"/>
  <c r="H186" i="277" s="1"/>
  <c r="H292" i="277"/>
  <c r="F267" i="277"/>
  <c r="F248" i="277"/>
  <c r="G251" i="277" s="1"/>
  <c r="G250" i="277" s="1"/>
  <c r="I138" i="277"/>
  <c r="I137" i="277" s="1"/>
  <c r="G138" i="277"/>
  <c r="G137" i="277" s="1"/>
  <c r="M138" i="277"/>
  <c r="M137" i="277" s="1"/>
  <c r="I160" i="277"/>
  <c r="I46" i="277" s="1"/>
  <c r="I76" i="277"/>
  <c r="N277" i="277"/>
  <c r="N279" i="277" s="1"/>
  <c r="N281" i="277" s="1"/>
  <c r="N33" i="277"/>
  <c r="E2" i="277"/>
  <c r="E1" i="277"/>
  <c r="Y277" i="277"/>
  <c r="Y279" i="277" s="1"/>
  <c r="Y33" i="277"/>
  <c r="V292" i="277"/>
  <c r="Q277" i="277"/>
  <c r="Q279" i="277" s="1"/>
  <c r="Q33" i="277"/>
  <c r="I290" i="277"/>
  <c r="T171" i="277"/>
  <c r="T186" i="277" s="1"/>
  <c r="T292" i="277"/>
  <c r="H145" i="277"/>
  <c r="H103" i="277"/>
  <c r="K183" i="277"/>
  <c r="K182" i="277" s="1"/>
  <c r="K181" i="277" s="1"/>
  <c r="K179" i="277" s="1"/>
  <c r="K32" i="277" s="1"/>
  <c r="K151" i="277"/>
  <c r="K31" i="277" s="1"/>
  <c r="K193" i="277"/>
  <c r="K192" i="277" s="1"/>
  <c r="K225" i="277"/>
  <c r="E292" i="277"/>
  <c r="D141" i="277"/>
  <c r="F265" i="277"/>
  <c r="G56" i="277"/>
  <c r="M56" i="277"/>
  <c r="N55" i="277" s="1"/>
  <c r="M10" i="277"/>
  <c r="M2" i="277"/>
  <c r="M1" i="277"/>
  <c r="J292" i="277"/>
  <c r="P73" i="277"/>
  <c r="P221" i="277"/>
  <c r="T167" i="277"/>
  <c r="T166" i="277" s="1"/>
  <c r="T153" i="277"/>
  <c r="L221" i="277"/>
  <c r="L184" i="277"/>
  <c r="D48" i="277"/>
  <c r="Q2" i="277"/>
  <c r="Q10" i="277"/>
  <c r="Q1" i="277"/>
  <c r="I260" i="277"/>
  <c r="K277" i="277"/>
  <c r="K279" i="277" s="1"/>
  <c r="K33" i="277"/>
  <c r="S225" i="277"/>
  <c r="S193" i="277"/>
  <c r="S192" i="277" s="1"/>
  <c r="S183" i="277"/>
  <c r="S182" i="277" s="1"/>
  <c r="S181" i="277" s="1"/>
  <c r="S179" i="277" s="1"/>
  <c r="S32" i="277" s="1"/>
  <c r="S151" i="277"/>
  <c r="R277" i="277"/>
  <c r="R279" i="277" s="1"/>
  <c r="P76" i="277"/>
  <c r="T145" i="277"/>
  <c r="T52" i="277" s="1"/>
  <c r="T103" i="277"/>
  <c r="T69" i="277"/>
  <c r="H221" i="277"/>
  <c r="L102" i="277"/>
  <c r="F138" i="277"/>
  <c r="F137" i="277" s="1"/>
  <c r="N266" i="277"/>
  <c r="N195" i="277"/>
  <c r="N169" i="277" s="1"/>
  <c r="N201" i="277"/>
  <c r="N251" i="277"/>
  <c r="N250" i="277" s="1"/>
  <c r="N252" i="277"/>
  <c r="Q248" i="277"/>
  <c r="Q267" i="277"/>
  <c r="J167" i="277"/>
  <c r="J166" i="277" s="1"/>
  <c r="J153" i="277"/>
  <c r="P51" i="277"/>
  <c r="V153" i="277"/>
  <c r="V167" i="277"/>
  <c r="R265" i="277"/>
  <c r="U265" i="277"/>
  <c r="G277" i="277"/>
  <c r="G279" i="277" s="1"/>
  <c r="G33" i="277"/>
  <c r="X288" i="277"/>
  <c r="X292" i="277"/>
  <c r="T221" i="277"/>
  <c r="Y183" i="277"/>
  <c r="Y182" i="277" s="1"/>
  <c r="Y151" i="277"/>
  <c r="Y31" i="277" s="1"/>
  <c r="Y193" i="277"/>
  <c r="L167" i="277"/>
  <c r="L166" i="277" s="1"/>
  <c r="L153" i="277"/>
  <c r="D167" i="277"/>
  <c r="D166" i="277" s="1"/>
  <c r="D176" i="277" s="1"/>
  <c r="D153" i="277"/>
  <c r="E69" i="277"/>
  <c r="J1" i="277"/>
  <c r="J2" i="277"/>
  <c r="N256" i="277"/>
  <c r="N254" i="277" s="1"/>
  <c r="N260" i="277" s="1"/>
  <c r="J56" i="277"/>
  <c r="J55" i="277" s="1"/>
  <c r="R267" i="277"/>
  <c r="R248" i="277"/>
  <c r="R225" i="277"/>
  <c r="R183" i="277"/>
  <c r="R182" i="277" s="1"/>
  <c r="R181" i="277" s="1"/>
  <c r="R179" i="277" s="1"/>
  <c r="R151" i="277"/>
  <c r="R193" i="277"/>
  <c r="R192" i="277" s="1"/>
  <c r="H153" i="277"/>
  <c r="H167" i="277"/>
  <c r="H166" i="277" s="1"/>
  <c r="E52" i="277"/>
  <c r="J103" i="277"/>
  <c r="G266" i="277"/>
  <c r="G195" i="277"/>
  <c r="G169" i="277" s="1"/>
  <c r="G201" i="277"/>
  <c r="E193" i="277"/>
  <c r="E192" i="277" s="1"/>
  <c r="E183" i="277"/>
  <c r="E182" i="277" s="1"/>
  <c r="E181" i="277" s="1"/>
  <c r="E179" i="277" s="1"/>
  <c r="E32" i="277" s="1"/>
  <c r="E151" i="277"/>
  <c r="E31" i="277" s="1"/>
  <c r="E225" i="277"/>
  <c r="K265" i="277"/>
  <c r="P171" i="277"/>
  <c r="P186" i="277" s="1"/>
  <c r="T138" i="277"/>
  <c r="T137" i="277" s="1"/>
  <c r="L2" i="277"/>
  <c r="L10" i="277"/>
  <c r="L1" i="277"/>
  <c r="U260" i="277"/>
  <c r="I225" i="277"/>
  <c r="I183" i="277"/>
  <c r="I182" i="277" s="1"/>
  <c r="I181" i="277" s="1"/>
  <c r="I179" i="277" s="1"/>
  <c r="I32" i="277" s="1"/>
  <c r="I151" i="277"/>
  <c r="I31" i="277" s="1"/>
  <c r="I193" i="277"/>
  <c r="I192" i="277" s="1"/>
  <c r="G160" i="277"/>
  <c r="G46" i="277" s="1"/>
  <c r="G76" i="277"/>
  <c r="G51" i="277"/>
  <c r="E267" i="277"/>
  <c r="E248" i="277"/>
  <c r="T267" i="277"/>
  <c r="T248" i="277"/>
  <c r="U251" i="277" s="1"/>
  <c r="U250" i="277" s="1"/>
  <c r="L145" i="277"/>
  <c r="L56" i="277" s="1"/>
  <c r="L55" i="277" s="1"/>
  <c r="L69" i="277"/>
  <c r="L103" i="277"/>
  <c r="L141" i="277"/>
  <c r="L140" i="277" s="1"/>
  <c r="D162" i="277"/>
  <c r="D157" i="277"/>
  <c r="F56" i="277"/>
  <c r="F55" i="277" s="1"/>
  <c r="E138" i="277"/>
  <c r="E137" i="277" s="1"/>
  <c r="E290" i="277"/>
  <c r="J248" i="277"/>
  <c r="J267" i="277"/>
  <c r="J171" i="277"/>
  <c r="J186" i="277" s="1"/>
  <c r="J221" i="277"/>
  <c r="X167" i="277"/>
  <c r="X153" i="277"/>
  <c r="P145" i="277"/>
  <c r="P52" i="277" s="1"/>
  <c r="P103" i="277"/>
  <c r="T160" i="277"/>
  <c r="T51" i="277"/>
  <c r="G193" i="277"/>
  <c r="G192" i="277" s="1"/>
  <c r="G225" i="277"/>
  <c r="G183" i="277"/>
  <c r="G182" i="277" s="1"/>
  <c r="G181" i="277" s="1"/>
  <c r="G179" i="277" s="1"/>
  <c r="G32" i="277" s="1"/>
  <c r="G151" i="277"/>
  <c r="Y209" i="277"/>
  <c r="W209" i="277"/>
  <c r="U193" i="277"/>
  <c r="U192" i="277" s="1"/>
  <c r="U151" i="277"/>
  <c r="U31" i="277" s="1"/>
  <c r="U225" i="277"/>
  <c r="U183" i="277"/>
  <c r="U182" i="277" s="1"/>
  <c r="U181" i="277" s="1"/>
  <c r="U179" i="277" s="1"/>
  <c r="U32" i="277" s="1"/>
  <c r="M46" i="277"/>
  <c r="I51" i="277"/>
  <c r="F1" i="277"/>
  <c r="F2" i="277"/>
  <c r="W195" i="277"/>
  <c r="W169" i="277" s="1"/>
  <c r="K160" i="277"/>
  <c r="K46" i="277" s="1"/>
  <c r="K51" i="277"/>
  <c r="K76" i="277"/>
  <c r="V267" i="277"/>
  <c r="S277" i="277"/>
  <c r="S279" i="277" s="1"/>
  <c r="S33" i="277"/>
  <c r="E160" i="277"/>
  <c r="E46" i="277" s="1"/>
  <c r="E76" i="277"/>
  <c r="X267" i="277"/>
  <c r="X233" i="277"/>
  <c r="E277" i="277"/>
  <c r="E279" i="277" s="1"/>
  <c r="E33" i="277"/>
  <c r="P292" i="277"/>
  <c r="Y195" i="277"/>
  <c r="Y169" i="277" s="1"/>
  <c r="E73" i="277"/>
  <c r="U277" i="277"/>
  <c r="U279" i="277" s="1"/>
  <c r="U33" i="277"/>
  <c r="D175" i="277"/>
  <c r="D174" i="277" s="1"/>
  <c r="D53" i="277" s="1"/>
  <c r="D171" i="277"/>
  <c r="D186" i="277" s="1"/>
  <c r="F225" i="277"/>
  <c r="F183" i="277"/>
  <c r="F182" i="277" s="1"/>
  <c r="F181" i="277" s="1"/>
  <c r="F179" i="277" s="1"/>
  <c r="F32" i="277" s="1"/>
  <c r="F193" i="277"/>
  <c r="F192" i="277" s="1"/>
  <c r="F151" i="277"/>
  <c r="M256" i="277"/>
  <c r="M254" i="277" s="1"/>
  <c r="M260" i="277" s="1"/>
  <c r="T1" i="277"/>
  <c r="T2" i="277"/>
  <c r="T10" i="277"/>
  <c r="I277" i="277"/>
  <c r="I279" i="277" s="1"/>
  <c r="I33" i="277"/>
  <c r="I73" i="277"/>
  <c r="J157" i="277"/>
  <c r="J162" i="277"/>
  <c r="J73" i="277" s="1"/>
  <c r="V202" i="277"/>
  <c r="N291" i="277"/>
  <c r="N489" i="277"/>
  <c r="N493" i="277" s="1"/>
  <c r="X250" i="277"/>
  <c r="P102" i="277"/>
  <c r="P167" i="277"/>
  <c r="P166" i="277" s="1"/>
  <c r="P153" i="277"/>
  <c r="T73" i="277"/>
  <c r="S260" i="277"/>
  <c r="S56" i="277"/>
  <c r="S138" i="277"/>
  <c r="S137" i="277" s="1"/>
  <c r="H157" i="277"/>
  <c r="H162" i="277"/>
  <c r="H73" i="277" s="1"/>
  <c r="F160" i="277"/>
  <c r="F46" i="277" s="1"/>
  <c r="F51" i="277"/>
  <c r="F76" i="277"/>
  <c r="L157" i="277"/>
  <c r="L162" i="277"/>
  <c r="L73" i="277" s="1"/>
  <c r="L233" i="277"/>
  <c r="D233" i="277"/>
  <c r="D184" i="277"/>
  <c r="D221" i="277"/>
  <c r="M277" i="277"/>
  <c r="M279" i="277" s="1"/>
  <c r="M33" i="277"/>
  <c r="K260" i="277"/>
  <c r="M267" i="277"/>
  <c r="U1" i="277"/>
  <c r="U2" i="277"/>
  <c r="U10" i="277"/>
  <c r="E171" i="275"/>
  <c r="E186" i="275" s="1"/>
  <c r="D175" i="275"/>
  <c r="E175" i="275" s="1"/>
  <c r="E174" i="275" s="1"/>
  <c r="D138" i="275"/>
  <c r="D245" i="275"/>
  <c r="D255" i="275"/>
  <c r="D142" i="275"/>
  <c r="D257" i="275"/>
  <c r="D83" i="275"/>
  <c r="D79" i="275" s="1"/>
  <c r="D299" i="275"/>
  <c r="E299" i="275" s="1"/>
  <c r="F299" i="275" s="1"/>
  <c r="G299" i="275" s="1"/>
  <c r="H299" i="275" s="1"/>
  <c r="I299" i="275" s="1"/>
  <c r="J299" i="275" s="1"/>
  <c r="K299" i="275" s="1"/>
  <c r="L299" i="275" s="1"/>
  <c r="D62" i="275"/>
  <c r="D258" i="275"/>
  <c r="E196" i="275"/>
  <c r="E168" i="275" s="1"/>
  <c r="D172" i="275"/>
  <c r="D268" i="275"/>
  <c r="E137" i="275"/>
  <c r="D184" i="275"/>
  <c r="D148" i="275"/>
  <c r="D147" i="275" s="1"/>
  <c r="D145" i="275" s="1"/>
  <c r="D52" i="275" s="1"/>
  <c r="E288" i="275"/>
  <c r="D233" i="275"/>
  <c r="D252" i="275"/>
  <c r="E202" i="275"/>
  <c r="E200" i="275" s="1"/>
  <c r="E229" i="275"/>
  <c r="E234" i="275" s="1"/>
  <c r="E235" i="275" s="1"/>
  <c r="E34" i="275"/>
  <c r="D307" i="275"/>
  <c r="E167" i="275"/>
  <c r="E250" i="275"/>
  <c r="E248" i="275" s="1"/>
  <c r="E256" i="275" s="1"/>
  <c r="E254" i="275" s="1"/>
  <c r="E140" i="275"/>
  <c r="J288" i="275"/>
  <c r="I196" i="275"/>
  <c r="I168" i="275" s="1"/>
  <c r="D247" i="275"/>
  <c r="E242" i="275"/>
  <c r="E157" i="275"/>
  <c r="E155" i="275" s="1"/>
  <c r="E153" i="275" s="1"/>
  <c r="E193" i="275" s="1"/>
  <c r="D15" i="275"/>
  <c r="D302" i="275"/>
  <c r="E302" i="275" s="1"/>
  <c r="F302" i="275" s="1"/>
  <c r="G302" i="275" s="1"/>
  <c r="H302" i="275" s="1"/>
  <c r="I302" i="275" s="1"/>
  <c r="J302" i="275" s="1"/>
  <c r="K302" i="275" s="1"/>
  <c r="L302" i="275" s="1"/>
  <c r="AC64" i="275"/>
  <c r="O95" i="275" s="1"/>
  <c r="K52" i="275"/>
  <c r="D48" i="275"/>
  <c r="D197" i="275"/>
  <c r="D244" i="275"/>
  <c r="D289" i="275"/>
  <c r="D53" i="275"/>
  <c r="E53" i="275" s="1"/>
  <c r="F53" i="275" s="1"/>
  <c r="G53" i="275" s="1"/>
  <c r="H53" i="275" s="1"/>
  <c r="I53" i="275" s="1"/>
  <c r="J53" i="275" s="1"/>
  <c r="K53" i="275" s="1"/>
  <c r="L53" i="275" s="1"/>
  <c r="D224" i="275"/>
  <c r="D246" i="275"/>
  <c r="D265" i="275" s="1"/>
  <c r="D309" i="275"/>
  <c r="K171" i="275"/>
  <c r="K186" i="275" s="1"/>
  <c r="D154" i="275"/>
  <c r="D177" i="275"/>
  <c r="D249" i="275"/>
  <c r="D267" i="275" s="1"/>
  <c r="D139" i="275"/>
  <c r="D223" i="275"/>
  <c r="D262" i="275"/>
  <c r="D164" i="275"/>
  <c r="D163" i="275" s="1"/>
  <c r="D176" i="275"/>
  <c r="D298" i="275"/>
  <c r="E298" i="275" s="1"/>
  <c r="F298" i="275" s="1"/>
  <c r="G298" i="275" s="1"/>
  <c r="H298" i="275" s="1"/>
  <c r="I298" i="275" s="1"/>
  <c r="J298" i="275" s="1"/>
  <c r="K298" i="275" s="1"/>
  <c r="L298" i="275" s="1"/>
  <c r="D41" i="275"/>
  <c r="D232" i="275"/>
  <c r="D205" i="275"/>
  <c r="D281" i="275"/>
  <c r="D227" i="275" s="1"/>
  <c r="K196" i="275"/>
  <c r="K168" i="275" s="1"/>
  <c r="D49" i="275"/>
  <c r="D198" i="275"/>
  <c r="D243" i="275"/>
  <c r="D259" i="275"/>
  <c r="K34" i="275"/>
  <c r="D253" i="275"/>
  <c r="D141" i="275"/>
  <c r="D201" i="275"/>
  <c r="D290" i="275"/>
  <c r="D300" i="275"/>
  <c r="E300" i="275" s="1"/>
  <c r="F300" i="275" s="1"/>
  <c r="G300" i="275" s="1"/>
  <c r="H300" i="275" s="1"/>
  <c r="I300" i="275" s="1"/>
  <c r="J300" i="275" s="1"/>
  <c r="K300" i="275" s="1"/>
  <c r="L300" i="275" s="1"/>
  <c r="D40" i="275"/>
  <c r="D203" i="275"/>
  <c r="D191" i="275"/>
  <c r="D293" i="275"/>
  <c r="E293" i="275" s="1"/>
  <c r="E292" i="275" s="1"/>
  <c r="D308" i="275"/>
  <c r="D297" i="275"/>
  <c r="E297" i="275" s="1"/>
  <c r="F297" i="275" s="1"/>
  <c r="G297" i="275" s="1"/>
  <c r="H297" i="275" s="1"/>
  <c r="I297" i="275" s="1"/>
  <c r="J297" i="275" s="1"/>
  <c r="K297" i="275" s="1"/>
  <c r="L297" i="275" s="1"/>
  <c r="K250" i="275"/>
  <c r="K248" i="275" s="1"/>
  <c r="K256" i="275" s="1"/>
  <c r="K254" i="275" s="1"/>
  <c r="D50" i="275"/>
  <c r="D170" i="275"/>
  <c r="D204" i="275"/>
  <c r="D269" i="275"/>
  <c r="D230" i="275"/>
  <c r="D304" i="275"/>
  <c r="E304" i="275" s="1"/>
  <c r="F304" i="275" s="1"/>
  <c r="G304" i="275" s="1"/>
  <c r="H304" i="275" s="1"/>
  <c r="I304" i="275" s="1"/>
  <c r="J304" i="275" s="1"/>
  <c r="K304" i="275" s="1"/>
  <c r="L304" i="275" s="1"/>
  <c r="I52" i="275"/>
  <c r="K288" i="275"/>
  <c r="J34" i="275"/>
  <c r="D36" i="275"/>
  <c r="D173" i="275"/>
  <c r="D207" i="275"/>
  <c r="D206" i="275" s="1"/>
  <c r="D231" i="275"/>
  <c r="D251" i="275"/>
  <c r="E471" i="275"/>
  <c r="J52" i="275"/>
  <c r="I242" i="275"/>
  <c r="J202" i="275"/>
  <c r="J140" i="275"/>
  <c r="I137" i="275"/>
  <c r="K79" i="275"/>
  <c r="K229" i="275"/>
  <c r="K234" i="275" s="1"/>
  <c r="D208" i="275"/>
  <c r="D301" i="275"/>
  <c r="E301" i="275" s="1"/>
  <c r="F301" i="275" s="1"/>
  <c r="G301" i="275" s="1"/>
  <c r="H301" i="275" s="1"/>
  <c r="I301" i="275" s="1"/>
  <c r="J301" i="275" s="1"/>
  <c r="K301" i="275" s="1"/>
  <c r="L301" i="275" s="1"/>
  <c r="D294" i="275"/>
  <c r="S266" i="275"/>
  <c r="S195" i="275"/>
  <c r="S169" i="275" s="1"/>
  <c r="S201" i="275"/>
  <c r="S252" i="275"/>
  <c r="P138" i="275"/>
  <c r="P137" i="275" s="1"/>
  <c r="O267" i="275"/>
  <c r="O248" i="275"/>
  <c r="U267" i="275"/>
  <c r="U248" i="275"/>
  <c r="S256" i="275"/>
  <c r="S254" i="275" s="1"/>
  <c r="S260" i="275" s="1"/>
  <c r="T291" i="275"/>
  <c r="U290" i="275" s="1"/>
  <c r="T489" i="275"/>
  <c r="T493" i="275" s="1"/>
  <c r="V259" i="275"/>
  <c r="W259" i="275" s="1"/>
  <c r="X259" i="275" s="1"/>
  <c r="Y259" i="275" s="1"/>
  <c r="I140" i="275"/>
  <c r="I157" i="275"/>
  <c r="I155" i="275" s="1"/>
  <c r="I153" i="275" s="1"/>
  <c r="T151" i="275"/>
  <c r="T193" i="275"/>
  <c r="T192" i="275" s="1"/>
  <c r="T225" i="275"/>
  <c r="T183" i="275"/>
  <c r="T182" i="275" s="1"/>
  <c r="T181" i="275" s="1"/>
  <c r="T179" i="275" s="1"/>
  <c r="T32" i="275" s="1"/>
  <c r="P221" i="275"/>
  <c r="U48" i="275"/>
  <c r="U221" i="275"/>
  <c r="J229" i="275"/>
  <c r="J234" i="275" s="1"/>
  <c r="J267" i="275"/>
  <c r="O69" i="275"/>
  <c r="Q56" i="275"/>
  <c r="Q138" i="275"/>
  <c r="Q137" i="275" s="1"/>
  <c r="Q277" i="275"/>
  <c r="Q279" i="275" s="1"/>
  <c r="Q33" i="275"/>
  <c r="N248" i="275"/>
  <c r="N267" i="275"/>
  <c r="I34" i="275"/>
  <c r="I229" i="275"/>
  <c r="I267" i="275"/>
  <c r="R267" i="275"/>
  <c r="R248" i="275"/>
  <c r="S251" i="275" s="1"/>
  <c r="S250" i="275" s="1"/>
  <c r="K137" i="275"/>
  <c r="K202" i="275"/>
  <c r="P171" i="275"/>
  <c r="P186" i="275" s="1"/>
  <c r="P184" i="275"/>
  <c r="W288" i="275"/>
  <c r="J137" i="275"/>
  <c r="X221" i="275"/>
  <c r="N2" i="275"/>
  <c r="N1" i="275"/>
  <c r="N10" i="275"/>
  <c r="Q225" i="275"/>
  <c r="Q151" i="275"/>
  <c r="Q31" i="275" s="1"/>
  <c r="Q193" i="275"/>
  <c r="Q192" i="275" s="1"/>
  <c r="Q183" i="275"/>
  <c r="Q182" i="275" s="1"/>
  <c r="Q181" i="275" s="1"/>
  <c r="Q179" i="275" s="1"/>
  <c r="Q32" i="275" s="1"/>
  <c r="O233" i="275"/>
  <c r="I202" i="275"/>
  <c r="I200" i="275" s="1"/>
  <c r="O221" i="275"/>
  <c r="K157" i="275"/>
  <c r="K155" i="275" s="1"/>
  <c r="K153" i="275" s="1"/>
  <c r="K242" i="275"/>
  <c r="W292" i="275"/>
  <c r="U73" i="275"/>
  <c r="V233" i="275"/>
  <c r="Q265" i="275"/>
  <c r="M138" i="275"/>
  <c r="I288" i="275"/>
  <c r="O290" i="275"/>
  <c r="X195" i="275"/>
  <c r="X169" i="275" s="1"/>
  <c r="I167" i="275"/>
  <c r="X183" i="275"/>
  <c r="X182" i="275" s="1"/>
  <c r="X193" i="275"/>
  <c r="X151" i="275"/>
  <c r="X31" i="275" s="1"/>
  <c r="G471" i="275"/>
  <c r="F307" i="275"/>
  <c r="F290" i="275"/>
  <c r="F289" i="275"/>
  <c r="F259" i="275"/>
  <c r="F294" i="275"/>
  <c r="F268" i="275"/>
  <c r="F308" i="275"/>
  <c r="F303" i="275"/>
  <c r="G303" i="275" s="1"/>
  <c r="H303" i="275" s="1"/>
  <c r="I303" i="275" s="1"/>
  <c r="J303" i="275" s="1"/>
  <c r="K303" i="275" s="1"/>
  <c r="L303" i="275" s="1"/>
  <c r="F269" i="275"/>
  <c r="F309" i="275"/>
  <c r="F255" i="275"/>
  <c r="F223" i="275"/>
  <c r="F258" i="275"/>
  <c r="F231" i="275"/>
  <c r="F281" i="275"/>
  <c r="F227" i="275" s="1"/>
  <c r="F232" i="275"/>
  <c r="F233" i="275"/>
  <c r="F262" i="275"/>
  <c r="F244" i="275"/>
  <c r="I224" i="275"/>
  <c r="F201" i="275"/>
  <c r="F247" i="275"/>
  <c r="F251" i="275"/>
  <c r="F191" i="275"/>
  <c r="F154" i="275"/>
  <c r="F253" i="275"/>
  <c r="F205" i="275"/>
  <c r="F184" i="275"/>
  <c r="F176" i="275"/>
  <c r="F170" i="275"/>
  <c r="F208" i="275"/>
  <c r="F177" i="275"/>
  <c r="F224" i="275"/>
  <c r="F198" i="275"/>
  <c r="F204" i="275"/>
  <c r="F164" i="275"/>
  <c r="F163" i="275" s="1"/>
  <c r="F257" i="275"/>
  <c r="F197" i="275"/>
  <c r="F243" i="275"/>
  <c r="F230" i="275"/>
  <c r="F249" i="275"/>
  <c r="F141" i="275"/>
  <c r="F83" i="275"/>
  <c r="F79" i="275" s="1"/>
  <c r="F138" i="275"/>
  <c r="F203" i="275"/>
  <c r="F252" i="275"/>
  <c r="F148" i="275"/>
  <c r="F147" i="275" s="1"/>
  <c r="F145" i="275" s="1"/>
  <c r="F62" i="275"/>
  <c r="F48" i="275"/>
  <c r="F172" i="275"/>
  <c r="F49" i="275"/>
  <c r="F36" i="275"/>
  <c r="F246" i="275"/>
  <c r="F265" i="275" s="1"/>
  <c r="F50" i="275"/>
  <c r="F40" i="275"/>
  <c r="F15" i="275"/>
  <c r="F245" i="275"/>
  <c r="F142" i="275"/>
  <c r="F41" i="275"/>
  <c r="F139" i="275"/>
  <c r="F173" i="275"/>
  <c r="Y195" i="275"/>
  <c r="Y169" i="275" s="1"/>
  <c r="K140" i="275"/>
  <c r="U2" i="275"/>
  <c r="U1" i="275"/>
  <c r="U10" i="275"/>
  <c r="W233" i="275"/>
  <c r="U171" i="275"/>
  <c r="U186" i="275" s="1"/>
  <c r="J157" i="275"/>
  <c r="J155" i="275" s="1"/>
  <c r="J153" i="275" s="1"/>
  <c r="J250" i="275"/>
  <c r="J248" i="275" s="1"/>
  <c r="J256" i="275" s="1"/>
  <c r="J254" i="275" s="1"/>
  <c r="R151" i="275"/>
  <c r="T195" i="275"/>
  <c r="T169" i="275" s="1"/>
  <c r="T266" i="275"/>
  <c r="T201" i="275"/>
  <c r="T251" i="275"/>
  <c r="T250" i="275" s="1"/>
  <c r="T252" i="275"/>
  <c r="M56" i="275"/>
  <c r="N55" i="275" s="1"/>
  <c r="P267" i="275"/>
  <c r="P248" i="275"/>
  <c r="Q267" i="275"/>
  <c r="S193" i="275"/>
  <c r="S192" i="275" s="1"/>
  <c r="S225" i="275"/>
  <c r="S151" i="275"/>
  <c r="S183" i="275"/>
  <c r="S182" i="275" s="1"/>
  <c r="S181" i="275" s="1"/>
  <c r="S179" i="275" s="1"/>
  <c r="S32" i="275" s="1"/>
  <c r="P52" i="275"/>
  <c r="I250" i="275"/>
  <c r="I248" i="275" s="1"/>
  <c r="I256" i="275" s="1"/>
  <c r="I254" i="275" s="1"/>
  <c r="H471" i="275"/>
  <c r="G294" i="275"/>
  <c r="G268" i="275"/>
  <c r="G255" i="275"/>
  <c r="G251" i="275"/>
  <c r="G245" i="275"/>
  <c r="G309" i="275"/>
  <c r="G307" i="275"/>
  <c r="G308" i="275"/>
  <c r="G290" i="275"/>
  <c r="G258" i="275"/>
  <c r="G231" i="275"/>
  <c r="G289" i="275"/>
  <c r="G252" i="275"/>
  <c r="G249" i="275"/>
  <c r="J224" i="275"/>
  <c r="G201" i="275"/>
  <c r="G281" i="275"/>
  <c r="G227" i="275" s="1"/>
  <c r="G247" i="275"/>
  <c r="G243" i="275"/>
  <c r="G224" i="275"/>
  <c r="G233" i="275"/>
  <c r="G204" i="275"/>
  <c r="G197" i="275"/>
  <c r="G191" i="275"/>
  <c r="G259" i="275"/>
  <c r="G208" i="275"/>
  <c r="G177" i="275"/>
  <c r="G164" i="275"/>
  <c r="G163" i="275" s="1"/>
  <c r="G148" i="275"/>
  <c r="G147" i="275" s="1"/>
  <c r="G145" i="275" s="1"/>
  <c r="G223" i="275"/>
  <c r="G198" i="275"/>
  <c r="G244" i="275"/>
  <c r="G257" i="275"/>
  <c r="G232" i="275"/>
  <c r="G253" i="275"/>
  <c r="G269" i="275"/>
  <c r="G173" i="275"/>
  <c r="G142" i="275"/>
  <c r="G246" i="275"/>
  <c r="G265" i="275" s="1"/>
  <c r="G203" i="275"/>
  <c r="G176" i="275"/>
  <c r="G138" i="275"/>
  <c r="G172" i="275"/>
  <c r="G154" i="275"/>
  <c r="G62" i="275"/>
  <c r="G48" i="275"/>
  <c r="G184" i="275"/>
  <c r="G230" i="275"/>
  <c r="G83" i="275"/>
  <c r="G79" i="275" s="1"/>
  <c r="G49" i="275"/>
  <c r="G36" i="275"/>
  <c r="G170" i="275"/>
  <c r="G50" i="275"/>
  <c r="G40" i="275"/>
  <c r="G15" i="275"/>
  <c r="G141" i="275"/>
  <c r="G41" i="275"/>
  <c r="G205" i="275"/>
  <c r="G262" i="275"/>
  <c r="G139" i="275"/>
  <c r="K167" i="275"/>
  <c r="P145" i="275"/>
  <c r="P56" i="275" s="1"/>
  <c r="P103" i="275"/>
  <c r="P69" i="275"/>
  <c r="M46" i="275"/>
  <c r="E266" i="275"/>
  <c r="E195" i="275"/>
  <c r="E169" i="275" s="1"/>
  <c r="S277" i="275"/>
  <c r="S279" i="275" s="1"/>
  <c r="S33" i="275"/>
  <c r="Y221" i="275"/>
  <c r="W167" i="275"/>
  <c r="W153" i="275"/>
  <c r="T48" i="275"/>
  <c r="T176" i="275"/>
  <c r="T175" i="275"/>
  <c r="T174" i="275" s="1"/>
  <c r="T53" i="275" s="1"/>
  <c r="Q10" i="275"/>
  <c r="Q2" i="275"/>
  <c r="Q1" i="275"/>
  <c r="R1" i="275"/>
  <c r="R10" i="275"/>
  <c r="R2" i="275"/>
  <c r="M2" i="275"/>
  <c r="M1" i="275"/>
  <c r="M10" i="275"/>
  <c r="U153" i="275"/>
  <c r="U167" i="275"/>
  <c r="U166" i="275" s="1"/>
  <c r="U176" i="275" s="1"/>
  <c r="J171" i="275"/>
  <c r="J186" i="275" s="1"/>
  <c r="T277" i="275"/>
  <c r="T279" i="275" s="1"/>
  <c r="T33" i="275"/>
  <c r="Y183" i="275"/>
  <c r="Y182" i="275" s="1"/>
  <c r="Y193" i="275"/>
  <c r="Y151" i="275"/>
  <c r="K267" i="275"/>
  <c r="X36" i="275"/>
  <c r="U160" i="275"/>
  <c r="U51" i="275"/>
  <c r="U60" i="275"/>
  <c r="U145" i="275"/>
  <c r="U52" i="275" s="1"/>
  <c r="U69" i="275"/>
  <c r="U103" i="275"/>
  <c r="U233" i="275"/>
  <c r="U138" i="275" s="1"/>
  <c r="U137" i="275" s="1"/>
  <c r="N151" i="275"/>
  <c r="N183" i="275"/>
  <c r="N182" i="275" s="1"/>
  <c r="N181" i="275" s="1"/>
  <c r="N179" i="275" s="1"/>
  <c r="N32" i="275" s="1"/>
  <c r="N193" i="275"/>
  <c r="N192" i="275" s="1"/>
  <c r="S56" i="275"/>
  <c r="S55" i="275" s="1"/>
  <c r="M248" i="275"/>
  <c r="O145" i="275"/>
  <c r="O52" i="275" s="1"/>
  <c r="O103" i="275"/>
  <c r="I171" i="275"/>
  <c r="I186" i="275" s="1"/>
  <c r="S46" i="275"/>
  <c r="P153" i="275"/>
  <c r="P167" i="275"/>
  <c r="P166" i="275" s="1"/>
  <c r="W267" i="275"/>
  <c r="R277" i="275"/>
  <c r="R279" i="275" s="1"/>
  <c r="R33" i="275"/>
  <c r="V267" i="275"/>
  <c r="J167" i="275"/>
  <c r="J196" i="275"/>
  <c r="J168" i="275" s="1"/>
  <c r="O153" i="275"/>
  <c r="O167" i="275"/>
  <c r="M183" i="275"/>
  <c r="M182" i="275" s="1"/>
  <c r="M181" i="275" s="1"/>
  <c r="M179" i="275" s="1"/>
  <c r="M32" i="275" s="1"/>
  <c r="M193" i="275"/>
  <c r="M192" i="275" s="1"/>
  <c r="M151" i="275"/>
  <c r="O265" i="275"/>
  <c r="O48" i="275" s="1"/>
  <c r="O292" i="275"/>
  <c r="P160" i="275"/>
  <c r="P51" i="275"/>
  <c r="V167" i="275"/>
  <c r="J242" i="275"/>
  <c r="M277" i="275"/>
  <c r="M279" i="275" s="1"/>
  <c r="M33" i="275"/>
  <c r="P10" i="275"/>
  <c r="P1" i="275"/>
  <c r="P2" i="275"/>
  <c r="Q256" i="275"/>
  <c r="Q254" i="275" s="1"/>
  <c r="Q260" i="275" s="1"/>
  <c r="F409" i="112"/>
  <c r="Q514" i="112"/>
  <c r="Q516" i="112" s="1"/>
  <c r="Q519" i="112" s="1"/>
  <c r="H409" i="112"/>
  <c r="L399" i="112"/>
  <c r="L338" i="112"/>
  <c r="L331" i="112" s="1"/>
  <c r="R514" i="112"/>
  <c r="R516" i="112" s="1"/>
  <c r="R519" i="112" s="1"/>
  <c r="H390" i="112"/>
  <c r="H385" i="112" s="1"/>
  <c r="H375" i="112" s="1"/>
  <c r="H291" i="112" s="1"/>
  <c r="X362" i="112"/>
  <c r="P399" i="112"/>
  <c r="L420" i="112"/>
  <c r="I514" i="112"/>
  <c r="I516" i="112" s="1"/>
  <c r="I519" i="112" s="1"/>
  <c r="D338" i="112"/>
  <c r="D331" i="112" s="1"/>
  <c r="H399" i="112"/>
  <c r="H417" i="112"/>
  <c r="H367" i="112"/>
  <c r="H487" i="112" s="1"/>
  <c r="D409" i="112"/>
  <c r="H450" i="112"/>
  <c r="H412" i="112"/>
  <c r="D423" i="112"/>
  <c r="D420" i="112"/>
  <c r="L412" i="112"/>
  <c r="F399" i="112"/>
  <c r="P514" i="112"/>
  <c r="P516" i="112" s="1"/>
  <c r="P519" i="112" s="1"/>
  <c r="P423" i="112"/>
  <c r="F423" i="112"/>
  <c r="P409" i="112"/>
  <c r="F420" i="112"/>
  <c r="L390" i="112"/>
  <c r="L385" i="112" s="1"/>
  <c r="L375" i="112" s="1"/>
  <c r="H514" i="112"/>
  <c r="H516" i="112" s="1"/>
  <c r="L428" i="112"/>
  <c r="L362" i="112" s="1"/>
  <c r="L450" i="112"/>
  <c r="L423" i="112"/>
  <c r="L409" i="112"/>
  <c r="E428" i="112"/>
  <c r="E362" i="112" s="1"/>
  <c r="F390" i="112"/>
  <c r="F385" i="112" s="1"/>
  <c r="F375" i="112" s="1"/>
  <c r="F417" i="112"/>
  <c r="F367" i="112"/>
  <c r="F487" i="112" s="1"/>
  <c r="P219" i="112"/>
  <c r="P211" i="112" s="1"/>
  <c r="P338" i="112" s="1"/>
  <c r="P331" i="112" s="1"/>
  <c r="P8" i="112"/>
  <c r="P278" i="112" s="1"/>
  <c r="P367" i="112"/>
  <c r="P487" i="112" s="1"/>
  <c r="F412" i="112"/>
  <c r="F278" i="112"/>
  <c r="F450" i="112"/>
  <c r="H338" i="112"/>
  <c r="H331" i="112" s="1"/>
  <c r="H420" i="112"/>
  <c r="E514" i="112"/>
  <c r="E516" i="112" s="1"/>
  <c r="K514" i="112"/>
  <c r="K516" i="112" s="1"/>
  <c r="K519" i="112" s="1"/>
  <c r="H428" i="112"/>
  <c r="H362" i="112" s="1"/>
  <c r="P428" i="112"/>
  <c r="P362" i="112" s="1"/>
  <c r="P450" i="112"/>
  <c r="F338" i="112"/>
  <c r="F331" i="112" s="1"/>
  <c r="P121" i="112"/>
  <c r="D412" i="112"/>
  <c r="D390" i="112"/>
  <c r="D385" i="112" s="1"/>
  <c r="D375" i="112" s="1"/>
  <c r="D291" i="112" s="1"/>
  <c r="D399" i="112"/>
  <c r="D428" i="112"/>
  <c r="D362" i="112" s="1"/>
  <c r="D367" i="112"/>
  <c r="D487" i="112" s="1"/>
  <c r="J417" i="112"/>
  <c r="D417" i="112"/>
  <c r="J450" i="112"/>
  <c r="Q417" i="112"/>
  <c r="D121" i="112"/>
  <c r="D278" i="112"/>
  <c r="P390" i="112"/>
  <c r="P385" i="112" s="1"/>
  <c r="P375" i="112" s="1"/>
  <c r="H423" i="112"/>
  <c r="H278" i="112"/>
  <c r="W8" i="112"/>
  <c r="W191" i="112" s="1"/>
  <c r="J420" i="112"/>
  <c r="Q219" i="112"/>
  <c r="Q211" i="112" s="1"/>
  <c r="Q338" i="112" s="1"/>
  <c r="Q331" i="112" s="1"/>
  <c r="N8" i="112"/>
  <c r="N278" i="112" s="1"/>
  <c r="R409" i="112"/>
  <c r="Q412" i="112"/>
  <c r="N420" i="112"/>
  <c r="F514" i="112"/>
  <c r="F516" i="112" s="1"/>
  <c r="M514" i="112"/>
  <c r="M516" i="112" s="1"/>
  <c r="M519" i="112" s="1"/>
  <c r="Q390" i="112"/>
  <c r="Q385" i="112" s="1"/>
  <c r="Q375" i="112" s="1"/>
  <c r="Q291" i="112" s="1"/>
  <c r="Q8" i="112"/>
  <c r="R471" i="112" s="1"/>
  <c r="N367" i="112"/>
  <c r="N487" i="112" s="1"/>
  <c r="D8" i="112"/>
  <c r="G514" i="112"/>
  <c r="G516" i="112" s="1"/>
  <c r="Q428" i="112"/>
  <c r="Q362" i="112" s="1"/>
  <c r="T219" i="112"/>
  <c r="T211" i="112" s="1"/>
  <c r="T338" i="112" s="1"/>
  <c r="T331" i="112" s="1"/>
  <c r="N417" i="112"/>
  <c r="Q121" i="112"/>
  <c r="Q423" i="112"/>
  <c r="Q450" i="112"/>
  <c r="Q399" i="112"/>
  <c r="N409" i="112"/>
  <c r="N428" i="112"/>
  <c r="N362" i="112" s="1"/>
  <c r="T367" i="112"/>
  <c r="T487" i="112" s="1"/>
  <c r="T417" i="112"/>
  <c r="P417" i="112"/>
  <c r="J367" i="112"/>
  <c r="J487" i="112" s="1"/>
  <c r="E8" i="112"/>
  <c r="K399" i="112"/>
  <c r="K420" i="112"/>
  <c r="Q409" i="112"/>
  <c r="Q367" i="112"/>
  <c r="Q487" i="112" s="1"/>
  <c r="N423" i="112"/>
  <c r="N399" i="112"/>
  <c r="P412" i="112"/>
  <c r="N412" i="112"/>
  <c r="J278" i="112"/>
  <c r="T121" i="112"/>
  <c r="R121" i="112"/>
  <c r="X493" i="112"/>
  <c r="X489" i="112"/>
  <c r="X450" i="112"/>
  <c r="X399" i="112"/>
  <c r="X121" i="112"/>
  <c r="X367" i="112"/>
  <c r="X487" i="112" s="1"/>
  <c r="X420" i="112"/>
  <c r="X375" i="112"/>
  <c r="X219" i="112"/>
  <c r="X211" i="112" s="1"/>
  <c r="X417" i="112"/>
  <c r="X338" i="112"/>
  <c r="X331" i="112" s="1"/>
  <c r="R219" i="112"/>
  <c r="R211" i="112" s="1"/>
  <c r="R338" i="112" s="1"/>
  <c r="R331" i="112" s="1"/>
  <c r="T409" i="112"/>
  <c r="T450" i="112"/>
  <c r="R399" i="112"/>
  <c r="T412" i="112"/>
  <c r="X428" i="112"/>
  <c r="X291" i="112"/>
  <c r="H8" i="112"/>
  <c r="X412" i="112"/>
  <c r="X8" i="112"/>
  <c r="R450" i="112"/>
  <c r="E409" i="112"/>
  <c r="R417" i="112"/>
  <c r="R367" i="112"/>
  <c r="R487" i="112" s="1"/>
  <c r="R390" i="112"/>
  <c r="R385" i="112" s="1"/>
  <c r="R375" i="112" s="1"/>
  <c r="R291" i="112" s="1"/>
  <c r="K367" i="112"/>
  <c r="K487" i="112" s="1"/>
  <c r="T8" i="112"/>
  <c r="E390" i="112"/>
  <c r="E385" i="112" s="1"/>
  <c r="E375" i="112" s="1"/>
  <c r="E291" i="112" s="1"/>
  <c r="R412" i="112"/>
  <c r="T423" i="112"/>
  <c r="T399" i="112"/>
  <c r="R428" i="112"/>
  <c r="R362" i="112" s="1"/>
  <c r="T428" i="112"/>
  <c r="T362" i="112" s="1"/>
  <c r="R8" i="112"/>
  <c r="R15" i="112" s="1"/>
  <c r="L417" i="112"/>
  <c r="L367" i="112"/>
  <c r="L487" i="112" s="1"/>
  <c r="K409" i="112"/>
  <c r="N390" i="112"/>
  <c r="N385" i="112" s="1"/>
  <c r="N375" i="112" s="1"/>
  <c r="N291" i="112" s="1"/>
  <c r="N450" i="112"/>
  <c r="L514" i="112"/>
  <c r="L516" i="112" s="1"/>
  <c r="L519" i="112" s="1"/>
  <c r="R423" i="112"/>
  <c r="L8" i="112"/>
  <c r="L148" i="112" s="1"/>
  <c r="L147" i="112" s="1"/>
  <c r="L145" i="112" s="1"/>
  <c r="N338" i="112"/>
  <c r="N331" i="112" s="1"/>
  <c r="N514" i="112"/>
  <c r="N516" i="112" s="1"/>
  <c r="N519" i="112" s="1"/>
  <c r="T420" i="112"/>
  <c r="X390" i="112"/>
  <c r="X385" i="112" s="1"/>
  <c r="X423" i="112"/>
  <c r="Y8" i="112"/>
  <c r="J409" i="112"/>
  <c r="V1" i="112"/>
  <c r="V2" i="112"/>
  <c r="K417" i="112"/>
  <c r="K423" i="112"/>
  <c r="E450" i="112"/>
  <c r="J428" i="112"/>
  <c r="J362" i="112" s="1"/>
  <c r="J338" i="112"/>
  <c r="J331" i="112" s="1"/>
  <c r="E367" i="112"/>
  <c r="E487" i="112" s="1"/>
  <c r="E399" i="112"/>
  <c r="E420" i="112"/>
  <c r="J399" i="112"/>
  <c r="J8" i="112"/>
  <c r="J173" i="112" s="1"/>
  <c r="K412" i="112"/>
  <c r="E417" i="112"/>
  <c r="J514" i="112"/>
  <c r="J516" i="112" s="1"/>
  <c r="J519" i="112" s="1"/>
  <c r="O514" i="112"/>
  <c r="O516" i="112" s="1"/>
  <c r="O519" i="112" s="1"/>
  <c r="J390" i="112"/>
  <c r="J385" i="112" s="1"/>
  <c r="J375" i="112" s="1"/>
  <c r="F8" i="112"/>
  <c r="F148" i="112" s="1"/>
  <c r="F147" i="112" s="1"/>
  <c r="F233" i="112" s="1"/>
  <c r="T291" i="112"/>
  <c r="S121" i="112"/>
  <c r="S399" i="112"/>
  <c r="S420" i="112"/>
  <c r="S367" i="112"/>
  <c r="S487" i="112" s="1"/>
  <c r="S409" i="112"/>
  <c r="S423" i="112"/>
  <c r="S390" i="112"/>
  <c r="S385" i="112" s="1"/>
  <c r="S375" i="112" s="1"/>
  <c r="S417" i="112"/>
  <c r="S450" i="112"/>
  <c r="S219" i="112"/>
  <c r="S211" i="112" s="1"/>
  <c r="S338" i="112" s="1"/>
  <c r="S331" i="112" s="1"/>
  <c r="S412" i="112"/>
  <c r="S428" i="112"/>
  <c r="S362" i="112" s="1"/>
  <c r="D514" i="112"/>
  <c r="D516" i="112" s="1"/>
  <c r="J121" i="112"/>
  <c r="J423" i="112"/>
  <c r="S8" i="112"/>
  <c r="S15" i="112" s="1"/>
  <c r="E412" i="112"/>
  <c r="E338" i="112"/>
  <c r="E331" i="112" s="1"/>
  <c r="E278" i="112"/>
  <c r="E121" i="112"/>
  <c r="I367" i="112"/>
  <c r="I487" i="112" s="1"/>
  <c r="I409" i="112"/>
  <c r="I412" i="112"/>
  <c r="I450" i="112"/>
  <c r="I278" i="112"/>
  <c r="I428" i="112"/>
  <c r="I362" i="112" s="1"/>
  <c r="I121" i="112"/>
  <c r="I399" i="112"/>
  <c r="I390" i="112"/>
  <c r="I385" i="112" s="1"/>
  <c r="I375" i="112" s="1"/>
  <c r="I291" i="112" s="1"/>
  <c r="K121" i="112"/>
  <c r="K450" i="112"/>
  <c r="K8" i="112"/>
  <c r="K278" i="112" s="1"/>
  <c r="K428" i="112"/>
  <c r="K362" i="112" s="1"/>
  <c r="K338" i="112"/>
  <c r="K331" i="112" s="1"/>
  <c r="I8" i="112"/>
  <c r="I148" i="112" s="1"/>
  <c r="I147" i="112" s="1"/>
  <c r="I233" i="112" s="1"/>
  <c r="I420" i="112"/>
  <c r="I417" i="112"/>
  <c r="I338" i="112"/>
  <c r="I331" i="112" s="1"/>
  <c r="V8" i="112"/>
  <c r="K385" i="112"/>
  <c r="K375" i="112" s="1"/>
  <c r="U219" i="112"/>
  <c r="U211" i="112" s="1"/>
  <c r="U338" i="112" s="1"/>
  <c r="U331" i="112" s="1"/>
  <c r="U409" i="112"/>
  <c r="U417" i="112"/>
  <c r="U423" i="112"/>
  <c r="U367" i="112"/>
  <c r="U487" i="112" s="1"/>
  <c r="U8" i="112"/>
  <c r="U390" i="112"/>
  <c r="U385" i="112" s="1"/>
  <c r="U375" i="112" s="1"/>
  <c r="U412" i="112"/>
  <c r="U399" i="112"/>
  <c r="U428" i="112"/>
  <c r="U362" i="112" s="1"/>
  <c r="U450" i="112"/>
  <c r="U420" i="112"/>
  <c r="M420" i="112"/>
  <c r="M8" i="112"/>
  <c r="M278" i="112" s="1"/>
  <c r="M390" i="112"/>
  <c r="M385" i="112" s="1"/>
  <c r="M375" i="112" s="1"/>
  <c r="M423" i="112"/>
  <c r="M450" i="112"/>
  <c r="M399" i="112"/>
  <c r="M409" i="112"/>
  <c r="M417" i="112"/>
  <c r="M412" i="112"/>
  <c r="M367" i="112"/>
  <c r="M487" i="112" s="1"/>
  <c r="M428" i="112"/>
  <c r="M362" i="112" s="1"/>
  <c r="M121" i="112"/>
  <c r="M338" i="112"/>
  <c r="M331" i="112" s="1"/>
  <c r="D69" i="112"/>
  <c r="G420" i="112"/>
  <c r="G390" i="112"/>
  <c r="G385" i="112" s="1"/>
  <c r="G375" i="112" s="1"/>
  <c r="G423" i="112"/>
  <c r="G8" i="112"/>
  <c r="G450" i="112"/>
  <c r="G412" i="112"/>
  <c r="G417" i="112"/>
  <c r="G399" i="112"/>
  <c r="G409" i="112"/>
  <c r="G121" i="112"/>
  <c r="G367" i="112"/>
  <c r="G487" i="112" s="1"/>
  <c r="G278" i="112"/>
  <c r="G428" i="112"/>
  <c r="G362" i="112" s="1"/>
  <c r="G338" i="112"/>
  <c r="G331" i="112" s="1"/>
  <c r="O420" i="112"/>
  <c r="O390" i="112"/>
  <c r="O385" i="112" s="1"/>
  <c r="O375" i="112" s="1"/>
  <c r="O423" i="112"/>
  <c r="O450" i="112"/>
  <c r="O412" i="112"/>
  <c r="O417" i="112"/>
  <c r="O367" i="112"/>
  <c r="O487" i="112" s="1"/>
  <c r="O428" i="112"/>
  <c r="O362" i="112" s="1"/>
  <c r="O409" i="112"/>
  <c r="O121" i="112"/>
  <c r="O399" i="112"/>
  <c r="O8" i="112"/>
  <c r="O278" i="112" s="1"/>
  <c r="O338" i="112"/>
  <c r="O331" i="112" s="1"/>
  <c r="T176" i="277" l="1"/>
  <c r="R32" i="277"/>
  <c r="O48" i="277"/>
  <c r="G175" i="277"/>
  <c r="G174" i="277" s="1"/>
  <c r="G53" i="277" s="1"/>
  <c r="P10" i="277"/>
  <c r="S176" i="277"/>
  <c r="P2" i="277"/>
  <c r="S175" i="277"/>
  <c r="S174" i="277" s="1"/>
  <c r="S53" i="277" s="1"/>
  <c r="G176" i="277"/>
  <c r="O102" i="277"/>
  <c r="N48" i="277"/>
  <c r="H48" i="277"/>
  <c r="W33" i="277"/>
  <c r="H176" i="277"/>
  <c r="L103" i="275"/>
  <c r="I1" i="277"/>
  <c r="G1" i="277"/>
  <c r="O248" i="277"/>
  <c r="O267" i="277"/>
  <c r="H138" i="277"/>
  <c r="H137" i="277" s="1"/>
  <c r="S95" i="277"/>
  <c r="R56" i="277"/>
  <c r="R55" i="277" s="1"/>
  <c r="N95" i="277"/>
  <c r="R46" i="277"/>
  <c r="R33" i="277"/>
  <c r="R128" i="277" s="1"/>
  <c r="L95" i="277"/>
  <c r="L145" i="275"/>
  <c r="L52" i="275" s="1"/>
  <c r="O141" i="277"/>
  <c r="O140" i="277" s="1"/>
  <c r="AD142" i="277" s="1"/>
  <c r="AE142" i="277" s="1"/>
  <c r="V142" i="277" s="1"/>
  <c r="V140" i="277" s="1"/>
  <c r="V231" i="277" s="1"/>
  <c r="V229" i="277" s="1"/>
  <c r="O171" i="277"/>
  <c r="O186" i="277" s="1"/>
  <c r="D138" i="277"/>
  <c r="D137" i="277" s="1"/>
  <c r="U95" i="277"/>
  <c r="O153" i="277"/>
  <c r="O167" i="277"/>
  <c r="O166" i="277" s="1"/>
  <c r="O176" i="277" s="1"/>
  <c r="F95" i="277"/>
  <c r="O277" i="277"/>
  <c r="O279" i="277" s="1"/>
  <c r="E95" i="277"/>
  <c r="I95" i="277"/>
  <c r="M95" i="277"/>
  <c r="Q95" i="277"/>
  <c r="O297" i="277"/>
  <c r="O258" i="277" s="1"/>
  <c r="K95" i="277"/>
  <c r="P175" i="277"/>
  <c r="P174" i="277" s="1"/>
  <c r="P53" i="277" s="1"/>
  <c r="P267" i="277"/>
  <c r="P266" i="277" s="1"/>
  <c r="T95" i="277"/>
  <c r="O145" i="277"/>
  <c r="O46" i="277" s="1"/>
  <c r="O69" i="277"/>
  <c r="O233" i="277"/>
  <c r="O103" i="277"/>
  <c r="P95" i="277"/>
  <c r="R95" i="277"/>
  <c r="P176" i="277"/>
  <c r="G95" i="277"/>
  <c r="J95" i="277"/>
  <c r="O184" i="277"/>
  <c r="H95" i="277"/>
  <c r="D95" i="277"/>
  <c r="O175" i="277"/>
  <c r="O174" i="277" s="1"/>
  <c r="O53" i="277" s="1"/>
  <c r="L138" i="277"/>
  <c r="L137" i="277" s="1"/>
  <c r="E48" i="277"/>
  <c r="E175" i="277"/>
  <c r="E174" i="277" s="1"/>
  <c r="E53" i="277" s="1"/>
  <c r="M36" i="277"/>
  <c r="W36" i="277"/>
  <c r="I176" i="277"/>
  <c r="Y36" i="277"/>
  <c r="N126" i="277"/>
  <c r="S201" i="277"/>
  <c r="S200" i="277" s="1"/>
  <c r="S198" i="277" s="1"/>
  <c r="S251" i="277"/>
  <c r="S250" i="277" s="1"/>
  <c r="I175" i="277"/>
  <c r="I174" i="277" s="1"/>
  <c r="I53" i="277" s="1"/>
  <c r="S252" i="277"/>
  <c r="S195" i="277"/>
  <c r="S169" i="277" s="1"/>
  <c r="D260" i="277"/>
  <c r="D263" i="277" s="1"/>
  <c r="J260" i="277"/>
  <c r="J232" i="277" s="1"/>
  <c r="J234" i="277" s="1"/>
  <c r="H260" i="277"/>
  <c r="H263" i="277" s="1"/>
  <c r="Y192" i="277"/>
  <c r="J48" i="277"/>
  <c r="Q48" i="277"/>
  <c r="Q176" i="277"/>
  <c r="G127" i="277"/>
  <c r="H242" i="275"/>
  <c r="L171" i="275"/>
  <c r="L186" i="275" s="1"/>
  <c r="L196" i="275"/>
  <c r="L168" i="275" s="1"/>
  <c r="M267" i="275"/>
  <c r="M195" i="275" s="1"/>
  <c r="M169" i="275" s="1"/>
  <c r="R193" i="275"/>
  <c r="R192" i="275" s="1"/>
  <c r="R183" i="275"/>
  <c r="R182" i="275" s="1"/>
  <c r="R181" i="275" s="1"/>
  <c r="R179" i="275" s="1"/>
  <c r="R32" i="275" s="1"/>
  <c r="R127" i="275" s="1"/>
  <c r="H196" i="275"/>
  <c r="H168" i="275" s="1"/>
  <c r="L79" i="275"/>
  <c r="H157" i="275"/>
  <c r="H155" i="275" s="1"/>
  <c r="H153" i="275" s="1"/>
  <c r="H193" i="275" s="1"/>
  <c r="X209" i="275"/>
  <c r="L242" i="275"/>
  <c r="L266" i="275"/>
  <c r="H266" i="275"/>
  <c r="H288" i="275"/>
  <c r="L250" i="275"/>
  <c r="L248" i="275" s="1"/>
  <c r="L256" i="275" s="1"/>
  <c r="L254" i="275" s="1"/>
  <c r="H167" i="275"/>
  <c r="L288" i="275"/>
  <c r="L140" i="275"/>
  <c r="H52" i="275"/>
  <c r="H34" i="275"/>
  <c r="M265" i="275"/>
  <c r="M175" i="275" s="1"/>
  <c r="M174" i="275" s="1"/>
  <c r="M53" i="275" s="1"/>
  <c r="L229" i="275"/>
  <c r="L234" i="275" s="1"/>
  <c r="L270" i="275" s="1"/>
  <c r="H137" i="275"/>
  <c r="L202" i="275"/>
  <c r="H140" i="275"/>
  <c r="H202" i="275"/>
  <c r="H200" i="275" s="1"/>
  <c r="H195" i="275"/>
  <c r="H169" i="275" s="1"/>
  <c r="H250" i="275"/>
  <c r="H248" i="275" s="1"/>
  <c r="H256" i="275" s="1"/>
  <c r="H254" i="275" s="1"/>
  <c r="H171" i="275"/>
  <c r="H186" i="275" s="1"/>
  <c r="H229" i="275"/>
  <c r="H234" i="275" s="1"/>
  <c r="H235" i="275" s="1"/>
  <c r="L137" i="275"/>
  <c r="V209" i="275"/>
  <c r="V292" i="275"/>
  <c r="V287" i="275" s="1"/>
  <c r="W209" i="275"/>
  <c r="Y209" i="275"/>
  <c r="R48" i="275"/>
  <c r="R176" i="275"/>
  <c r="L167" i="275"/>
  <c r="P46" i="275"/>
  <c r="N175" i="275"/>
  <c r="N174" i="275" s="1"/>
  <c r="N53" i="275" s="1"/>
  <c r="X192" i="275"/>
  <c r="AD142" i="275"/>
  <c r="AE142" i="275" s="1"/>
  <c r="V142" i="275" s="1"/>
  <c r="V140" i="275" s="1"/>
  <c r="V231" i="275" s="1"/>
  <c r="V229" i="275" s="1"/>
  <c r="W53" i="275"/>
  <c r="W177" i="275" s="1"/>
  <c r="W174" i="275" s="1"/>
  <c r="S48" i="275"/>
  <c r="S175" i="275"/>
  <c r="S174" i="275" s="1"/>
  <c r="S53" i="275" s="1"/>
  <c r="T232" i="275"/>
  <c r="T234" i="275" s="1"/>
  <c r="T235" i="275" s="1"/>
  <c r="Q281" i="275"/>
  <c r="Q227" i="275" s="1"/>
  <c r="G263" i="277"/>
  <c r="U281" i="277"/>
  <c r="U227" i="277" s="1"/>
  <c r="J176" i="277"/>
  <c r="L151" i="275"/>
  <c r="L176" i="277"/>
  <c r="M48" i="277"/>
  <c r="U36" i="277"/>
  <c r="S281" i="277"/>
  <c r="S227" i="277" s="1"/>
  <c r="M175" i="277"/>
  <c r="M174" i="277" s="1"/>
  <c r="M53" i="277" s="1"/>
  <c r="N127" i="277"/>
  <c r="G128" i="277"/>
  <c r="L48" i="277"/>
  <c r="L260" i="277"/>
  <c r="L263" i="277" s="1"/>
  <c r="K281" i="277"/>
  <c r="K227" i="277" s="1"/>
  <c r="K34" i="277" s="1"/>
  <c r="I36" i="277"/>
  <c r="D56" i="277"/>
  <c r="D55" i="277" s="1"/>
  <c r="E281" i="277"/>
  <c r="E227" i="277" s="1"/>
  <c r="E34" i="277" s="1"/>
  <c r="R128" i="275"/>
  <c r="T128" i="275"/>
  <c r="T127" i="275"/>
  <c r="V172" i="275"/>
  <c r="V174" i="275"/>
  <c r="V173" i="275"/>
  <c r="V171" i="275" s="1"/>
  <c r="V186" i="275" s="1"/>
  <c r="V185" i="275" s="1"/>
  <c r="O56" i="275"/>
  <c r="O55" i="275" s="1"/>
  <c r="P176" i="275"/>
  <c r="P48" i="275"/>
  <c r="Q36" i="275"/>
  <c r="R281" i="275"/>
  <c r="R227" i="275" s="1"/>
  <c r="U46" i="275"/>
  <c r="T281" i="275"/>
  <c r="T227" i="275" s="1"/>
  <c r="M281" i="277"/>
  <c r="M227" i="277" s="1"/>
  <c r="K251" i="277"/>
  <c r="K250" i="277" s="1"/>
  <c r="P56" i="277"/>
  <c r="T56" i="277"/>
  <c r="T55" i="277" s="1"/>
  <c r="R127" i="277"/>
  <c r="Q281" i="277"/>
  <c r="Q227" i="277" s="1"/>
  <c r="V287" i="277"/>
  <c r="M263" i="277"/>
  <c r="M232" i="277"/>
  <c r="M234" i="277" s="1"/>
  <c r="U263" i="277"/>
  <c r="U232" i="277"/>
  <c r="U234" i="277" s="1"/>
  <c r="M266" i="277"/>
  <c r="M195" i="277"/>
  <c r="M169" i="277" s="1"/>
  <c r="M201" i="277"/>
  <c r="M251" i="277"/>
  <c r="M250" i="277" s="1"/>
  <c r="M252" i="277"/>
  <c r="J160" i="277"/>
  <c r="J46" i="277" s="1"/>
  <c r="J51" i="277"/>
  <c r="J76" i="277"/>
  <c r="K55" i="277"/>
  <c r="G31" i="277"/>
  <c r="G36" i="277"/>
  <c r="T266" i="277"/>
  <c r="T195" i="277"/>
  <c r="T169" i="277" s="1"/>
  <c r="T252" i="277"/>
  <c r="T251" i="277"/>
  <c r="T250" i="277" s="1"/>
  <c r="T201" i="277"/>
  <c r="H225" i="277"/>
  <c r="H193" i="277"/>
  <c r="H192" i="277" s="1"/>
  <c r="H183" i="277"/>
  <c r="H182" i="277" s="1"/>
  <c r="H181" i="277" s="1"/>
  <c r="H179" i="277" s="1"/>
  <c r="H32" i="277" s="1"/>
  <c r="H127" i="277" s="1"/>
  <c r="H151" i="277"/>
  <c r="V193" i="277"/>
  <c r="V151" i="277"/>
  <c r="V183" i="277"/>
  <c r="V182" i="277" s="1"/>
  <c r="S127" i="277"/>
  <c r="I263" i="277"/>
  <c r="I232" i="277"/>
  <c r="I234" i="277" s="1"/>
  <c r="P256" i="277"/>
  <c r="P254" i="277" s="1"/>
  <c r="P260" i="277" s="1"/>
  <c r="X277" i="277"/>
  <c r="X279" i="277" s="1"/>
  <c r="X33" i="277"/>
  <c r="N263" i="277"/>
  <c r="N232" i="277"/>
  <c r="N234" i="277" s="1"/>
  <c r="T277" i="277"/>
  <c r="T279" i="277" s="1"/>
  <c r="T33" i="277"/>
  <c r="T128" i="277" s="1"/>
  <c r="J225" i="277"/>
  <c r="J183" i="277"/>
  <c r="J182" i="277" s="1"/>
  <c r="J181" i="277" s="1"/>
  <c r="J179" i="277" s="1"/>
  <c r="J32" i="277" s="1"/>
  <c r="J127" i="277" s="1"/>
  <c r="J151" i="277"/>
  <c r="J193" i="277"/>
  <c r="J192" i="277" s="1"/>
  <c r="G55" i="277"/>
  <c r="F128" i="277"/>
  <c r="I266" i="277"/>
  <c r="I195" i="277"/>
  <c r="I169" i="277" s="1"/>
  <c r="I251" i="277"/>
  <c r="I250" i="277" s="1"/>
  <c r="I252" i="277"/>
  <c r="I201" i="277"/>
  <c r="F127" i="277"/>
  <c r="K36" i="277"/>
  <c r="P46" i="277"/>
  <c r="Q36" i="277"/>
  <c r="P277" i="277"/>
  <c r="P279" i="277" s="1"/>
  <c r="P33" i="277"/>
  <c r="F175" i="277"/>
  <c r="F174" i="277" s="1"/>
  <c r="F53" i="277" s="1"/>
  <c r="F176" i="277"/>
  <c r="F48" i="277"/>
  <c r="F256" i="277"/>
  <c r="F260" i="277"/>
  <c r="F281" i="277"/>
  <c r="F227" i="277" s="1"/>
  <c r="K200" i="277"/>
  <c r="K198" i="277" s="1"/>
  <c r="K207" i="277"/>
  <c r="K206" i="277" s="1"/>
  <c r="H256" i="277"/>
  <c r="K263" i="277"/>
  <c r="K232" i="277"/>
  <c r="K234" i="277" s="1"/>
  <c r="T183" i="277"/>
  <c r="T182" i="277" s="1"/>
  <c r="T181" i="277" s="1"/>
  <c r="T179" i="277" s="1"/>
  <c r="T32" i="277" s="1"/>
  <c r="T127" i="277" s="1"/>
  <c r="T225" i="277"/>
  <c r="T193" i="277"/>
  <c r="T192" i="277" s="1"/>
  <c r="T151" i="277"/>
  <c r="E256" i="277"/>
  <c r="K175" i="277"/>
  <c r="K174" i="277" s="1"/>
  <c r="K53" i="277" s="1"/>
  <c r="K176" i="277"/>
  <c r="K48" i="277"/>
  <c r="Q266" i="277"/>
  <c r="Q195" i="277"/>
  <c r="Q169" i="277" s="1"/>
  <c r="Q252" i="277"/>
  <c r="Q251" i="277"/>
  <c r="Q250" i="277" s="1"/>
  <c r="Q201" i="277"/>
  <c r="D140" i="277"/>
  <c r="N128" i="277"/>
  <c r="F266" i="277"/>
  <c r="F195" i="277"/>
  <c r="F169" i="277" s="1"/>
  <c r="F201" i="277"/>
  <c r="F251" i="277"/>
  <c r="F250" i="277" s="1"/>
  <c r="D256" i="277"/>
  <c r="H266" i="277"/>
  <c r="H195" i="277"/>
  <c r="H169" i="277" s="1"/>
  <c r="H201" i="277"/>
  <c r="H251" i="277"/>
  <c r="H250" i="277" s="1"/>
  <c r="H252" i="277"/>
  <c r="P225" i="277"/>
  <c r="P151" i="277"/>
  <c r="P193" i="277"/>
  <c r="P192" i="277" s="1"/>
  <c r="P183" i="277"/>
  <c r="P182" i="277" s="1"/>
  <c r="P181" i="277" s="1"/>
  <c r="P179" i="277" s="1"/>
  <c r="P32" i="277" s="1"/>
  <c r="X195" i="277"/>
  <c r="X169" i="277" s="1"/>
  <c r="M55" i="277"/>
  <c r="D160" i="277"/>
  <c r="D46" i="277" s="1"/>
  <c r="D51" i="277"/>
  <c r="D277" i="277"/>
  <c r="D279" i="277" s="1"/>
  <c r="D33" i="277"/>
  <c r="D128" i="277" s="1"/>
  <c r="H51" i="277"/>
  <c r="H160" i="277"/>
  <c r="H46" i="277" s="1"/>
  <c r="H76" i="277"/>
  <c r="I281" i="277"/>
  <c r="I227" i="277" s="1"/>
  <c r="E36" i="277"/>
  <c r="T46" i="277"/>
  <c r="E266" i="277"/>
  <c r="E195" i="277"/>
  <c r="E169" i="277" s="1"/>
  <c r="E251" i="277"/>
  <c r="E250" i="277" s="1"/>
  <c r="E201" i="277"/>
  <c r="R31" i="277"/>
  <c r="R126" i="277" s="1"/>
  <c r="R36" i="277"/>
  <c r="L193" i="277"/>
  <c r="L192" i="277" s="1"/>
  <c r="L183" i="277"/>
  <c r="L182" i="277" s="1"/>
  <c r="L181" i="277" s="1"/>
  <c r="L179" i="277" s="1"/>
  <c r="L32" i="277" s="1"/>
  <c r="L127" i="277" s="1"/>
  <c r="L225" i="277"/>
  <c r="L151" i="277"/>
  <c r="X287" i="277"/>
  <c r="Q256" i="277"/>
  <c r="Q254" i="277" s="1"/>
  <c r="Q260" i="277" s="1"/>
  <c r="N227" i="277"/>
  <c r="D195" i="277"/>
  <c r="D169" i="277" s="1"/>
  <c r="D266" i="277"/>
  <c r="D251" i="277"/>
  <c r="D201" i="277"/>
  <c r="U200" i="277"/>
  <c r="U198" i="277" s="1"/>
  <c r="V207" i="277"/>
  <c r="F31" i="277"/>
  <c r="F126" i="277" s="1"/>
  <c r="F36" i="277"/>
  <c r="J277" i="277"/>
  <c r="J279" i="277" s="1"/>
  <c r="J33" i="277"/>
  <c r="J128" i="277" s="1"/>
  <c r="H52" i="277"/>
  <c r="D225" i="277"/>
  <c r="D183" i="277"/>
  <c r="D182" i="277" s="1"/>
  <c r="D181" i="277" s="1"/>
  <c r="D179" i="277" s="1"/>
  <c r="D32" i="277" s="1"/>
  <c r="D127" i="277" s="1"/>
  <c r="D193" i="277"/>
  <c r="D192" i="277" s="1"/>
  <c r="D151" i="277"/>
  <c r="L266" i="277"/>
  <c r="L195" i="277"/>
  <c r="L169" i="277" s="1"/>
  <c r="L251" i="277"/>
  <c r="L250" i="277" s="1"/>
  <c r="L201" i="277"/>
  <c r="L252" i="277"/>
  <c r="G200" i="277"/>
  <c r="G198" i="277" s="1"/>
  <c r="G207" i="277"/>
  <c r="G206" i="277" s="1"/>
  <c r="N10" i="277"/>
  <c r="N1" i="277"/>
  <c r="N2" i="277"/>
  <c r="L52" i="277"/>
  <c r="G281" i="277"/>
  <c r="G227" i="277" s="1"/>
  <c r="W192" i="277"/>
  <c r="L256" i="277"/>
  <c r="O290" i="277"/>
  <c r="M290" i="277"/>
  <c r="U175" i="277"/>
  <c r="U174" i="277" s="1"/>
  <c r="U53" i="277" s="1"/>
  <c r="V53" i="277" s="1"/>
  <c r="U48" i="277"/>
  <c r="U176" i="277"/>
  <c r="H277" i="277"/>
  <c r="H279" i="277" s="1"/>
  <c r="H33" i="277"/>
  <c r="H128" i="277" s="1"/>
  <c r="R281" i="277"/>
  <c r="E260" i="277"/>
  <c r="J266" i="277"/>
  <c r="J195" i="277"/>
  <c r="J169" i="277" s="1"/>
  <c r="J201" i="277"/>
  <c r="J251" i="277"/>
  <c r="J250" i="277" s="1"/>
  <c r="J252" i="277"/>
  <c r="R256" i="277"/>
  <c r="R254" i="277" s="1"/>
  <c r="R260" i="277" s="1"/>
  <c r="R176" i="277"/>
  <c r="R175" i="277"/>
  <c r="R174" i="277" s="1"/>
  <c r="R53" i="277" s="1"/>
  <c r="R48" i="277"/>
  <c r="N200" i="277"/>
  <c r="N207" i="277"/>
  <c r="N206" i="277" s="1"/>
  <c r="L277" i="277"/>
  <c r="L279" i="277" s="1"/>
  <c r="L33" i="277"/>
  <c r="L128" i="277" s="1"/>
  <c r="L160" i="277"/>
  <c r="L46" i="277" s="1"/>
  <c r="L51" i="277"/>
  <c r="L76" i="277"/>
  <c r="V195" i="277"/>
  <c r="V169" i="277" s="1"/>
  <c r="X193" i="277"/>
  <c r="X151" i="277"/>
  <c r="X183" i="277"/>
  <c r="X182" i="277" s="1"/>
  <c r="J256" i="277"/>
  <c r="R266" i="277"/>
  <c r="R195" i="277"/>
  <c r="R169" i="277" s="1"/>
  <c r="R252" i="277"/>
  <c r="R201" i="277"/>
  <c r="R251" i="277"/>
  <c r="R250" i="277" s="1"/>
  <c r="G235" i="277"/>
  <c r="H56" i="277"/>
  <c r="S263" i="277"/>
  <c r="S232" i="277"/>
  <c r="S234" i="277" s="1"/>
  <c r="T256" i="277"/>
  <c r="T254" i="277" s="1"/>
  <c r="T260" i="277" s="1"/>
  <c r="S31" i="277"/>
  <c r="S36" i="277"/>
  <c r="V277" i="277"/>
  <c r="V279" i="277" s="1"/>
  <c r="V33" i="277"/>
  <c r="V128" i="277" s="1"/>
  <c r="T223" i="112"/>
  <c r="T222" i="112" s="1"/>
  <c r="T66" i="112"/>
  <c r="H289" i="112"/>
  <c r="E207" i="275"/>
  <c r="E206" i="275" s="1"/>
  <c r="D250" i="275"/>
  <c r="D248" i="275" s="1"/>
  <c r="D256" i="275" s="1"/>
  <c r="D254" i="275" s="1"/>
  <c r="D140" i="275"/>
  <c r="D171" i="275"/>
  <c r="D186" i="275" s="1"/>
  <c r="D242" i="275"/>
  <c r="D137" i="275"/>
  <c r="D229" i="275"/>
  <c r="D234" i="275" s="1"/>
  <c r="D270" i="275" s="1"/>
  <c r="E151" i="275"/>
  <c r="E31" i="275" s="1"/>
  <c r="E56" i="275"/>
  <c r="E166" i="275"/>
  <c r="E162" i="275" s="1"/>
  <c r="E183" i="275" s="1"/>
  <c r="E182" i="275" s="1"/>
  <c r="E181" i="275" s="1"/>
  <c r="E179" i="275" s="1"/>
  <c r="E32" i="275" s="1"/>
  <c r="E287" i="275"/>
  <c r="D34" i="275"/>
  <c r="E260" i="275"/>
  <c r="E263" i="275" s="1"/>
  <c r="D157" i="275"/>
  <c r="D155" i="275" s="1"/>
  <c r="D153" i="275" s="1"/>
  <c r="D151" i="275" s="1"/>
  <c r="D31" i="275" s="1"/>
  <c r="D126" i="275" s="1"/>
  <c r="D174" i="275"/>
  <c r="D288" i="275"/>
  <c r="D292" i="275"/>
  <c r="D196" i="275"/>
  <c r="D168" i="275" s="1"/>
  <c r="F229" i="275"/>
  <c r="F234" i="275" s="1"/>
  <c r="I56" i="275"/>
  <c r="Q95" i="275"/>
  <c r="D167" i="275"/>
  <c r="F175" i="275"/>
  <c r="G175" i="275" s="1"/>
  <c r="U95" i="275"/>
  <c r="F242" i="275"/>
  <c r="M95" i="275"/>
  <c r="G229" i="275"/>
  <c r="G234" i="275" s="1"/>
  <c r="L95" i="275"/>
  <c r="N95" i="275"/>
  <c r="P95" i="275"/>
  <c r="D95" i="275"/>
  <c r="D88" i="275" s="1"/>
  <c r="D103" i="275" s="1"/>
  <c r="R95" i="275"/>
  <c r="T95" i="275"/>
  <c r="S95" i="275"/>
  <c r="D202" i="275"/>
  <c r="D200" i="275" s="1"/>
  <c r="F140" i="275"/>
  <c r="E270" i="275"/>
  <c r="F250" i="275"/>
  <c r="F248" i="275" s="1"/>
  <c r="F256" i="275" s="1"/>
  <c r="F254" i="275" s="1"/>
  <c r="I234" i="275"/>
  <c r="I270" i="275" s="1"/>
  <c r="G196" i="275"/>
  <c r="G168" i="275" s="1"/>
  <c r="E192" i="275"/>
  <c r="E190" i="275" s="1"/>
  <c r="E189" i="275" s="1"/>
  <c r="L192" i="275"/>
  <c r="F288" i="275"/>
  <c r="AG142" i="275"/>
  <c r="F202" i="275"/>
  <c r="F200" i="275" s="1"/>
  <c r="J193" i="275"/>
  <c r="J151" i="275"/>
  <c r="J31" i="275" s="1"/>
  <c r="N127" i="275"/>
  <c r="Y192" i="275"/>
  <c r="G202" i="275"/>
  <c r="G200" i="275" s="1"/>
  <c r="G34" i="275"/>
  <c r="F171" i="275"/>
  <c r="F186" i="275" s="1"/>
  <c r="F267" i="275"/>
  <c r="Q55" i="275"/>
  <c r="T2" i="275"/>
  <c r="T1" i="275"/>
  <c r="T10" i="275"/>
  <c r="U256" i="275"/>
  <c r="U254" i="275" s="1"/>
  <c r="G157" i="275"/>
  <c r="G155" i="275" s="1"/>
  <c r="G153" i="275" s="1"/>
  <c r="Q263" i="275"/>
  <c r="Q232" i="275"/>
  <c r="Q234" i="275" s="1"/>
  <c r="U266" i="275"/>
  <c r="U195" i="275"/>
  <c r="U169" i="275" s="1"/>
  <c r="U252" i="275"/>
  <c r="U251" i="275"/>
  <c r="U250" i="275" s="1"/>
  <c r="U201" i="275"/>
  <c r="W195" i="275"/>
  <c r="W169" i="275" s="1"/>
  <c r="K270" i="275"/>
  <c r="K235" i="275"/>
  <c r="V277" i="275"/>
  <c r="V279" i="275" s="1"/>
  <c r="V33" i="275"/>
  <c r="Q266" i="275"/>
  <c r="Q195" i="275"/>
  <c r="Q169" i="275" s="1"/>
  <c r="Q201" i="275"/>
  <c r="Q252" i="275"/>
  <c r="Q251" i="275"/>
  <c r="Q250" i="275" s="1"/>
  <c r="K260" i="275"/>
  <c r="K263" i="275" s="1"/>
  <c r="K56" i="275"/>
  <c r="G171" i="275"/>
  <c r="G186" i="275" s="1"/>
  <c r="P256" i="275"/>
  <c r="P254" i="275" s="1"/>
  <c r="P260" i="275" s="1"/>
  <c r="F196" i="275"/>
  <c r="F168" i="275" s="1"/>
  <c r="Q176" i="275"/>
  <c r="Q175" i="275"/>
  <c r="Q174" i="275" s="1"/>
  <c r="Q53" i="275" s="1"/>
  <c r="Q48" i="275"/>
  <c r="X277" i="275"/>
  <c r="X279" i="275" s="1"/>
  <c r="X33" i="275"/>
  <c r="O256" i="275"/>
  <c r="O254" i="275" s="1"/>
  <c r="O260" i="275" s="1"/>
  <c r="N31" i="275"/>
  <c r="N36" i="275"/>
  <c r="R31" i="275"/>
  <c r="R126" i="275" s="1"/>
  <c r="R36" i="275"/>
  <c r="M281" i="275"/>
  <c r="T55" i="275"/>
  <c r="S128" i="275"/>
  <c r="G140" i="275"/>
  <c r="G267" i="275"/>
  <c r="G250" i="275"/>
  <c r="G248" i="275" s="1"/>
  <c r="G256" i="275" s="1"/>
  <c r="G254" i="275" s="1"/>
  <c r="P266" i="275"/>
  <c r="P195" i="275"/>
  <c r="P169" i="275" s="1"/>
  <c r="P251" i="275"/>
  <c r="P250" i="275" s="1"/>
  <c r="P252" i="275"/>
  <c r="O46" i="275"/>
  <c r="N266" i="275"/>
  <c r="N195" i="275"/>
  <c r="N169" i="275" s="1"/>
  <c r="N251" i="275"/>
  <c r="N250" i="275" s="1"/>
  <c r="N201" i="275"/>
  <c r="N252" i="275"/>
  <c r="J266" i="275"/>
  <c r="J195" i="275"/>
  <c r="J169" i="275" s="1"/>
  <c r="J166" i="275" s="1"/>
  <c r="J162" i="275" s="1"/>
  <c r="T31" i="275"/>
  <c r="T36" i="275"/>
  <c r="R55" i="275"/>
  <c r="O266" i="275"/>
  <c r="O195" i="275"/>
  <c r="O169" i="275" s="1"/>
  <c r="O251" i="275"/>
  <c r="O250" i="275" s="1"/>
  <c r="O252" i="275"/>
  <c r="I193" i="275"/>
  <c r="I151" i="275"/>
  <c r="I31" i="275" s="1"/>
  <c r="K266" i="275"/>
  <c r="K195" i="275"/>
  <c r="K169" i="275" s="1"/>
  <c r="K166" i="275" s="1"/>
  <c r="K162" i="275" s="1"/>
  <c r="N128" i="275"/>
  <c r="J260" i="275"/>
  <c r="J263" i="275" s="1"/>
  <c r="J56" i="275"/>
  <c r="P225" i="275"/>
  <c r="P183" i="275"/>
  <c r="P182" i="275" s="1"/>
  <c r="P181" i="275" s="1"/>
  <c r="P179" i="275" s="1"/>
  <c r="P32" i="275" s="1"/>
  <c r="Q127" i="275" s="1"/>
  <c r="P151" i="275"/>
  <c r="P193" i="275"/>
  <c r="P192" i="275" s="1"/>
  <c r="P201" i="275" s="1"/>
  <c r="M256" i="275"/>
  <c r="M254" i="275" s="1"/>
  <c r="M260" i="275" s="1"/>
  <c r="E271" i="275"/>
  <c r="E236" i="275"/>
  <c r="S281" i="275"/>
  <c r="F157" i="275"/>
  <c r="F155" i="275" s="1"/>
  <c r="F153" i="275" s="1"/>
  <c r="F293" i="275"/>
  <c r="O277" i="275"/>
  <c r="O279" i="275" s="1"/>
  <c r="O33" i="275"/>
  <c r="O128" i="275" s="1"/>
  <c r="I260" i="275"/>
  <c r="I263" i="275" s="1"/>
  <c r="R256" i="275"/>
  <c r="R254" i="275" s="1"/>
  <c r="R260" i="275" s="1"/>
  <c r="N256" i="275"/>
  <c r="N254" i="275" s="1"/>
  <c r="N260" i="275" s="1"/>
  <c r="W277" i="275"/>
  <c r="W279" i="275" s="1"/>
  <c r="W33" i="275"/>
  <c r="S200" i="275"/>
  <c r="S198" i="275" s="1"/>
  <c r="T203" i="275"/>
  <c r="T202" i="275" s="1"/>
  <c r="T268" i="275" s="1"/>
  <c r="T207" i="275"/>
  <c r="T206" i="275" s="1"/>
  <c r="U183" i="275"/>
  <c r="U182" i="275" s="1"/>
  <c r="U181" i="275" s="1"/>
  <c r="U179" i="275" s="1"/>
  <c r="U32" i="275" s="1"/>
  <c r="U127" i="275" s="1"/>
  <c r="U193" i="275"/>
  <c r="U192" i="275" s="1"/>
  <c r="U151" i="275"/>
  <c r="U225" i="275"/>
  <c r="O193" i="275"/>
  <c r="O192" i="275" s="1"/>
  <c r="O201" i="275" s="1"/>
  <c r="O183" i="275"/>
  <c r="O182" i="275" s="1"/>
  <c r="O181" i="275" s="1"/>
  <c r="O179" i="275" s="1"/>
  <c r="O32" i="275" s="1"/>
  <c r="O127" i="275" s="1"/>
  <c r="O151" i="275"/>
  <c r="W193" i="275"/>
  <c r="W192" i="275" s="1"/>
  <c r="W183" i="275"/>
  <c r="W182" i="275" s="1"/>
  <c r="W151" i="275"/>
  <c r="K193" i="275"/>
  <c r="K151" i="275"/>
  <c r="K31" i="275" s="1"/>
  <c r="G288" i="275"/>
  <c r="F167" i="275"/>
  <c r="R266" i="275"/>
  <c r="R195" i="275"/>
  <c r="R169" i="275" s="1"/>
  <c r="R252" i="275"/>
  <c r="R251" i="275"/>
  <c r="R250" i="275" s="1"/>
  <c r="R201" i="275"/>
  <c r="F34" i="275"/>
  <c r="W287" i="275"/>
  <c r="I266" i="275"/>
  <c r="I195" i="275"/>
  <c r="I169" i="275" s="1"/>
  <c r="I166" i="275" s="1"/>
  <c r="I162" i="275" s="1"/>
  <c r="I183" i="275" s="1"/>
  <c r="I182" i="275" s="1"/>
  <c r="I181" i="275" s="1"/>
  <c r="I179" i="275" s="1"/>
  <c r="I32" i="275" s="1"/>
  <c r="P277" i="275"/>
  <c r="P279" i="275" s="1"/>
  <c r="P33" i="275"/>
  <c r="D266" i="275"/>
  <c r="D195" i="275"/>
  <c r="D169" i="275" s="1"/>
  <c r="G167" i="275"/>
  <c r="T200" i="275"/>
  <c r="U203" i="275"/>
  <c r="U202" i="275" s="1"/>
  <c r="U268" i="275" s="1"/>
  <c r="U207" i="275"/>
  <c r="U206" i="275" s="1"/>
  <c r="F137" i="275"/>
  <c r="N281" i="275"/>
  <c r="V195" i="275"/>
  <c r="V169" i="275" s="1"/>
  <c r="V193" i="275"/>
  <c r="V151" i="275"/>
  <c r="V183" i="275"/>
  <c r="V182" i="275" s="1"/>
  <c r="O175" i="275"/>
  <c r="O174" i="275" s="1"/>
  <c r="O53" i="275" s="1"/>
  <c r="S263" i="275"/>
  <c r="S232" i="275"/>
  <c r="S234" i="275" s="1"/>
  <c r="J270" i="275"/>
  <c r="J235" i="275"/>
  <c r="Y277" i="275"/>
  <c r="Y279" i="275" s="1"/>
  <c r="Y33" i="275"/>
  <c r="G137" i="275"/>
  <c r="G242" i="275"/>
  <c r="S127" i="275"/>
  <c r="M31" i="275"/>
  <c r="M36" i="275"/>
  <c r="Y31" i="275"/>
  <c r="Y126" i="275" s="1"/>
  <c r="Y36" i="275"/>
  <c r="S31" i="275"/>
  <c r="S36" i="275"/>
  <c r="U56" i="275"/>
  <c r="U55" i="275" s="1"/>
  <c r="M137" i="275"/>
  <c r="O138" i="275"/>
  <c r="O137" i="275" s="1"/>
  <c r="U277" i="275"/>
  <c r="U279" i="275" s="1"/>
  <c r="U33" i="275"/>
  <c r="U128" i="275" s="1"/>
  <c r="F291" i="112"/>
  <c r="E290" i="112" s="1"/>
  <c r="F489" i="112"/>
  <c r="F493" i="112" s="1"/>
  <c r="F2" i="112" s="1"/>
  <c r="D489" i="112"/>
  <c r="D493" i="112" s="1"/>
  <c r="D2" i="112" s="1"/>
  <c r="E489" i="112"/>
  <c r="E493" i="112" s="1"/>
  <c r="E2" i="112" s="1"/>
  <c r="AC64" i="112"/>
  <c r="W204" i="112"/>
  <c r="Y224" i="112"/>
  <c r="Y62" i="112"/>
  <c r="D289" i="112"/>
  <c r="W164" i="112"/>
  <c r="W163" i="112" s="1"/>
  <c r="W201" i="112"/>
  <c r="H489" i="112"/>
  <c r="H493" i="112" s="1"/>
  <c r="H2" i="112" s="1"/>
  <c r="W203" i="112"/>
  <c r="W223" i="112"/>
  <c r="W245" i="112"/>
  <c r="P489" i="112"/>
  <c r="P493" i="112" s="1"/>
  <c r="P10" i="112" s="1"/>
  <c r="W289" i="112"/>
  <c r="W154" i="112"/>
  <c r="W153" i="112" s="1"/>
  <c r="W151" i="112" s="1"/>
  <c r="P291" i="112"/>
  <c r="Q290" i="112" s="1"/>
  <c r="W251" i="112"/>
  <c r="W15" i="112"/>
  <c r="W141" i="112"/>
  <c r="W303" i="112"/>
  <c r="W205" i="112"/>
  <c r="W175" i="112"/>
  <c r="W262" i="112"/>
  <c r="W307" i="112"/>
  <c r="P15" i="112"/>
  <c r="P231" i="112"/>
  <c r="P244" i="112"/>
  <c r="P245" i="112"/>
  <c r="P177" i="112"/>
  <c r="P246" i="112"/>
  <c r="P259" i="112"/>
  <c r="Q471" i="112"/>
  <c r="P191" i="112"/>
  <c r="P184" i="112" s="1"/>
  <c r="P309" i="112"/>
  <c r="P173" i="112"/>
  <c r="P139" i="112"/>
  <c r="P205" i="112"/>
  <c r="P142" i="112"/>
  <c r="P307" i="112"/>
  <c r="P230" i="112" s="1"/>
  <c r="P164" i="112"/>
  <c r="P163" i="112" s="1"/>
  <c r="P269" i="112"/>
  <c r="P308" i="112"/>
  <c r="P224" i="112"/>
  <c r="P83" i="112"/>
  <c r="P209" i="112"/>
  <c r="P86" i="112"/>
  <c r="P247" i="112"/>
  <c r="P243" i="112"/>
  <c r="P148" i="112"/>
  <c r="P147" i="112" s="1"/>
  <c r="P145" i="112" s="1"/>
  <c r="P253" i="112"/>
  <c r="P262" i="112"/>
  <c r="P294" i="112"/>
  <c r="P257" i="112"/>
  <c r="P208" i="112"/>
  <c r="P289" i="112"/>
  <c r="P172" i="112"/>
  <c r="P223" i="112"/>
  <c r="P154" i="112"/>
  <c r="N489" i="112"/>
  <c r="N493" i="112" s="1"/>
  <c r="N10" i="112" s="1"/>
  <c r="J489" i="112"/>
  <c r="J493" i="112" s="1"/>
  <c r="Q164" i="112"/>
  <c r="Q163" i="112" s="1"/>
  <c r="Q177" i="112"/>
  <c r="Q294" i="112"/>
  <c r="Q209" i="112"/>
  <c r="R209" i="112"/>
  <c r="R164" i="112"/>
  <c r="R163" i="112" s="1"/>
  <c r="Q139" i="112"/>
  <c r="Q205" i="112"/>
  <c r="Q307" i="112"/>
  <c r="Q230" i="112" s="1"/>
  <c r="Q154" i="112"/>
  <c r="Q153" i="112" s="1"/>
  <c r="Q253" i="112"/>
  <c r="Q269" i="112"/>
  <c r="Q309" i="112"/>
  <c r="Q245" i="112"/>
  <c r="Q278" i="112"/>
  <c r="Q257" i="112"/>
  <c r="Q86" i="112"/>
  <c r="Q259" i="112"/>
  <c r="Q244" i="112"/>
  <c r="Q142" i="112"/>
  <c r="Q308" i="112"/>
  <c r="Q83" i="112"/>
  <c r="Q173" i="112"/>
  <c r="Q191" i="112"/>
  <c r="Q184" i="112" s="1"/>
  <c r="Q148" i="112"/>
  <c r="Q147" i="112" s="1"/>
  <c r="Q145" i="112" s="1"/>
  <c r="Q243" i="112"/>
  <c r="R139" i="112"/>
  <c r="R269" i="112"/>
  <c r="R148" i="112"/>
  <c r="R147" i="112" s="1"/>
  <c r="R145" i="112" s="1"/>
  <c r="R208" i="112"/>
  <c r="R231" i="112"/>
  <c r="R290" i="112"/>
  <c r="Q231" i="112"/>
  <c r="Q172" i="112"/>
  <c r="Q262" i="112"/>
  <c r="Q208" i="112"/>
  <c r="Q224" i="112"/>
  <c r="Q15" i="112"/>
  <c r="Q223" i="112"/>
  <c r="R224" i="112"/>
  <c r="R245" i="112"/>
  <c r="W170" i="112"/>
  <c r="W301" i="112"/>
  <c r="W294" i="112"/>
  <c r="W230" i="112"/>
  <c r="W252" i="112"/>
  <c r="R278" i="112"/>
  <c r="S291" i="112"/>
  <c r="T290" i="112" s="1"/>
  <c r="S489" i="112"/>
  <c r="S493" i="112" s="1"/>
  <c r="S10" i="112" s="1"/>
  <c r="R257" i="112"/>
  <c r="R205" i="112"/>
  <c r="R247" i="112"/>
  <c r="R86" i="112"/>
  <c r="R289" i="112"/>
  <c r="W297" i="112"/>
  <c r="W249" i="112"/>
  <c r="W267" i="112" s="1"/>
  <c r="W195" i="112" s="1"/>
  <c r="W169" i="112" s="1"/>
  <c r="W299" i="112"/>
  <c r="W300" i="112"/>
  <c r="W176" i="112"/>
  <c r="W308" i="112"/>
  <c r="W290" i="112"/>
  <c r="W184" i="112"/>
  <c r="W268" i="112"/>
  <c r="W309" i="112"/>
  <c r="R172" i="112"/>
  <c r="R244" i="112"/>
  <c r="S471" i="112"/>
  <c r="W304" i="112"/>
  <c r="W243" i="112"/>
  <c r="W62" i="112"/>
  <c r="W293" i="112"/>
  <c r="W138" i="112"/>
  <c r="W302" i="112"/>
  <c r="W148" i="112"/>
  <c r="W147" i="112" s="1"/>
  <c r="W145" i="112" s="1"/>
  <c r="W298" i="112"/>
  <c r="I489" i="112"/>
  <c r="I493" i="112" s="1"/>
  <c r="I1" i="112" s="1"/>
  <c r="T489" i="112"/>
  <c r="T493" i="112" s="1"/>
  <c r="T10" i="112" s="1"/>
  <c r="E164" i="112"/>
  <c r="E163" i="112" s="1"/>
  <c r="X471" i="112"/>
  <c r="W224" i="112"/>
  <c r="T224" i="112"/>
  <c r="J291" i="112"/>
  <c r="I290" i="112" s="1"/>
  <c r="V224" i="112"/>
  <c r="V230" i="112"/>
  <c r="Y471" i="112"/>
  <c r="X224" i="112"/>
  <c r="Q247" i="112"/>
  <c r="N15" i="112"/>
  <c r="Q489" i="112"/>
  <c r="Q493" i="112" s="1"/>
  <c r="Q10" i="112" s="1"/>
  <c r="T294" i="112"/>
  <c r="T293" i="112"/>
  <c r="T164" i="112"/>
  <c r="T163" i="112" s="1"/>
  <c r="R243" i="112"/>
  <c r="O471" i="112"/>
  <c r="N269" i="112"/>
  <c r="N253" i="112"/>
  <c r="N244" i="112"/>
  <c r="N177" i="112"/>
  <c r="N243" i="112"/>
  <c r="N294" i="112"/>
  <c r="N142" i="112"/>
  <c r="N259" i="112"/>
  <c r="E83" i="112"/>
  <c r="E79" i="112" s="1"/>
  <c r="N308" i="112"/>
  <c r="N309" i="112"/>
  <c r="N86" i="112"/>
  <c r="N154" i="112"/>
  <c r="N153" i="112" s="1"/>
  <c r="D303" i="112"/>
  <c r="E303" i="112" s="1"/>
  <c r="F303" i="112" s="1"/>
  <c r="G303" i="112" s="1"/>
  <c r="H303" i="112" s="1"/>
  <c r="I303" i="112" s="1"/>
  <c r="J303" i="112" s="1"/>
  <c r="K303" i="112" s="1"/>
  <c r="L303" i="112" s="1"/>
  <c r="M303" i="112" s="1"/>
  <c r="N303" i="112" s="1"/>
  <c r="O303" i="112" s="1"/>
  <c r="P303" i="112" s="1"/>
  <c r="Q303" i="112" s="1"/>
  <c r="R303" i="112" s="1"/>
  <c r="N172" i="112"/>
  <c r="N191" i="112"/>
  <c r="N184" i="112" s="1"/>
  <c r="N231" i="112"/>
  <c r="N246" i="112"/>
  <c r="N223" i="112"/>
  <c r="N257" i="112"/>
  <c r="N307" i="112"/>
  <c r="N230" i="112" s="1"/>
  <c r="N224" i="112"/>
  <c r="N164" i="112"/>
  <c r="N163" i="112" s="1"/>
  <c r="N83" i="112"/>
  <c r="N245" i="112"/>
  <c r="N262" i="112"/>
  <c r="N173" i="112"/>
  <c r="N208" i="112"/>
  <c r="N209" i="112"/>
  <c r="N289" i="112"/>
  <c r="N247" i="112"/>
  <c r="N205" i="112"/>
  <c r="N139" i="112"/>
  <c r="N148" i="112"/>
  <c r="N147" i="112" s="1"/>
  <c r="N233" i="112" s="1"/>
  <c r="D257" i="112"/>
  <c r="D148" i="112"/>
  <c r="D147" i="112" s="1"/>
  <c r="D145" i="112" s="1"/>
  <c r="D52" i="112" s="1"/>
  <c r="H173" i="112"/>
  <c r="D293" i="112"/>
  <c r="E293" i="112" s="1"/>
  <c r="F293" i="112" s="1"/>
  <c r="G293" i="112" s="1"/>
  <c r="H293" i="112" s="1"/>
  <c r="H139" i="112"/>
  <c r="D172" i="112"/>
  <c r="I471" i="112"/>
  <c r="D205" i="112"/>
  <c r="E471" i="112"/>
  <c r="F471" i="112"/>
  <c r="E269" i="112"/>
  <c r="H172" i="112"/>
  <c r="E208" i="112"/>
  <c r="D224" i="112"/>
  <c r="D83" i="112"/>
  <c r="D79" i="112" s="1"/>
  <c r="D262" i="112"/>
  <c r="D298" i="112"/>
  <c r="E298" i="112" s="1"/>
  <c r="F298" i="112" s="1"/>
  <c r="G298" i="112" s="1"/>
  <c r="H298" i="112" s="1"/>
  <c r="I298" i="112" s="1"/>
  <c r="D247" i="112"/>
  <c r="D223" i="112"/>
  <c r="D255" i="112"/>
  <c r="D164" i="112"/>
  <c r="D163" i="112" s="1"/>
  <c r="H257" i="112"/>
  <c r="H223" i="112"/>
  <c r="H142" i="112"/>
  <c r="H15" i="112"/>
  <c r="E173" i="112"/>
  <c r="E308" i="112"/>
  <c r="E224" i="112"/>
  <c r="E148" i="112"/>
  <c r="E147" i="112" s="1"/>
  <c r="E145" i="112" s="1"/>
  <c r="E154" i="112"/>
  <c r="D244" i="112"/>
  <c r="D309" i="112"/>
  <c r="D308" i="112"/>
  <c r="D142" i="112"/>
  <c r="D253" i="112"/>
  <c r="D246" i="112"/>
  <c r="D265" i="112" s="1"/>
  <c r="D304" i="112"/>
  <c r="E304" i="112" s="1"/>
  <c r="F304" i="112" s="1"/>
  <c r="G304" i="112" s="1"/>
  <c r="H304" i="112" s="1"/>
  <c r="I304" i="112" s="1"/>
  <c r="J304" i="112" s="1"/>
  <c r="K304" i="112" s="1"/>
  <c r="L304" i="112" s="1"/>
  <c r="M304" i="112" s="1"/>
  <c r="N304" i="112" s="1"/>
  <c r="O304" i="112" s="1"/>
  <c r="P304" i="112" s="1"/>
  <c r="Q304" i="112" s="1"/>
  <c r="R304" i="112" s="1"/>
  <c r="D259" i="112"/>
  <c r="D15" i="112"/>
  <c r="H294" i="112"/>
  <c r="H244" i="112"/>
  <c r="H246" i="112"/>
  <c r="H164" i="112"/>
  <c r="H163" i="112" s="1"/>
  <c r="E15" i="112"/>
  <c r="E205" i="112"/>
  <c r="E191" i="112"/>
  <c r="E184" i="112" s="1"/>
  <c r="E255" i="112"/>
  <c r="D300" i="112"/>
  <c r="E300" i="112" s="1"/>
  <c r="F300" i="112" s="1"/>
  <c r="G300" i="112" s="1"/>
  <c r="H300" i="112" s="1"/>
  <c r="I300" i="112" s="1"/>
  <c r="J300" i="112" s="1"/>
  <c r="K300" i="112" s="1"/>
  <c r="L300" i="112" s="1"/>
  <c r="M300" i="112" s="1"/>
  <c r="N300" i="112" s="1"/>
  <c r="O300" i="112" s="1"/>
  <c r="P300" i="112" s="1"/>
  <c r="Q300" i="112" s="1"/>
  <c r="R300" i="112" s="1"/>
  <c r="D177" i="112"/>
  <c r="D269" i="112"/>
  <c r="D231" i="112"/>
  <c r="D302" i="112"/>
  <c r="E302" i="112" s="1"/>
  <c r="F302" i="112" s="1"/>
  <c r="G302" i="112" s="1"/>
  <c r="H302" i="112" s="1"/>
  <c r="I302" i="112" s="1"/>
  <c r="J302" i="112" s="1"/>
  <c r="K302" i="112" s="1"/>
  <c r="L302" i="112" s="1"/>
  <c r="M302" i="112" s="1"/>
  <c r="N302" i="112" s="1"/>
  <c r="O302" i="112" s="1"/>
  <c r="P302" i="112" s="1"/>
  <c r="Q302" i="112" s="1"/>
  <c r="R302" i="112" s="1"/>
  <c r="D243" i="112"/>
  <c r="D299" i="112"/>
  <c r="E299" i="112" s="1"/>
  <c r="F299" i="112" s="1"/>
  <c r="G299" i="112" s="1"/>
  <c r="H299" i="112" s="1"/>
  <c r="I299" i="112" s="1"/>
  <c r="J299" i="112" s="1"/>
  <c r="K299" i="112" s="1"/>
  <c r="L299" i="112" s="1"/>
  <c r="M299" i="112" s="1"/>
  <c r="N299" i="112" s="1"/>
  <c r="O299" i="112" s="1"/>
  <c r="P299" i="112" s="1"/>
  <c r="Q299" i="112" s="1"/>
  <c r="R299" i="112" s="1"/>
  <c r="S299" i="112" s="1"/>
  <c r="H269" i="112"/>
  <c r="H177" i="112"/>
  <c r="H191" i="112"/>
  <c r="H184" i="112" s="1"/>
  <c r="H245" i="112"/>
  <c r="H148" i="112"/>
  <c r="H147" i="112" s="1"/>
  <c r="H233" i="112" s="1"/>
  <c r="E259" i="112"/>
  <c r="E142" i="112"/>
  <c r="E177" i="112"/>
  <c r="E307" i="112"/>
  <c r="E230" i="112" s="1"/>
  <c r="T299" i="112"/>
  <c r="T302" i="112"/>
  <c r="T191" i="112"/>
  <c r="T184" i="112" s="1"/>
  <c r="T205" i="112"/>
  <c r="D294" i="112"/>
  <c r="D208" i="112"/>
  <c r="D191" i="112"/>
  <c r="D184" i="112" s="1"/>
  <c r="D290" i="112"/>
  <c r="D173" i="112"/>
  <c r="D139" i="112"/>
  <c r="D301" i="112"/>
  <c r="E301" i="112" s="1"/>
  <c r="F301" i="112" s="1"/>
  <c r="G301" i="112" s="1"/>
  <c r="H301" i="112" s="1"/>
  <c r="I301" i="112" s="1"/>
  <c r="J301" i="112" s="1"/>
  <c r="K301" i="112" s="1"/>
  <c r="L301" i="112" s="1"/>
  <c r="D154" i="112"/>
  <c r="D307" i="112"/>
  <c r="D230" i="112" s="1"/>
  <c r="D245" i="112"/>
  <c r="Q246" i="112"/>
  <c r="R308" i="112"/>
  <c r="R177" i="112"/>
  <c r="R294" i="112"/>
  <c r="R173" i="112"/>
  <c r="R83" i="112"/>
  <c r="R79" i="112" s="1"/>
  <c r="R223" i="112"/>
  <c r="R154" i="112"/>
  <c r="R153" i="112" s="1"/>
  <c r="R191" i="112"/>
  <c r="R184" i="112" s="1"/>
  <c r="H253" i="112"/>
  <c r="H231" i="112"/>
  <c r="H308" i="112"/>
  <c r="H224" i="112"/>
  <c r="H205" i="112"/>
  <c r="H307" i="112"/>
  <c r="H230" i="112" s="1"/>
  <c r="H247" i="112"/>
  <c r="H255" i="112"/>
  <c r="H259" i="112"/>
  <c r="E231" i="112"/>
  <c r="E309" i="112"/>
  <c r="E294" i="112"/>
  <c r="E262" i="112"/>
  <c r="E247" i="112"/>
  <c r="F247" i="112" s="1"/>
  <c r="E139" i="112"/>
  <c r="E172" i="112"/>
  <c r="E223" i="112"/>
  <c r="E243" i="112"/>
  <c r="T289" i="112"/>
  <c r="T288" i="112" s="1"/>
  <c r="T307" i="112"/>
  <c r="T230" i="112" s="1"/>
  <c r="T308" i="112"/>
  <c r="T154" i="112"/>
  <c r="T153" i="112" s="1"/>
  <c r="T15" i="112"/>
  <c r="T243" i="112"/>
  <c r="R259" i="112"/>
  <c r="Q289" i="112"/>
  <c r="R262" i="112"/>
  <c r="R309" i="112"/>
  <c r="R253" i="112"/>
  <c r="R142" i="112"/>
  <c r="R307" i="112"/>
  <c r="R230" i="112" s="1"/>
  <c r="H83" i="112"/>
  <c r="H79" i="112" s="1"/>
  <c r="H309" i="112"/>
  <c r="H262" i="112"/>
  <c r="H208" i="112"/>
  <c r="K224" i="112"/>
  <c r="H243" i="112"/>
  <c r="H154" i="112"/>
  <c r="E289" i="112"/>
  <c r="E253" i="112"/>
  <c r="E257" i="112"/>
  <c r="E244" i="112"/>
  <c r="E246" i="112"/>
  <c r="E245" i="112"/>
  <c r="T301" i="112"/>
  <c r="T303" i="112"/>
  <c r="T300" i="112"/>
  <c r="U471" i="112"/>
  <c r="T148" i="112"/>
  <c r="T147" i="112" s="1"/>
  <c r="T145" i="112" s="1"/>
  <c r="Y301" i="112"/>
  <c r="Y307" i="112"/>
  <c r="L191" i="112"/>
  <c r="L184" i="112" s="1"/>
  <c r="L253" i="112"/>
  <c r="X15" i="112"/>
  <c r="L142" i="112"/>
  <c r="L139" i="112"/>
  <c r="X62" i="112"/>
  <c r="L243" i="112"/>
  <c r="X304" i="112"/>
  <c r="L245" i="112"/>
  <c r="Y141" i="112"/>
  <c r="L244" i="112"/>
  <c r="L289" i="112"/>
  <c r="X204" i="112"/>
  <c r="X249" i="112"/>
  <c r="X267" i="112" s="1"/>
  <c r="X293" i="112"/>
  <c r="Y138" i="112"/>
  <c r="L205" i="112"/>
  <c r="L15" i="112"/>
  <c r="L308" i="112"/>
  <c r="L309" i="112"/>
  <c r="L164" i="112"/>
  <c r="L163" i="112" s="1"/>
  <c r="X230" i="112"/>
  <c r="X289" i="112"/>
  <c r="X164" i="112"/>
  <c r="X163" i="112" s="1"/>
  <c r="X191" i="112"/>
  <c r="X201" i="112"/>
  <c r="X184" i="112"/>
  <c r="X301" i="112"/>
  <c r="Y299" i="112"/>
  <c r="Y294" i="112"/>
  <c r="L255" i="112"/>
  <c r="L208" i="112"/>
  <c r="L262" i="112"/>
  <c r="L233" i="112"/>
  <c r="X251" i="112"/>
  <c r="X141" i="112"/>
  <c r="X299" i="112"/>
  <c r="X290" i="112"/>
  <c r="X307" i="112"/>
  <c r="Y303" i="112"/>
  <c r="J294" i="112"/>
  <c r="Y290" i="112"/>
  <c r="Y184" i="112"/>
  <c r="R489" i="112"/>
  <c r="R493" i="112" s="1"/>
  <c r="R2" i="112" s="1"/>
  <c r="L172" i="112"/>
  <c r="L86" i="112"/>
  <c r="L246" i="112"/>
  <c r="R246" i="112"/>
  <c r="T309" i="112"/>
  <c r="T262" i="112"/>
  <c r="T304" i="112"/>
  <c r="T298" i="112"/>
  <c r="T245" i="112"/>
  <c r="L257" i="112"/>
  <c r="L231" i="112"/>
  <c r="L223" i="112"/>
  <c r="L173" i="112"/>
  <c r="L307" i="112"/>
  <c r="L230" i="112" s="1"/>
  <c r="L294" i="112"/>
  <c r="L278" i="112"/>
  <c r="L247" i="112"/>
  <c r="X243" i="112"/>
  <c r="X203" i="112"/>
  <c r="X308" i="112"/>
  <c r="X302" i="112"/>
  <c r="X252" i="112"/>
  <c r="X309" i="112"/>
  <c r="X245" i="112"/>
  <c r="X268" i="112"/>
  <c r="X300" i="112"/>
  <c r="X176" i="112"/>
  <c r="X262" i="112"/>
  <c r="X170" i="112"/>
  <c r="X297" i="112"/>
  <c r="Y298" i="112"/>
  <c r="Y176" i="112"/>
  <c r="Y262" i="112"/>
  <c r="Y15" i="112"/>
  <c r="L269" i="112"/>
  <c r="L177" i="112"/>
  <c r="L83" i="112"/>
  <c r="L259" i="112"/>
  <c r="L154" i="112"/>
  <c r="M471" i="112"/>
  <c r="X175" i="112"/>
  <c r="X298" i="112"/>
  <c r="X154" i="112"/>
  <c r="X303" i="112"/>
  <c r="X138" i="112"/>
  <c r="X205" i="112"/>
  <c r="X294" i="112"/>
  <c r="X148" i="112"/>
  <c r="X147" i="112" s="1"/>
  <c r="X145" i="112" s="1"/>
  <c r="X223" i="112"/>
  <c r="Y251" i="112"/>
  <c r="Y175" i="112"/>
  <c r="Y243" i="112"/>
  <c r="Y154" i="112"/>
  <c r="Y153" i="112" s="1"/>
  <c r="Y204" i="112"/>
  <c r="Y252" i="112"/>
  <c r="Y293" i="112"/>
  <c r="Y164" i="112"/>
  <c r="Y163" i="112" s="1"/>
  <c r="Y205" i="112"/>
  <c r="Y249" i="112"/>
  <c r="Y267" i="112" s="1"/>
  <c r="Y304" i="112"/>
  <c r="Y170" i="112"/>
  <c r="Y297" i="112"/>
  <c r="Y230" i="112"/>
  <c r="Y308" i="112"/>
  <c r="Y148" i="112"/>
  <c r="Y147" i="112" s="1"/>
  <c r="Y145" i="112" s="1"/>
  <c r="Y191" i="112"/>
  <c r="Y289" i="112"/>
  <c r="Y309" i="112"/>
  <c r="Y201" i="112"/>
  <c r="Y245" i="112"/>
  <c r="Y268" i="112"/>
  <c r="Y300" i="112"/>
  <c r="Y203" i="112"/>
  <c r="Y302" i="112"/>
  <c r="Y223" i="112"/>
  <c r="J208" i="112"/>
  <c r="J177" i="112"/>
  <c r="J269" i="112"/>
  <c r="J244" i="112"/>
  <c r="J246" i="112"/>
  <c r="J307" i="112"/>
  <c r="J230" i="112" s="1"/>
  <c r="J247" i="112"/>
  <c r="J164" i="112"/>
  <c r="J163" i="112" s="1"/>
  <c r="J231" i="112"/>
  <c r="K471" i="112"/>
  <c r="J142" i="112"/>
  <c r="J205" i="112"/>
  <c r="J243" i="112"/>
  <c r="J257" i="112"/>
  <c r="J223" i="112"/>
  <c r="J139" i="112"/>
  <c r="J245" i="112"/>
  <c r="J191" i="112"/>
  <c r="J184" i="112" s="1"/>
  <c r="J154" i="112"/>
  <c r="J172" i="112"/>
  <c r="J171" i="112" s="1"/>
  <c r="J186" i="112" s="1"/>
  <c r="J253" i="112"/>
  <c r="J309" i="112"/>
  <c r="J148" i="112"/>
  <c r="J147" i="112" s="1"/>
  <c r="J145" i="112" s="1"/>
  <c r="J15" i="112"/>
  <c r="V15" i="112"/>
  <c r="W471" i="112"/>
  <c r="J259" i="112"/>
  <c r="J289" i="112"/>
  <c r="J308" i="112"/>
  <c r="J255" i="112"/>
  <c r="J262" i="112"/>
  <c r="J83" i="112"/>
  <c r="J79" i="112" s="1"/>
  <c r="F224" i="112"/>
  <c r="F154" i="112"/>
  <c r="T471" i="112"/>
  <c r="I294" i="112"/>
  <c r="S289" i="112"/>
  <c r="S298" i="112"/>
  <c r="I173" i="112"/>
  <c r="F294" i="112"/>
  <c r="S243" i="112"/>
  <c r="S191" i="112"/>
  <c r="S184" i="112" s="1"/>
  <c r="F245" i="112"/>
  <c r="S205" i="112"/>
  <c r="S224" i="112"/>
  <c r="I223" i="112"/>
  <c r="F309" i="112"/>
  <c r="G471" i="112"/>
  <c r="F15" i="112"/>
  <c r="S300" i="112"/>
  <c r="S307" i="112"/>
  <c r="S230" i="112" s="1"/>
  <c r="S302" i="112"/>
  <c r="S262" i="112"/>
  <c r="S148" i="112"/>
  <c r="S147" i="112" s="1"/>
  <c r="S145" i="112" s="1"/>
  <c r="S247" i="112"/>
  <c r="T247" i="112" s="1"/>
  <c r="I231" i="112"/>
  <c r="I269" i="112"/>
  <c r="I259" i="112"/>
  <c r="I307" i="112"/>
  <c r="I230" i="112" s="1"/>
  <c r="I224" i="112"/>
  <c r="F164" i="112"/>
  <c r="F163" i="112" s="1"/>
  <c r="F289" i="112"/>
  <c r="F243" i="112"/>
  <c r="S303" i="112"/>
  <c r="S309" i="112"/>
  <c r="S308" i="112"/>
  <c r="S245" i="112"/>
  <c r="S304" i="112"/>
  <c r="S278" i="112"/>
  <c r="T278" i="112" s="1"/>
  <c r="U278" i="112" s="1"/>
  <c r="V278" i="112" s="1"/>
  <c r="W278" i="112" s="1"/>
  <c r="X278" i="112" s="1"/>
  <c r="Y278" i="112" s="1"/>
  <c r="S223" i="112"/>
  <c r="S154" i="112"/>
  <c r="S164" i="112"/>
  <c r="S163" i="112" s="1"/>
  <c r="L224" i="112"/>
  <c r="I142" i="112"/>
  <c r="I245" i="112"/>
  <c r="F308" i="112"/>
  <c r="F223" i="112"/>
  <c r="F255" i="112"/>
  <c r="F191" i="112"/>
  <c r="F184" i="112" s="1"/>
  <c r="F262" i="112"/>
  <c r="F205" i="112"/>
  <c r="F307" i="112"/>
  <c r="F230" i="112" s="1"/>
  <c r="S294" i="112"/>
  <c r="S290" i="112"/>
  <c r="I208" i="112"/>
  <c r="I262" i="112"/>
  <c r="I309" i="112"/>
  <c r="I246" i="112"/>
  <c r="I164" i="112"/>
  <c r="I163" i="112" s="1"/>
  <c r="I205" i="112"/>
  <c r="I191" i="112"/>
  <c r="I184" i="112" s="1"/>
  <c r="I257" i="112"/>
  <c r="I172" i="112"/>
  <c r="I253" i="112"/>
  <c r="I83" i="112"/>
  <c r="I79" i="112" s="1"/>
  <c r="I255" i="112"/>
  <c r="I154" i="112"/>
  <c r="K289" i="112"/>
  <c r="I177" i="112"/>
  <c r="I308" i="112"/>
  <c r="I289" i="112"/>
  <c r="I139" i="112"/>
  <c r="I244" i="112"/>
  <c r="I247" i="112"/>
  <c r="J471" i="112"/>
  <c r="I15" i="112"/>
  <c r="U291" i="112"/>
  <c r="U489" i="112"/>
  <c r="U493" i="112" s="1"/>
  <c r="K255" i="112"/>
  <c r="K294" i="112"/>
  <c r="K243" i="112"/>
  <c r="I243" i="112"/>
  <c r="K154" i="112"/>
  <c r="K223" i="112"/>
  <c r="L471" i="112"/>
  <c r="K208" i="112"/>
  <c r="K253" i="112"/>
  <c r="K257" i="112"/>
  <c r="K308" i="112"/>
  <c r="K259" i="112"/>
  <c r="K173" i="112"/>
  <c r="K231" i="112"/>
  <c r="K269" i="112"/>
  <c r="K83" i="112"/>
  <c r="K191" i="112"/>
  <c r="K139" i="112"/>
  <c r="K142" i="112"/>
  <c r="K172" i="112"/>
  <c r="K177" i="112"/>
  <c r="K262" i="112"/>
  <c r="K309" i="112"/>
  <c r="K86" i="112"/>
  <c r="K244" i="112"/>
  <c r="K205" i="112"/>
  <c r="K245" i="112"/>
  <c r="K246" i="112"/>
  <c r="K15" i="112"/>
  <c r="K164" i="112"/>
  <c r="K163" i="112" s="1"/>
  <c r="K307" i="112"/>
  <c r="K230" i="112" s="1"/>
  <c r="K148" i="112"/>
  <c r="K147" i="112" s="1"/>
  <c r="S259" i="112"/>
  <c r="T259" i="112" s="1"/>
  <c r="K247" i="112"/>
  <c r="V175" i="112"/>
  <c r="V245" i="112"/>
  <c r="V148" i="112"/>
  <c r="V147" i="112" s="1"/>
  <c r="V145" i="112" s="1"/>
  <c r="V304" i="112"/>
  <c r="V138" i="112"/>
  <c r="V223" i="112"/>
  <c r="V154" i="112"/>
  <c r="V153" i="112" s="1"/>
  <c r="V300" i="112"/>
  <c r="V298" i="112"/>
  <c r="V309" i="112"/>
  <c r="V141" i="112"/>
  <c r="V308" i="112"/>
  <c r="V297" i="112"/>
  <c r="V268" i="112"/>
  <c r="V164" i="112"/>
  <c r="V163" i="112" s="1"/>
  <c r="V249" i="112"/>
  <c r="V267" i="112" s="1"/>
  <c r="V290" i="112"/>
  <c r="V307" i="112"/>
  <c r="V301" i="112"/>
  <c r="V204" i="112"/>
  <c r="V170" i="112"/>
  <c r="V294" i="112"/>
  <c r="V289" i="112"/>
  <c r="V252" i="112"/>
  <c r="V191" i="112"/>
  <c r="V176" i="112"/>
  <c r="V203" i="112"/>
  <c r="V184" i="112"/>
  <c r="V302" i="112"/>
  <c r="V293" i="112"/>
  <c r="V303" i="112"/>
  <c r="V62" i="112"/>
  <c r="V299" i="112"/>
  <c r="V201" i="112"/>
  <c r="V262" i="112"/>
  <c r="V243" i="112"/>
  <c r="V251" i="112"/>
  <c r="V205" i="112"/>
  <c r="M489" i="112"/>
  <c r="M493" i="112" s="1"/>
  <c r="M291" i="112"/>
  <c r="O489" i="112"/>
  <c r="O493" i="112" s="1"/>
  <c r="O291" i="112"/>
  <c r="P290" i="112" s="1"/>
  <c r="G489" i="112"/>
  <c r="G493" i="112" s="1"/>
  <c r="G291" i="112"/>
  <c r="L489" i="112"/>
  <c r="L493" i="112" s="1"/>
  <c r="L291" i="112"/>
  <c r="F145" i="112"/>
  <c r="M164" i="112"/>
  <c r="M163" i="112" s="1"/>
  <c r="M154" i="112"/>
  <c r="M223" i="112"/>
  <c r="M15" i="112"/>
  <c r="N471" i="112"/>
  <c r="M246" i="112"/>
  <c r="M259" i="112"/>
  <c r="M83" i="112"/>
  <c r="M86" i="112"/>
  <c r="M148" i="112"/>
  <c r="M147" i="112" s="1"/>
  <c r="M233" i="112" s="1"/>
  <c r="M245" i="112"/>
  <c r="M177" i="112"/>
  <c r="M243" i="112"/>
  <c r="M139" i="112"/>
  <c r="M247" i="112"/>
  <c r="M208" i="112"/>
  <c r="M224" i="112"/>
  <c r="M244" i="112"/>
  <c r="M289" i="112"/>
  <c r="M307" i="112"/>
  <c r="M230" i="112" s="1"/>
  <c r="M173" i="112"/>
  <c r="M257" i="112"/>
  <c r="M262" i="112"/>
  <c r="M269" i="112"/>
  <c r="M308" i="112"/>
  <c r="M209" i="112"/>
  <c r="M294" i="112"/>
  <c r="M253" i="112"/>
  <c r="M191" i="112"/>
  <c r="M205" i="112"/>
  <c r="M309" i="112"/>
  <c r="M142" i="112"/>
  <c r="M231" i="112"/>
  <c r="M172" i="112"/>
  <c r="U148" i="112"/>
  <c r="U147" i="112" s="1"/>
  <c r="U247" i="112" s="1"/>
  <c r="U15" i="112"/>
  <c r="U164" i="112"/>
  <c r="U163" i="112" s="1"/>
  <c r="U223" i="112"/>
  <c r="U191" i="112"/>
  <c r="U184" i="112" s="1"/>
  <c r="U245" i="112"/>
  <c r="U154" i="112"/>
  <c r="U243" i="112"/>
  <c r="U224" i="112"/>
  <c r="U205" i="112"/>
  <c r="U262" i="112"/>
  <c r="U289" i="112"/>
  <c r="U298" i="112"/>
  <c r="U300" i="112"/>
  <c r="U308" i="112"/>
  <c r="V471" i="112"/>
  <c r="U294" i="112"/>
  <c r="U299" i="112"/>
  <c r="U301" i="112"/>
  <c r="U307" i="112"/>
  <c r="U230" i="112" s="1"/>
  <c r="U304" i="112"/>
  <c r="U290" i="112"/>
  <c r="U293" i="112"/>
  <c r="U309" i="112"/>
  <c r="U303" i="112"/>
  <c r="U302" i="112"/>
  <c r="O154" i="112"/>
  <c r="O148" i="112"/>
  <c r="O147" i="112" s="1"/>
  <c r="O15" i="112"/>
  <c r="O247" i="112"/>
  <c r="O246" i="112"/>
  <c r="O164" i="112"/>
  <c r="O163" i="112" s="1"/>
  <c r="O289" i="112"/>
  <c r="O259" i="112"/>
  <c r="P471" i="112"/>
  <c r="O243" i="112"/>
  <c r="O307" i="112"/>
  <c r="O230" i="112" s="1"/>
  <c r="O245" i="112"/>
  <c r="O173" i="112"/>
  <c r="O86" i="112"/>
  <c r="O191" i="112"/>
  <c r="O184" i="112" s="1"/>
  <c r="O139" i="112"/>
  <c r="O177" i="112"/>
  <c r="O223" i="112"/>
  <c r="O205" i="112"/>
  <c r="O142" i="112"/>
  <c r="O231" i="112"/>
  <c r="O66" i="112"/>
  <c r="O244" i="112"/>
  <c r="O253" i="112"/>
  <c r="O172" i="112"/>
  <c r="O224" i="112"/>
  <c r="O257" i="112"/>
  <c r="O83" i="112"/>
  <c r="O269" i="112"/>
  <c r="O294" i="112"/>
  <c r="O209" i="112"/>
  <c r="O309" i="112"/>
  <c r="O262" i="112"/>
  <c r="O308" i="112"/>
  <c r="O208" i="112"/>
  <c r="K291" i="112"/>
  <c r="J290" i="112" s="1"/>
  <c r="K489" i="112"/>
  <c r="K493" i="112" s="1"/>
  <c r="I145" i="112"/>
  <c r="G154" i="112"/>
  <c r="G307" i="112"/>
  <c r="G230" i="112" s="1"/>
  <c r="G15" i="112"/>
  <c r="G164" i="112"/>
  <c r="G163" i="112" s="1"/>
  <c r="G148" i="112"/>
  <c r="G147" i="112" s="1"/>
  <c r="G233" i="112" s="1"/>
  <c r="G223" i="112"/>
  <c r="H471" i="112"/>
  <c r="G289" i="112"/>
  <c r="G243" i="112"/>
  <c r="G245" i="112"/>
  <c r="G255" i="112"/>
  <c r="G224" i="112"/>
  <c r="G191" i="112"/>
  <c r="J224" i="112"/>
  <c r="G294" i="112"/>
  <c r="G309" i="112"/>
  <c r="G262" i="112"/>
  <c r="G308" i="112"/>
  <c r="G205" i="112"/>
  <c r="AG142" i="277" l="1"/>
  <c r="X128" i="277"/>
  <c r="P195" i="277"/>
  <c r="P169" i="277" s="1"/>
  <c r="L34" i="275"/>
  <c r="L31" i="275"/>
  <c r="M126" i="275" s="1"/>
  <c r="J263" i="277"/>
  <c r="O183" i="277"/>
  <c r="O182" i="277" s="1"/>
  <c r="O181" i="277" s="1"/>
  <c r="O179" i="277" s="1"/>
  <c r="O32" i="277" s="1"/>
  <c r="O127" i="277" s="1"/>
  <c r="O193" i="277"/>
  <c r="O192" i="277" s="1"/>
  <c r="O151" i="277"/>
  <c r="O225" i="277"/>
  <c r="P201" i="277"/>
  <c r="P200" i="277" s="1"/>
  <c r="O256" i="277"/>
  <c r="O254" i="277" s="1"/>
  <c r="O260" i="277"/>
  <c r="P252" i="277"/>
  <c r="S55" i="277"/>
  <c r="O201" i="277"/>
  <c r="N204" i="277" s="1"/>
  <c r="O252" i="277"/>
  <c r="O251" i="277"/>
  <c r="O250" i="277" s="1"/>
  <c r="O266" i="277"/>
  <c r="O195" i="277"/>
  <c r="O169" i="277" s="1"/>
  <c r="P251" i="277"/>
  <c r="P250" i="277" s="1"/>
  <c r="S128" i="277"/>
  <c r="O138" i="277"/>
  <c r="O137" i="277" s="1"/>
  <c r="AD139" i="277" s="1"/>
  <c r="AE139" i="277" s="1"/>
  <c r="V139" i="277" s="1"/>
  <c r="V137" i="277" s="1"/>
  <c r="O33" i="277"/>
  <c r="O128" i="277" s="1"/>
  <c r="O52" i="277"/>
  <c r="O56" i="277"/>
  <c r="O55" i="277" s="1"/>
  <c r="D232" i="277"/>
  <c r="D234" i="277" s="1"/>
  <c r="D235" i="277" s="1"/>
  <c r="T207" i="277"/>
  <c r="T206" i="277" s="1"/>
  <c r="T203" i="277"/>
  <c r="T202" i="277" s="1"/>
  <c r="T268" i="277" s="1"/>
  <c r="H232" i="277"/>
  <c r="H234" i="277" s="1"/>
  <c r="H235" i="277" s="1"/>
  <c r="E55" i="277"/>
  <c r="W142" i="277"/>
  <c r="W140" i="277" s="1"/>
  <c r="L190" i="275"/>
  <c r="L189" i="275" s="1"/>
  <c r="U197" i="277"/>
  <c r="U196" i="277" s="1"/>
  <c r="U187" i="277" s="1"/>
  <c r="U185" i="277" s="1"/>
  <c r="H281" i="277"/>
  <c r="H227" i="277" s="1"/>
  <c r="H34" i="277" s="1"/>
  <c r="D1" i="112"/>
  <c r="G290" i="112"/>
  <c r="M201" i="275"/>
  <c r="N204" i="275" s="1"/>
  <c r="M252" i="275"/>
  <c r="M266" i="275"/>
  <c r="H166" i="275"/>
  <c r="H162" i="275" s="1"/>
  <c r="H183" i="275" s="1"/>
  <c r="H182" i="275" s="1"/>
  <c r="H181" i="275" s="1"/>
  <c r="H179" i="275" s="1"/>
  <c r="H32" i="275" s="1"/>
  <c r="I127" i="275" s="1"/>
  <c r="L166" i="275"/>
  <c r="L162" i="275" s="1"/>
  <c r="L51" i="275" s="1"/>
  <c r="M251" i="275"/>
  <c r="E1" i="112"/>
  <c r="M48" i="275"/>
  <c r="L56" i="275"/>
  <c r="M55" i="275" s="1"/>
  <c r="L260" i="275"/>
  <c r="L263" i="275" s="1"/>
  <c r="H192" i="275"/>
  <c r="H190" i="275" s="1"/>
  <c r="H189" i="275" s="1"/>
  <c r="X53" i="275"/>
  <c r="L235" i="275"/>
  <c r="L271" i="275" s="1"/>
  <c r="H151" i="275"/>
  <c r="H31" i="275" s="1"/>
  <c r="I126" i="275" s="1"/>
  <c r="H236" i="275"/>
  <c r="H272" i="275" s="1"/>
  <c r="H260" i="275"/>
  <c r="H263" i="275" s="1"/>
  <c r="H56" i="275"/>
  <c r="I55" i="275" s="1"/>
  <c r="H271" i="275"/>
  <c r="H270" i="275"/>
  <c r="P55" i="275"/>
  <c r="W142" i="275"/>
  <c r="W140" i="275" s="1"/>
  <c r="W231" i="275" s="1"/>
  <c r="W229" i="275" s="1"/>
  <c r="T270" i="275"/>
  <c r="V192" i="275"/>
  <c r="E128" i="277"/>
  <c r="I127" i="277"/>
  <c r="L232" i="277"/>
  <c r="L234" i="277" s="1"/>
  <c r="L235" i="277" s="1"/>
  <c r="D281" i="277"/>
  <c r="D227" i="277" s="1"/>
  <c r="D34" i="277" s="1"/>
  <c r="U55" i="277"/>
  <c r="U127" i="277"/>
  <c r="M128" i="277"/>
  <c r="U281" i="275"/>
  <c r="U227" i="275" s="1"/>
  <c r="V181" i="275"/>
  <c r="V179" i="275" s="1"/>
  <c r="V32" i="275" s="1"/>
  <c r="V127" i="275" s="1"/>
  <c r="W128" i="275"/>
  <c r="N126" i="275"/>
  <c r="V128" i="275"/>
  <c r="S126" i="275"/>
  <c r="P128" i="275"/>
  <c r="K127" i="277"/>
  <c r="J281" i="277"/>
  <c r="J227" i="277" s="1"/>
  <c r="J34" i="277" s="1"/>
  <c r="Q127" i="277"/>
  <c r="K197" i="277"/>
  <c r="K196" i="277" s="1"/>
  <c r="K168" i="277" s="1"/>
  <c r="L281" i="277"/>
  <c r="L227" i="277" s="1"/>
  <c r="L34" i="277" s="1"/>
  <c r="M127" i="277"/>
  <c r="P281" i="277"/>
  <c r="P227" i="277" s="1"/>
  <c r="Q55" i="277"/>
  <c r="Q128" i="277"/>
  <c r="Y128" i="277"/>
  <c r="T263" i="277"/>
  <c r="T232" i="277"/>
  <c r="T234" i="277" s="1"/>
  <c r="U270" i="277" s="1"/>
  <c r="N34" i="277"/>
  <c r="W231" i="277"/>
  <c r="W229" i="277" s="1"/>
  <c r="X142" i="277"/>
  <c r="X140" i="277" s="1"/>
  <c r="G236" i="277"/>
  <c r="X31" i="277"/>
  <c r="X36" i="277"/>
  <c r="S197" i="277"/>
  <c r="S196" i="277" s="1"/>
  <c r="G34" i="277"/>
  <c r="F200" i="277"/>
  <c r="F207" i="277"/>
  <c r="F206" i="277" s="1"/>
  <c r="E203" i="277" s="1"/>
  <c r="E202" i="277" s="1"/>
  <c r="E268" i="277" s="1"/>
  <c r="T281" i="277"/>
  <c r="I235" i="277"/>
  <c r="R263" i="277"/>
  <c r="R232" i="277"/>
  <c r="R234" i="277" s="1"/>
  <c r="S270" i="277" s="1"/>
  <c r="Q263" i="277"/>
  <c r="Q232" i="277"/>
  <c r="Q234" i="277" s="1"/>
  <c r="V86" i="277"/>
  <c r="N270" i="277"/>
  <c r="N235" i="277"/>
  <c r="U34" i="277"/>
  <c r="X192" i="277"/>
  <c r="E127" i="277"/>
  <c r="D31" i="277"/>
  <c r="D36" i="277"/>
  <c r="V206" i="277"/>
  <c r="W207" i="277"/>
  <c r="K128" i="277"/>
  <c r="T200" i="277"/>
  <c r="U203" i="277"/>
  <c r="U202" i="277" s="1"/>
  <c r="U268" i="277" s="1"/>
  <c r="U207" i="277"/>
  <c r="U206" i="277" s="1"/>
  <c r="H55" i="277"/>
  <c r="I55" i="277"/>
  <c r="E263" i="277"/>
  <c r="E232" i="277"/>
  <c r="E234" i="277" s="1"/>
  <c r="W53" i="277"/>
  <c r="V177" i="277"/>
  <c r="P31" i="277"/>
  <c r="P36" i="277"/>
  <c r="P263" i="277"/>
  <c r="P232" i="277"/>
  <c r="P234" i="277" s="1"/>
  <c r="S126" i="277"/>
  <c r="L31" i="277"/>
  <c r="L36" i="277"/>
  <c r="F34" i="277"/>
  <c r="M235" i="277"/>
  <c r="H200" i="277"/>
  <c r="H207" i="277"/>
  <c r="H206" i="277" s="1"/>
  <c r="G203" i="277" s="1"/>
  <c r="G202" i="277" s="1"/>
  <c r="G268" i="277" s="1"/>
  <c r="K235" i="277"/>
  <c r="K270" i="277"/>
  <c r="M200" i="277"/>
  <c r="M207" i="277"/>
  <c r="M206" i="277" s="1"/>
  <c r="L203" i="277" s="1"/>
  <c r="L202" i="277" s="1"/>
  <c r="L268" i="277" s="1"/>
  <c r="R200" i="277"/>
  <c r="S207" i="277"/>
  <c r="S206" i="277" s="1"/>
  <c r="S203" i="277"/>
  <c r="S202" i="277" s="1"/>
  <c r="S268" i="277" s="1"/>
  <c r="W128" i="277"/>
  <c r="S34" i="277"/>
  <c r="D200" i="277"/>
  <c r="S204" i="277"/>
  <c r="D207" i="277"/>
  <c r="D206" i="277" s="1"/>
  <c r="I34" i="277"/>
  <c r="F263" i="277"/>
  <c r="F232" i="277"/>
  <c r="F234" i="277" s="1"/>
  <c r="Q34" i="277"/>
  <c r="V31" i="277"/>
  <c r="V36" i="277"/>
  <c r="E200" i="277"/>
  <c r="F203" i="277"/>
  <c r="F202" i="277" s="1"/>
  <c r="F268" i="277" s="1"/>
  <c r="E207" i="277"/>
  <c r="E206" i="277" s="1"/>
  <c r="D203" i="277" s="1"/>
  <c r="D202" i="277" s="1"/>
  <c r="D268" i="277" s="1"/>
  <c r="U168" i="277"/>
  <c r="U170" i="277"/>
  <c r="R227" i="277"/>
  <c r="G197" i="277"/>
  <c r="G196" i="277" s="1"/>
  <c r="J235" i="277"/>
  <c r="J270" i="277"/>
  <c r="J200" i="277"/>
  <c r="J207" i="277"/>
  <c r="J206" i="277" s="1"/>
  <c r="I203" i="277" s="1"/>
  <c r="I202" i="277" s="1"/>
  <c r="I268" i="277" s="1"/>
  <c r="L200" i="277"/>
  <c r="M203" i="277"/>
  <c r="M202" i="277" s="1"/>
  <c r="M268" i="277" s="1"/>
  <c r="L207" i="277"/>
  <c r="L206" i="277" s="1"/>
  <c r="K203" i="277" s="1"/>
  <c r="K202" i="277" s="1"/>
  <c r="K268" i="277" s="1"/>
  <c r="V192" i="277"/>
  <c r="U235" i="277"/>
  <c r="S235" i="277"/>
  <c r="M34" i="277"/>
  <c r="J31" i="277"/>
  <c r="J36" i="277"/>
  <c r="H31" i="277"/>
  <c r="H36" i="277"/>
  <c r="G126" i="277"/>
  <c r="T31" i="277"/>
  <c r="T36" i="277"/>
  <c r="N197" i="277"/>
  <c r="N196" i="277" s="1"/>
  <c r="N198" i="277"/>
  <c r="U128" i="277"/>
  <c r="Q200" i="277"/>
  <c r="R203" i="277"/>
  <c r="R202" i="277" s="1"/>
  <c r="R268" i="277" s="1"/>
  <c r="R207" i="277"/>
  <c r="R206" i="277" s="1"/>
  <c r="I128" i="277"/>
  <c r="I200" i="277"/>
  <c r="I207" i="277"/>
  <c r="I206" i="277" s="1"/>
  <c r="H203" i="277" s="1"/>
  <c r="H202" i="277" s="1"/>
  <c r="H268" i="277" s="1"/>
  <c r="J203" i="277"/>
  <c r="J202" i="277" s="1"/>
  <c r="J268" i="277" s="1"/>
  <c r="F1" i="112"/>
  <c r="W288" i="112"/>
  <c r="H1" i="112"/>
  <c r="I265" i="112"/>
  <c r="I48" i="112" s="1"/>
  <c r="F207" i="275"/>
  <c r="F206" i="275" s="1"/>
  <c r="D56" i="275"/>
  <c r="E55" i="275" s="1"/>
  <c r="F260" i="275"/>
  <c r="F263" i="275" s="1"/>
  <c r="E73" i="275"/>
  <c r="E71" i="275" s="1"/>
  <c r="E160" i="275"/>
  <c r="E46" i="275" s="1"/>
  <c r="D287" i="275"/>
  <c r="J55" i="275"/>
  <c r="D260" i="275"/>
  <c r="D263" i="275" s="1"/>
  <c r="F174" i="275"/>
  <c r="D166" i="275"/>
  <c r="D162" i="275" s="1"/>
  <c r="D160" i="275" s="1"/>
  <c r="D46" i="275" s="1"/>
  <c r="D193" i="275"/>
  <c r="D192" i="275" s="1"/>
  <c r="D190" i="275" s="1"/>
  <c r="D189" i="275" s="1"/>
  <c r="D235" i="275"/>
  <c r="E44" i="275" s="1"/>
  <c r="F56" i="275"/>
  <c r="F55" i="275" s="1"/>
  <c r="I235" i="275"/>
  <c r="J44" i="275" s="1"/>
  <c r="K126" i="275"/>
  <c r="K192" i="275"/>
  <c r="K190" i="275" s="1"/>
  <c r="K189" i="275" s="1"/>
  <c r="E225" i="275"/>
  <c r="E222" i="275" s="1"/>
  <c r="P207" i="275"/>
  <c r="P206" i="275" s="1"/>
  <c r="O203" i="275" s="1"/>
  <c r="O202" i="275" s="1"/>
  <c r="O207" i="275"/>
  <c r="O206" i="275" s="1"/>
  <c r="Q207" i="275"/>
  <c r="Q206" i="275" s="1"/>
  <c r="P203" i="275" s="1"/>
  <c r="Q203" i="275"/>
  <c r="F193" i="275"/>
  <c r="F151" i="275"/>
  <c r="F31" i="275" s="1"/>
  <c r="F126" i="275" s="1"/>
  <c r="Y53" i="275"/>
  <c r="Y177" i="275" s="1"/>
  <c r="Y174" i="275" s="1"/>
  <c r="X177" i="275"/>
  <c r="X174" i="275" s="1"/>
  <c r="G260" i="275"/>
  <c r="G263" i="275" s="1"/>
  <c r="G56" i="275"/>
  <c r="Y128" i="275"/>
  <c r="F235" i="275"/>
  <c r="F270" i="275"/>
  <c r="W31" i="275"/>
  <c r="W36" i="275"/>
  <c r="R263" i="275"/>
  <c r="R232" i="275"/>
  <c r="R234" i="275" s="1"/>
  <c r="S270" i="275" s="1"/>
  <c r="E126" i="275"/>
  <c r="R34" i="275"/>
  <c r="G193" i="275"/>
  <c r="G151" i="275"/>
  <c r="G31" i="275" s="1"/>
  <c r="P281" i="275"/>
  <c r="Q128" i="275"/>
  <c r="O281" i="275"/>
  <c r="M263" i="275"/>
  <c r="M232" i="275"/>
  <c r="M234" i="275" s="1"/>
  <c r="I192" i="275"/>
  <c r="I190" i="275" s="1"/>
  <c r="I189" i="275" s="1"/>
  <c r="K160" i="275"/>
  <c r="K46" i="275" s="1"/>
  <c r="K73" i="275"/>
  <c r="T126" i="275"/>
  <c r="J271" i="275"/>
  <c r="J236" i="275"/>
  <c r="R200" i="275"/>
  <c r="S203" i="275"/>
  <c r="S202" i="275" s="1"/>
  <c r="S268" i="275" s="1"/>
  <c r="S207" i="275"/>
  <c r="S206" i="275" s="1"/>
  <c r="F292" i="275"/>
  <c r="F287" i="275" s="1"/>
  <c r="G293" i="275"/>
  <c r="J126" i="275"/>
  <c r="I160" i="275"/>
  <c r="I46" i="275" s="1"/>
  <c r="I73" i="275"/>
  <c r="T198" i="275"/>
  <c r="T197" i="275"/>
  <c r="T196" i="275" s="1"/>
  <c r="Q34" i="275"/>
  <c r="P31" i="275"/>
  <c r="P36" i="275"/>
  <c r="O263" i="275"/>
  <c r="O232" i="275"/>
  <c r="O234" i="275" s="1"/>
  <c r="U200" i="275"/>
  <c r="V207" i="275"/>
  <c r="F266" i="275"/>
  <c r="F195" i="275"/>
  <c r="F169" i="275" s="1"/>
  <c r="F166" i="275" s="1"/>
  <c r="F162" i="275" s="1"/>
  <c r="J192" i="275"/>
  <c r="J190" i="275" s="1"/>
  <c r="J189" i="275" s="1"/>
  <c r="T236" i="275"/>
  <c r="G270" i="275"/>
  <c r="G235" i="275"/>
  <c r="P127" i="275"/>
  <c r="N200" i="275"/>
  <c r="N207" i="275"/>
  <c r="N206" i="275" s="1"/>
  <c r="M203" i="275" s="1"/>
  <c r="M202" i="275" s="1"/>
  <c r="J160" i="275"/>
  <c r="J46" i="275" s="1"/>
  <c r="J73" i="275"/>
  <c r="X128" i="275"/>
  <c r="Q200" i="275"/>
  <c r="R207" i="275"/>
  <c r="R206" i="275" s="1"/>
  <c r="R203" i="275"/>
  <c r="R202" i="275" s="1"/>
  <c r="R268" i="275" s="1"/>
  <c r="J183" i="275"/>
  <c r="J182" i="275" s="1"/>
  <c r="J181" i="275" s="1"/>
  <c r="J179" i="275" s="1"/>
  <c r="J32" i="275" s="1"/>
  <c r="J127" i="275" s="1"/>
  <c r="AG139" i="275"/>
  <c r="V257" i="275"/>
  <c r="U260" i="275"/>
  <c r="U31" i="275"/>
  <c r="U126" i="275" s="1"/>
  <c r="U36" i="275"/>
  <c r="AD139" i="275"/>
  <c r="AE139" i="275" s="1"/>
  <c r="V139" i="275" s="1"/>
  <c r="V137" i="275" s="1"/>
  <c r="S235" i="275"/>
  <c r="T271" i="275" s="1"/>
  <c r="N227" i="275"/>
  <c r="K183" i="275"/>
  <c r="K182" i="275" s="1"/>
  <c r="K181" i="275" s="1"/>
  <c r="K179" i="275" s="1"/>
  <c r="K32" i="275" s="1"/>
  <c r="O31" i="275"/>
  <c r="O126" i="275" s="1"/>
  <c r="O36" i="275"/>
  <c r="G195" i="275"/>
  <c r="G169" i="275" s="1"/>
  <c r="G166" i="275" s="1"/>
  <c r="G162" i="275" s="1"/>
  <c r="G266" i="275"/>
  <c r="M227" i="275"/>
  <c r="T34" i="275"/>
  <c r="S227" i="275"/>
  <c r="G174" i="275"/>
  <c r="H175" i="275"/>
  <c r="K55" i="275"/>
  <c r="V31" i="275"/>
  <c r="V36" i="275"/>
  <c r="P263" i="275"/>
  <c r="P232" i="275"/>
  <c r="P234" i="275" s="1"/>
  <c r="Q270" i="275" s="1"/>
  <c r="N263" i="275"/>
  <c r="N232" i="275"/>
  <c r="N234" i="275" s="1"/>
  <c r="Q235" i="275"/>
  <c r="S197" i="275"/>
  <c r="S196" i="275" s="1"/>
  <c r="E272" i="275"/>
  <c r="K236" i="275"/>
  <c r="K44" i="275"/>
  <c r="K271" i="275"/>
  <c r="W167" i="112"/>
  <c r="E233" i="112"/>
  <c r="D233" i="112"/>
  <c r="P2" i="112"/>
  <c r="P1" i="112"/>
  <c r="W202" i="112"/>
  <c r="O290" i="112"/>
  <c r="Q233" i="112"/>
  <c r="S2" i="112"/>
  <c r="Q1" i="112"/>
  <c r="Q2" i="112"/>
  <c r="S1" i="112"/>
  <c r="W250" i="112"/>
  <c r="W31" i="112"/>
  <c r="P233" i="112"/>
  <c r="N2" i="112"/>
  <c r="D175" i="112"/>
  <c r="D48" i="112"/>
  <c r="K290" i="112"/>
  <c r="K288" i="112" s="1"/>
  <c r="W292" i="112"/>
  <c r="R10" i="112"/>
  <c r="N1" i="112"/>
  <c r="I2" i="112"/>
  <c r="R233" i="112"/>
  <c r="P229" i="112"/>
  <c r="P141" i="112" s="1"/>
  <c r="P140" i="112" s="1"/>
  <c r="P288" i="112"/>
  <c r="P167" i="112"/>
  <c r="P153" i="112"/>
  <c r="P151" i="112" s="1"/>
  <c r="P31" i="112" s="1"/>
  <c r="P242" i="112"/>
  <c r="P171" i="112"/>
  <c r="P186" i="112" s="1"/>
  <c r="P79" i="112"/>
  <c r="Q229" i="112"/>
  <c r="Q141" i="112" s="1"/>
  <c r="Q140" i="112" s="1"/>
  <c r="G247" i="112"/>
  <c r="N290" i="112"/>
  <c r="N288" i="112" s="1"/>
  <c r="M290" i="112"/>
  <c r="M288" i="112" s="1"/>
  <c r="S233" i="112"/>
  <c r="M265" i="112"/>
  <c r="M48" i="112" s="1"/>
  <c r="J265" i="112"/>
  <c r="J48" i="112" s="1"/>
  <c r="R288" i="112"/>
  <c r="Q171" i="112"/>
  <c r="Q186" i="112" s="1"/>
  <c r="Q242" i="112"/>
  <c r="R229" i="112"/>
  <c r="R141" i="112" s="1"/>
  <c r="R140" i="112" s="1"/>
  <c r="Q288" i="112"/>
  <c r="Q167" i="112"/>
  <c r="Q79" i="112"/>
  <c r="T1" i="112"/>
  <c r="R171" i="112"/>
  <c r="R186" i="112" s="1"/>
  <c r="T2" i="112"/>
  <c r="R242" i="112"/>
  <c r="T292" i="112"/>
  <c r="W233" i="112"/>
  <c r="D297" i="112"/>
  <c r="E297" i="112" s="1"/>
  <c r="U259" i="112"/>
  <c r="V259" i="112" s="1"/>
  <c r="W259" i="112" s="1"/>
  <c r="X259" i="112" s="1"/>
  <c r="Y259" i="112" s="1"/>
  <c r="J233" i="112"/>
  <c r="L265" i="112"/>
  <c r="E265" i="112"/>
  <c r="E48" i="112" s="1"/>
  <c r="K265" i="112"/>
  <c r="K48" i="112" s="1"/>
  <c r="I229" i="112"/>
  <c r="I141" i="112" s="1"/>
  <c r="I140" i="112" s="1"/>
  <c r="T167" i="112"/>
  <c r="V233" i="112"/>
  <c r="Y209" i="112"/>
  <c r="Y233" i="112"/>
  <c r="X209" i="112"/>
  <c r="W209" i="112"/>
  <c r="X233" i="112"/>
  <c r="W36" i="112"/>
  <c r="N171" i="112"/>
  <c r="N186" i="112" s="1"/>
  <c r="V209" i="112"/>
  <c r="V247" i="112"/>
  <c r="W247" i="112" s="1"/>
  <c r="X247" i="112" s="1"/>
  <c r="Y247" i="112" s="1"/>
  <c r="H229" i="112"/>
  <c r="H141" i="112" s="1"/>
  <c r="H140" i="112" s="1"/>
  <c r="J157" i="112"/>
  <c r="J155" i="112" s="1"/>
  <c r="J153" i="112" s="1"/>
  <c r="J193" i="112" s="1"/>
  <c r="V250" i="112"/>
  <c r="F259" i="112"/>
  <c r="G259" i="112" s="1"/>
  <c r="X167" i="112"/>
  <c r="R167" i="112"/>
  <c r="T297" i="112"/>
  <c r="R265" i="112"/>
  <c r="N229" i="112"/>
  <c r="N141" i="112" s="1"/>
  <c r="N140" i="112" s="1"/>
  <c r="N79" i="112"/>
  <c r="N242" i="112"/>
  <c r="N167" i="112"/>
  <c r="N145" i="112"/>
  <c r="H157" i="112"/>
  <c r="H155" i="112" s="1"/>
  <c r="H153" i="112" s="1"/>
  <c r="D171" i="112"/>
  <c r="D186" i="112" s="1"/>
  <c r="E157" i="112"/>
  <c r="E155" i="112" s="1"/>
  <c r="E153" i="112" s="1"/>
  <c r="E151" i="112" s="1"/>
  <c r="H167" i="112"/>
  <c r="D229" i="112"/>
  <c r="D141" i="112" s="1"/>
  <c r="D140" i="112" s="1"/>
  <c r="H171" i="112"/>
  <c r="H186" i="112" s="1"/>
  <c r="E292" i="112"/>
  <c r="D242" i="112"/>
  <c r="E171" i="112"/>
  <c r="E186" i="112" s="1"/>
  <c r="H242" i="112"/>
  <c r="E288" i="112"/>
  <c r="H145" i="112"/>
  <c r="D292" i="112"/>
  <c r="E167" i="112"/>
  <c r="D288" i="112"/>
  <c r="X153" i="112"/>
  <c r="X193" i="112" s="1"/>
  <c r="E242" i="112"/>
  <c r="E229" i="112"/>
  <c r="E141" i="112" s="1"/>
  <c r="E140" i="112" s="1"/>
  <c r="D167" i="112"/>
  <c r="Q265" i="112"/>
  <c r="Q48" i="112" s="1"/>
  <c r="T233" i="112"/>
  <c r="R1" i="112"/>
  <c r="D157" i="112"/>
  <c r="D155" i="112" s="1"/>
  <c r="D153" i="112" s="1"/>
  <c r="D151" i="112" s="1"/>
  <c r="L171" i="112"/>
  <c r="L186" i="112" s="1"/>
  <c r="X288" i="112"/>
  <c r="L242" i="112"/>
  <c r="L138" i="112" s="1"/>
  <c r="L137" i="112" s="1"/>
  <c r="L167" i="112"/>
  <c r="L157" i="112"/>
  <c r="L155" i="112" s="1"/>
  <c r="L153" i="112" s="1"/>
  <c r="L193" i="112" s="1"/>
  <c r="X250" i="112"/>
  <c r="X292" i="112"/>
  <c r="L79" i="112"/>
  <c r="Y250" i="112"/>
  <c r="Y167" i="112"/>
  <c r="Y288" i="112"/>
  <c r="X202" i="112"/>
  <c r="L229" i="112"/>
  <c r="L141" i="112" s="1"/>
  <c r="L140" i="112" s="1"/>
  <c r="Y292" i="112"/>
  <c r="Y202" i="112"/>
  <c r="W193" i="112"/>
  <c r="W192" i="112" s="1"/>
  <c r="W183" i="112"/>
  <c r="W182" i="112" s="1"/>
  <c r="J167" i="112"/>
  <c r="J229" i="112"/>
  <c r="J141" i="112" s="1"/>
  <c r="J140" i="112" s="1"/>
  <c r="Y195" i="112"/>
  <c r="Y169" i="112" s="1"/>
  <c r="Y193" i="112"/>
  <c r="Y151" i="112"/>
  <c r="Y183" i="112"/>
  <c r="Y182" i="112" s="1"/>
  <c r="J288" i="112"/>
  <c r="J242" i="112"/>
  <c r="X195" i="112"/>
  <c r="X169" i="112" s="1"/>
  <c r="U297" i="112"/>
  <c r="T287" i="112"/>
  <c r="T249" i="112" s="1"/>
  <c r="I171" i="112"/>
  <c r="I186" i="112" s="1"/>
  <c r="F167" i="112"/>
  <c r="F157" i="112"/>
  <c r="F155" i="112" s="1"/>
  <c r="F153" i="112" s="1"/>
  <c r="F151" i="112" s="1"/>
  <c r="I288" i="112"/>
  <c r="S167" i="112"/>
  <c r="S153" i="112"/>
  <c r="S151" i="112" s="1"/>
  <c r="S288" i="112"/>
  <c r="I157" i="112"/>
  <c r="I155" i="112" s="1"/>
  <c r="I153" i="112" s="1"/>
  <c r="I193" i="112" s="1"/>
  <c r="K229" i="112"/>
  <c r="K141" i="112" s="1"/>
  <c r="K140" i="112" s="1"/>
  <c r="I167" i="112"/>
  <c r="O79" i="112"/>
  <c r="O242" i="112"/>
  <c r="M79" i="112"/>
  <c r="M242" i="112"/>
  <c r="K171" i="112"/>
  <c r="K186" i="112" s="1"/>
  <c r="K79" i="112"/>
  <c r="I242" i="112"/>
  <c r="I138" i="112" s="1"/>
  <c r="I137" i="112" s="1"/>
  <c r="M301" i="112"/>
  <c r="N301" i="112" s="1"/>
  <c r="O301" i="112" s="1"/>
  <c r="P301" i="112" s="1"/>
  <c r="Q301" i="112" s="1"/>
  <c r="R301" i="112" s="1"/>
  <c r="S301" i="112" s="1"/>
  <c r="J298" i="112"/>
  <c r="K298" i="112" s="1"/>
  <c r="L298" i="112" s="1"/>
  <c r="M298" i="112" s="1"/>
  <c r="O265" i="112"/>
  <c r="O48" i="112" s="1"/>
  <c r="P265" i="112"/>
  <c r="P48" i="112" s="1"/>
  <c r="U10" i="112"/>
  <c r="U2" i="112"/>
  <c r="U1" i="112"/>
  <c r="U145" i="112"/>
  <c r="U233" i="112"/>
  <c r="M229" i="112"/>
  <c r="M141" i="112" s="1"/>
  <c r="M140" i="112" s="1"/>
  <c r="D95" i="112"/>
  <c r="D88" i="112" s="1"/>
  <c r="I293" i="112"/>
  <c r="K242" i="112"/>
  <c r="O288" i="112"/>
  <c r="G288" i="112"/>
  <c r="O229" i="112"/>
  <c r="O141" i="112" s="1"/>
  <c r="O140" i="112" s="1"/>
  <c r="T177" i="112"/>
  <c r="K145" i="112"/>
  <c r="K233" i="112"/>
  <c r="U292" i="112"/>
  <c r="U288" i="112"/>
  <c r="K167" i="112"/>
  <c r="K184" i="112"/>
  <c r="U222" i="112"/>
  <c r="U221" i="112" s="1"/>
  <c r="U209" i="112"/>
  <c r="K157" i="112"/>
  <c r="K155" i="112" s="1"/>
  <c r="K153" i="112" s="1"/>
  <c r="V292" i="112"/>
  <c r="V288" i="112"/>
  <c r="V202" i="112"/>
  <c r="V167" i="112"/>
  <c r="M10" i="112"/>
  <c r="M1" i="112"/>
  <c r="M2" i="112"/>
  <c r="L10" i="112"/>
  <c r="L1" i="112"/>
  <c r="L2" i="112"/>
  <c r="G2" i="112"/>
  <c r="G1" i="112"/>
  <c r="O10" i="112"/>
  <c r="O1" i="112"/>
  <c r="O2" i="112"/>
  <c r="O145" i="112"/>
  <c r="U153" i="112"/>
  <c r="U167" i="112"/>
  <c r="S209" i="112"/>
  <c r="G167" i="112"/>
  <c r="J2" i="112"/>
  <c r="J1" i="112"/>
  <c r="O153" i="112"/>
  <c r="O167" i="112"/>
  <c r="R183" i="112"/>
  <c r="R182" i="112" s="1"/>
  <c r="R151" i="112"/>
  <c r="R193" i="112"/>
  <c r="G145" i="112"/>
  <c r="O171" i="112"/>
  <c r="O186" i="112" s="1"/>
  <c r="M145" i="112"/>
  <c r="N265" i="112"/>
  <c r="T183" i="112"/>
  <c r="T182" i="112" s="1"/>
  <c r="T151" i="112"/>
  <c r="T193" i="112"/>
  <c r="S173" i="112"/>
  <c r="T221" i="112"/>
  <c r="L290" i="112"/>
  <c r="L288" i="112" s="1"/>
  <c r="V195" i="112"/>
  <c r="V169" i="112" s="1"/>
  <c r="M184" i="112"/>
  <c r="M171" i="112"/>
  <c r="M186" i="112" s="1"/>
  <c r="M153" i="112"/>
  <c r="M167" i="112"/>
  <c r="T209" i="112"/>
  <c r="G157" i="112"/>
  <c r="G155" i="112" s="1"/>
  <c r="G153" i="112" s="1"/>
  <c r="K1" i="112"/>
  <c r="K2" i="112"/>
  <c r="H290" i="112"/>
  <c r="H288" i="112" s="1"/>
  <c r="F290" i="112"/>
  <c r="G292" i="112"/>
  <c r="N151" i="112"/>
  <c r="N183" i="112"/>
  <c r="N182" i="112" s="1"/>
  <c r="N193" i="112"/>
  <c r="G184" i="112"/>
  <c r="V151" i="112"/>
  <c r="V183" i="112"/>
  <c r="V182" i="112" s="1"/>
  <c r="V193" i="112"/>
  <c r="O233" i="112"/>
  <c r="Q151" i="112"/>
  <c r="Q183" i="112"/>
  <c r="Q182" i="112" s="1"/>
  <c r="Q193" i="112"/>
  <c r="R204" i="277" l="1"/>
  <c r="U204" i="277"/>
  <c r="O204" i="277"/>
  <c r="K204" i="277"/>
  <c r="L126" i="275"/>
  <c r="M204" i="277"/>
  <c r="D270" i="277"/>
  <c r="P55" i="277"/>
  <c r="D204" i="277"/>
  <c r="L204" i="277"/>
  <c r="G204" i="277"/>
  <c r="E204" i="277"/>
  <c r="P204" i="277"/>
  <c r="F204" i="277"/>
  <c r="Y208" i="277"/>
  <c r="J204" i="277"/>
  <c r="Q204" i="277"/>
  <c r="T204" i="277"/>
  <c r="I204" i="277"/>
  <c r="H204" i="277"/>
  <c r="AG139" i="277"/>
  <c r="L102" i="275"/>
  <c r="V244" i="277"/>
  <c r="V242" i="277" s="1"/>
  <c r="V56" i="277" s="1"/>
  <c r="V55" i="277" s="1"/>
  <c r="W139" i="277"/>
  <c r="W137" i="277" s="1"/>
  <c r="I270" i="277"/>
  <c r="H270" i="277"/>
  <c r="O36" i="277"/>
  <c r="O31" i="277"/>
  <c r="O126" i="277" s="1"/>
  <c r="X208" i="277"/>
  <c r="P127" i="277"/>
  <c r="O200" i="277"/>
  <c r="O207" i="277"/>
  <c r="O206" i="277" s="1"/>
  <c r="N203" i="277" s="1"/>
  <c r="N202" i="277" s="1"/>
  <c r="N268" i="277" s="1"/>
  <c r="P207" i="277"/>
  <c r="P206" i="277" s="1"/>
  <c r="O203" i="277" s="1"/>
  <c r="O202" i="277" s="1"/>
  <c r="O268" i="277" s="1"/>
  <c r="O263" i="277"/>
  <c r="O232" i="277"/>
  <c r="O234" i="277" s="1"/>
  <c r="P270" i="277" s="1"/>
  <c r="Q203" i="277"/>
  <c r="Q202" i="277" s="1"/>
  <c r="Q268" i="277" s="1"/>
  <c r="W208" i="277"/>
  <c r="Q207" i="277"/>
  <c r="Q206" i="277" s="1"/>
  <c r="P203" i="277" s="1"/>
  <c r="P202" i="277" s="1"/>
  <c r="P268" i="277" s="1"/>
  <c r="P128" i="277"/>
  <c r="V208" i="277"/>
  <c r="O281" i="277"/>
  <c r="O227" i="277" s="1"/>
  <c r="O34" i="277" s="1"/>
  <c r="M270" i="277"/>
  <c r="S204" i="275"/>
  <c r="Y208" i="275"/>
  <c r="W208" i="275"/>
  <c r="M204" i="275"/>
  <c r="M207" i="275"/>
  <c r="M206" i="275" s="1"/>
  <c r="M200" i="275"/>
  <c r="M197" i="275" s="1"/>
  <c r="X208" i="275"/>
  <c r="R204" i="275"/>
  <c r="T204" i="275"/>
  <c r="Q204" i="275"/>
  <c r="Q202" i="275" s="1"/>
  <c r="Q268" i="275" s="1"/>
  <c r="L225" i="275"/>
  <c r="L222" i="275" s="1"/>
  <c r="L187" i="275" s="1"/>
  <c r="L185" i="275" s="1"/>
  <c r="V208" i="275"/>
  <c r="N203" i="275"/>
  <c r="N202" i="275" s="1"/>
  <c r="U204" i="275"/>
  <c r="O204" i="275"/>
  <c r="P204" i="275"/>
  <c r="P202" i="275" s="1"/>
  <c r="P268" i="275" s="1"/>
  <c r="L183" i="275"/>
  <c r="L182" i="275" s="1"/>
  <c r="L181" i="275" s="1"/>
  <c r="L179" i="275" s="1"/>
  <c r="L32" i="275" s="1"/>
  <c r="M127" i="275" s="1"/>
  <c r="M250" i="275"/>
  <c r="L55" i="275"/>
  <c r="L73" i="275"/>
  <c r="L76" i="275" s="1"/>
  <c r="L160" i="275"/>
  <c r="L46" i="275" s="1"/>
  <c r="W287" i="112"/>
  <c r="V126" i="275"/>
  <c r="L236" i="275"/>
  <c r="L272" i="275" s="1"/>
  <c r="H160" i="275"/>
  <c r="H46" i="275" s="1"/>
  <c r="L44" i="275"/>
  <c r="H225" i="275"/>
  <c r="H222" i="275" s="1"/>
  <c r="H221" i="275" s="1"/>
  <c r="H33" i="275" s="1"/>
  <c r="H73" i="275"/>
  <c r="H71" i="275" s="1"/>
  <c r="H69" i="275" s="1"/>
  <c r="X142" i="275"/>
  <c r="X140" i="275" s="1"/>
  <c r="X231" i="275" s="1"/>
  <c r="X229" i="275" s="1"/>
  <c r="V281" i="275"/>
  <c r="V227" i="275" s="1"/>
  <c r="V34" i="275" s="1"/>
  <c r="L270" i="277"/>
  <c r="K187" i="277"/>
  <c r="K185" i="277" s="1"/>
  <c r="K170" i="277"/>
  <c r="J236" i="277"/>
  <c r="J271" i="277"/>
  <c r="J44" i="277"/>
  <c r="R34" i="277"/>
  <c r="F235" i="277"/>
  <c r="F270" i="277"/>
  <c r="G270" i="277"/>
  <c r="M197" i="277"/>
  <c r="M196" i="277" s="1"/>
  <c r="M198" i="277"/>
  <c r="Q126" i="277"/>
  <c r="N271" i="277"/>
  <c r="N236" i="277"/>
  <c r="N44" i="277"/>
  <c r="P34" i="277"/>
  <c r="J197" i="277"/>
  <c r="J196" i="277" s="1"/>
  <c r="J198" i="277"/>
  <c r="D197" i="277"/>
  <c r="D198" i="277"/>
  <c r="V173" i="277"/>
  <c r="V171" i="277" s="1"/>
  <c r="V186" i="277" s="1"/>
  <c r="V185" i="277" s="1"/>
  <c r="V181" i="277" s="1"/>
  <c r="V174" i="277"/>
  <c r="V172" i="277"/>
  <c r="H271" i="277"/>
  <c r="H236" i="277"/>
  <c r="H44" i="277"/>
  <c r="H126" i="277"/>
  <c r="I126" i="277"/>
  <c r="W177" i="277"/>
  <c r="W174" i="277" s="1"/>
  <c r="X53" i="277"/>
  <c r="W206" i="277"/>
  <c r="X207" i="277"/>
  <c r="F197" i="277"/>
  <c r="F196" i="277" s="1"/>
  <c r="F198" i="277"/>
  <c r="S236" i="277"/>
  <c r="V200" i="277"/>
  <c r="I197" i="277"/>
  <c r="I196" i="277" s="1"/>
  <c r="I198" i="277"/>
  <c r="D126" i="277"/>
  <c r="E126" i="277"/>
  <c r="Q270" i="277"/>
  <c r="Q235" i="277"/>
  <c r="Y142" i="277"/>
  <c r="Y140" i="277" s="1"/>
  <c r="Y231" i="277" s="1"/>
  <c r="Y229" i="277" s="1"/>
  <c r="X231" i="277"/>
  <c r="X229" i="277" s="1"/>
  <c r="T126" i="277"/>
  <c r="U126" i="277"/>
  <c r="E197" i="277"/>
  <c r="E196" i="277" s="1"/>
  <c r="E198" i="277"/>
  <c r="H197" i="277"/>
  <c r="H196" i="277" s="1"/>
  <c r="H198" i="277"/>
  <c r="J126" i="277"/>
  <c r="K126" i="277"/>
  <c r="G168" i="277"/>
  <c r="G170" i="277"/>
  <c r="G187" i="277"/>
  <c r="G185" i="277" s="1"/>
  <c r="G252" i="277"/>
  <c r="L126" i="277"/>
  <c r="M126" i="277"/>
  <c r="R270" i="277"/>
  <c r="R235" i="277"/>
  <c r="S271" i="277" s="1"/>
  <c r="U236" i="277"/>
  <c r="V126" i="277"/>
  <c r="W126" i="277"/>
  <c r="L271" i="277"/>
  <c r="L236" i="277"/>
  <c r="L44" i="277"/>
  <c r="K236" i="277"/>
  <c r="K271" i="277"/>
  <c r="K44" i="277"/>
  <c r="N168" i="277"/>
  <c r="N170" i="277"/>
  <c r="N187" i="277"/>
  <c r="N185" i="277" s="1"/>
  <c r="D271" i="277"/>
  <c r="D236" i="277"/>
  <c r="D44" i="277"/>
  <c r="R198" i="277"/>
  <c r="R197" i="277"/>
  <c r="R196" i="277" s="1"/>
  <c r="P235" i="277"/>
  <c r="I271" i="277"/>
  <c r="I236" i="277"/>
  <c r="I44" i="277"/>
  <c r="S168" i="277"/>
  <c r="S170" i="277"/>
  <c r="S187" i="277"/>
  <c r="S185" i="277" s="1"/>
  <c r="Q197" i="277"/>
  <c r="Q196" i="277" s="1"/>
  <c r="Q198" i="277"/>
  <c r="P197" i="277"/>
  <c r="P196" i="277" s="1"/>
  <c r="P198" i="277"/>
  <c r="L197" i="277"/>
  <c r="L196" i="277" s="1"/>
  <c r="L198" i="277"/>
  <c r="M271" i="277"/>
  <c r="M236" i="277"/>
  <c r="M44" i="277"/>
  <c r="T270" i="277"/>
  <c r="T235" i="277"/>
  <c r="U44" i="277" s="1"/>
  <c r="E235" i="277"/>
  <c r="E270" i="277"/>
  <c r="T197" i="277"/>
  <c r="T196" i="277" s="1"/>
  <c r="T198" i="277"/>
  <c r="T227" i="277"/>
  <c r="X126" i="277"/>
  <c r="Y126" i="277"/>
  <c r="D258" i="112"/>
  <c r="D138" i="112"/>
  <c r="D137" i="112" s="1"/>
  <c r="E138" i="112"/>
  <c r="E137" i="112" s="1"/>
  <c r="D55" i="275"/>
  <c r="G207" i="275"/>
  <c r="G206" i="275" s="1"/>
  <c r="D183" i="275"/>
  <c r="D182" i="275" s="1"/>
  <c r="D181" i="275" s="1"/>
  <c r="D179" i="275" s="1"/>
  <c r="D32" i="275" s="1"/>
  <c r="D127" i="275" s="1"/>
  <c r="E76" i="275"/>
  <c r="D236" i="275"/>
  <c r="E45" i="275" s="1"/>
  <c r="D44" i="275"/>
  <c r="D271" i="275"/>
  <c r="I44" i="275"/>
  <c r="I236" i="275"/>
  <c r="I45" i="275" s="1"/>
  <c r="I271" i="275"/>
  <c r="K127" i="275"/>
  <c r="K225" i="275"/>
  <c r="K222" i="275" s="1"/>
  <c r="K221" i="275" s="1"/>
  <c r="G192" i="275"/>
  <c r="G190" i="275" s="1"/>
  <c r="G189" i="275" s="1"/>
  <c r="I225" i="275"/>
  <c r="I222" i="275" s="1"/>
  <c r="I221" i="275" s="1"/>
  <c r="E221" i="275"/>
  <c r="E187" i="275"/>
  <c r="E185" i="275" s="1"/>
  <c r="D225" i="275"/>
  <c r="D222" i="275" s="1"/>
  <c r="D221" i="275" s="1"/>
  <c r="T49" i="275"/>
  <c r="T40" i="275"/>
  <c r="F160" i="275"/>
  <c r="F46" i="275" s="1"/>
  <c r="F73" i="275"/>
  <c r="F183" i="275"/>
  <c r="F182" i="275" s="1"/>
  <c r="F181" i="275" s="1"/>
  <c r="F179" i="275" s="1"/>
  <c r="F32" i="275" s="1"/>
  <c r="F127" i="275" s="1"/>
  <c r="T168" i="275"/>
  <c r="T170" i="275"/>
  <c r="T187" i="275"/>
  <c r="T185" i="275" s="1"/>
  <c r="W139" i="275"/>
  <c r="W137" i="275" s="1"/>
  <c r="V244" i="275"/>
  <c r="V242" i="275" s="1"/>
  <c r="V206" i="275"/>
  <c r="W207" i="275"/>
  <c r="R197" i="275"/>
  <c r="R196" i="275" s="1"/>
  <c r="R198" i="275"/>
  <c r="K71" i="275"/>
  <c r="K76" i="275"/>
  <c r="E52" i="275"/>
  <c r="E51" i="275"/>
  <c r="E69" i="275"/>
  <c r="E95" i="275"/>
  <c r="N198" i="275"/>
  <c r="N197" i="275"/>
  <c r="N196" i="275" s="1"/>
  <c r="M34" i="275"/>
  <c r="S168" i="275"/>
  <c r="S170" i="275"/>
  <c r="S187" i="275"/>
  <c r="S185" i="275" s="1"/>
  <c r="G271" i="275"/>
  <c r="G236" i="275"/>
  <c r="G44" i="275"/>
  <c r="H44" i="275"/>
  <c r="U197" i="275"/>
  <c r="U196" i="275" s="1"/>
  <c r="U198" i="275"/>
  <c r="N270" i="275"/>
  <c r="N235" i="275"/>
  <c r="H174" i="275"/>
  <c r="I175" i="275"/>
  <c r="O270" i="275"/>
  <c r="O235" i="275"/>
  <c r="I71" i="275"/>
  <c r="I76" i="275"/>
  <c r="G55" i="275"/>
  <c r="H55" i="275"/>
  <c r="J272" i="275"/>
  <c r="M270" i="275"/>
  <c r="M235" i="275"/>
  <c r="R235" i="275"/>
  <c r="R270" i="275"/>
  <c r="Q236" i="275"/>
  <c r="Q198" i="275"/>
  <c r="Q197" i="275"/>
  <c r="Q196" i="275" s="1"/>
  <c r="P270" i="275"/>
  <c r="P235" i="275"/>
  <c r="Q44" i="275" s="1"/>
  <c r="S34" i="275"/>
  <c r="J225" i="275"/>
  <c r="J222" i="275" s="1"/>
  <c r="T44" i="275"/>
  <c r="O227" i="275"/>
  <c r="U263" i="275"/>
  <c r="U232" i="275"/>
  <c r="U234" i="275" s="1"/>
  <c r="J71" i="275"/>
  <c r="J76" i="275"/>
  <c r="P126" i="275"/>
  <c r="Q126" i="275"/>
  <c r="G160" i="275"/>
  <c r="G46" i="275" s="1"/>
  <c r="G73" i="275"/>
  <c r="W126" i="275"/>
  <c r="X126" i="275"/>
  <c r="P227" i="275"/>
  <c r="K272" i="275"/>
  <c r="K45" i="275"/>
  <c r="G292" i="275"/>
  <c r="G287" i="275" s="1"/>
  <c r="H293" i="275"/>
  <c r="G126" i="275"/>
  <c r="H126" i="275"/>
  <c r="F236" i="275"/>
  <c r="F271" i="275"/>
  <c r="F44" i="275"/>
  <c r="S236" i="275"/>
  <c r="T45" i="275" s="1"/>
  <c r="N34" i="275"/>
  <c r="U34" i="275"/>
  <c r="G183" i="275"/>
  <c r="G182" i="275" s="1"/>
  <c r="G181" i="275" s="1"/>
  <c r="G179" i="275" s="1"/>
  <c r="G32" i="275" s="1"/>
  <c r="F192" i="275"/>
  <c r="F190" i="275" s="1"/>
  <c r="F189" i="275" s="1"/>
  <c r="O200" i="275"/>
  <c r="E175" i="112"/>
  <c r="P183" i="112"/>
  <c r="P182" i="112" s="1"/>
  <c r="P138" i="112"/>
  <c r="P137" i="112" s="1"/>
  <c r="R138" i="112"/>
  <c r="R137" i="112" s="1"/>
  <c r="M138" i="112"/>
  <c r="M137" i="112" s="1"/>
  <c r="P193" i="112"/>
  <c r="P56" i="112"/>
  <c r="Q56" i="112"/>
  <c r="H138" i="112"/>
  <c r="H137" i="112" s="1"/>
  <c r="Q138" i="112"/>
  <c r="Q137" i="112" s="1"/>
  <c r="R56" i="112"/>
  <c r="U287" i="112"/>
  <c r="U249" i="112" s="1"/>
  <c r="U267" i="112" s="1"/>
  <c r="U252" i="112" s="1"/>
  <c r="J138" i="112"/>
  <c r="J137" i="112" s="1"/>
  <c r="N138" i="112"/>
  <c r="N137" i="112" s="1"/>
  <c r="R48" i="112"/>
  <c r="D103" i="112"/>
  <c r="D62" i="112"/>
  <c r="L48" i="112"/>
  <c r="I56" i="112"/>
  <c r="Y31" i="112"/>
  <c r="Y36" i="112"/>
  <c r="V31" i="112"/>
  <c r="W126" i="112" s="1"/>
  <c r="V36" i="112"/>
  <c r="S142" i="112"/>
  <c r="E287" i="112"/>
  <c r="E249" i="112" s="1"/>
  <c r="T258" i="112"/>
  <c r="U258" i="112" s="1"/>
  <c r="V258" i="112" s="1"/>
  <c r="W258" i="112" s="1"/>
  <c r="X258" i="112" s="1"/>
  <c r="Y258" i="112" s="1"/>
  <c r="N31" i="112"/>
  <c r="N56" i="112"/>
  <c r="D56" i="112"/>
  <c r="D55" i="112" s="1"/>
  <c r="H193" i="112"/>
  <c r="H151" i="112"/>
  <c r="H31" i="112" s="1"/>
  <c r="H56" i="112"/>
  <c r="D287" i="112"/>
  <c r="D249" i="112" s="1"/>
  <c r="D267" i="112" s="1"/>
  <c r="E56" i="112"/>
  <c r="X183" i="112"/>
  <c r="X182" i="112" s="1"/>
  <c r="X151" i="112"/>
  <c r="E193" i="112"/>
  <c r="D193" i="112"/>
  <c r="S297" i="112"/>
  <c r="S258" i="112" s="1"/>
  <c r="L56" i="112"/>
  <c r="X287" i="112"/>
  <c r="Y287" i="112"/>
  <c r="L151" i="112"/>
  <c r="J56" i="112"/>
  <c r="Y192" i="112"/>
  <c r="J151" i="112"/>
  <c r="X192" i="112"/>
  <c r="S183" i="112"/>
  <c r="S182" i="112" s="1"/>
  <c r="F193" i="112"/>
  <c r="I151" i="112"/>
  <c r="I31" i="112" s="1"/>
  <c r="S287" i="112"/>
  <c r="S249" i="112" s="1"/>
  <c r="S193" i="112"/>
  <c r="O56" i="112"/>
  <c r="G287" i="112"/>
  <c r="G249" i="112" s="1"/>
  <c r="K151" i="112"/>
  <c r="K31" i="112" s="1"/>
  <c r="K193" i="112"/>
  <c r="I292" i="112"/>
  <c r="I287" i="112" s="1"/>
  <c r="I249" i="112" s="1"/>
  <c r="J293" i="112"/>
  <c r="E258" i="112"/>
  <c r="F297" i="112"/>
  <c r="F288" i="112"/>
  <c r="F292" i="112"/>
  <c r="M56" i="112"/>
  <c r="H292" i="112"/>
  <c r="H287" i="112" s="1"/>
  <c r="H249" i="112" s="1"/>
  <c r="N298" i="112"/>
  <c r="O298" i="112" s="1"/>
  <c r="P298" i="112" s="1"/>
  <c r="Q298" i="112" s="1"/>
  <c r="R298" i="112" s="1"/>
  <c r="P36" i="112"/>
  <c r="V287" i="112"/>
  <c r="K56" i="112"/>
  <c r="K138" i="112"/>
  <c r="K137" i="112" s="1"/>
  <c r="V192" i="112"/>
  <c r="N48" i="112"/>
  <c r="R31" i="112"/>
  <c r="R36" i="112"/>
  <c r="T142" i="112"/>
  <c r="S231" i="112"/>
  <c r="S229" i="112" s="1"/>
  <c r="S141" i="112" s="1"/>
  <c r="D31" i="112"/>
  <c r="D126" i="112" s="1"/>
  <c r="D36" i="112"/>
  <c r="T31" i="112"/>
  <c r="T36" i="112"/>
  <c r="E31" i="112"/>
  <c r="E36" i="112"/>
  <c r="F31" i="112"/>
  <c r="F36" i="112"/>
  <c r="Q31" i="112"/>
  <c r="Q126" i="112" s="1"/>
  <c r="Q36" i="112"/>
  <c r="S31" i="112"/>
  <c r="S36" i="112"/>
  <c r="O138" i="112"/>
  <c r="O137" i="112" s="1"/>
  <c r="M151" i="112"/>
  <c r="M183" i="112"/>
  <c r="M182" i="112" s="1"/>
  <c r="M193" i="112"/>
  <c r="U33" i="112"/>
  <c r="U277" i="112"/>
  <c r="U279" i="112" s="1"/>
  <c r="N36" i="112"/>
  <c r="O183" i="112"/>
  <c r="O182" i="112" s="1"/>
  <c r="O151" i="112"/>
  <c r="O193" i="112"/>
  <c r="T277" i="112"/>
  <c r="T279" i="112" s="1"/>
  <c r="T33" i="112"/>
  <c r="G151" i="112"/>
  <c r="G193" i="112"/>
  <c r="U151" i="112"/>
  <c r="U183" i="112"/>
  <c r="U182" i="112" s="1"/>
  <c r="U193" i="112"/>
  <c r="U192" i="112" s="1"/>
  <c r="P126" i="277" l="1"/>
  <c r="O197" i="277"/>
  <c r="O196" i="277" s="1"/>
  <c r="O198" i="277"/>
  <c r="O235" i="277"/>
  <c r="O270" i="277"/>
  <c r="W244" i="277"/>
  <c r="W242" i="277" s="1"/>
  <c r="W56" i="277" s="1"/>
  <c r="W55" i="277" s="1"/>
  <c r="X139" i="277"/>
  <c r="X137" i="277" s="1"/>
  <c r="M198" i="275"/>
  <c r="L221" i="275"/>
  <c r="L277" i="275" s="1"/>
  <c r="L279" i="275" s="1"/>
  <c r="L127" i="275"/>
  <c r="L45" i="275"/>
  <c r="Y142" i="275"/>
  <c r="Y140" i="275" s="1"/>
  <c r="Y231" i="275" s="1"/>
  <c r="Y229" i="275" s="1"/>
  <c r="H277" i="275"/>
  <c r="H279" i="275" s="1"/>
  <c r="H95" i="275"/>
  <c r="H102" i="275" s="1"/>
  <c r="H51" i="275"/>
  <c r="H187" i="275"/>
  <c r="H185" i="275" s="1"/>
  <c r="H76" i="275"/>
  <c r="T272" i="275"/>
  <c r="T50" i="275" s="1"/>
  <c r="S44" i="277"/>
  <c r="P236" i="277"/>
  <c r="N272" i="277"/>
  <c r="N45" i="277"/>
  <c r="P168" i="277"/>
  <c r="P170" i="277"/>
  <c r="P187" i="277"/>
  <c r="P185" i="277" s="1"/>
  <c r="R168" i="277"/>
  <c r="R170" i="277"/>
  <c r="R187" i="277"/>
  <c r="R185" i="277" s="1"/>
  <c r="K272" i="277"/>
  <c r="K45" i="277"/>
  <c r="J168" i="277"/>
  <c r="J170" i="277"/>
  <c r="J187" i="277"/>
  <c r="J185" i="277" s="1"/>
  <c r="L272" i="277"/>
  <c r="L45" i="277"/>
  <c r="E236" i="277"/>
  <c r="E271" i="277"/>
  <c r="E44" i="277"/>
  <c r="D272" i="277"/>
  <c r="D45" i="277"/>
  <c r="L49" i="277"/>
  <c r="L40" i="277"/>
  <c r="M168" i="277"/>
  <c r="M170" i="277"/>
  <c r="M187" i="277"/>
  <c r="M185" i="277" s="1"/>
  <c r="Q168" i="277"/>
  <c r="Q170" i="277"/>
  <c r="Q187" i="277"/>
  <c r="Q185" i="277" s="1"/>
  <c r="T271" i="277"/>
  <c r="T236" i="277"/>
  <c r="U272" i="277" s="1"/>
  <c r="T44" i="277"/>
  <c r="D49" i="277"/>
  <c r="D40" i="277"/>
  <c r="S49" i="277"/>
  <c r="S40" i="277"/>
  <c r="Q271" i="277"/>
  <c r="Q236" i="277"/>
  <c r="Q44" i="277"/>
  <c r="F168" i="277"/>
  <c r="F170" i="277"/>
  <c r="F187" i="277"/>
  <c r="F185" i="277" s="1"/>
  <c r="F252" i="277"/>
  <c r="H272" i="277"/>
  <c r="H45" i="277"/>
  <c r="X206" i="277"/>
  <c r="Y207" i="277"/>
  <c r="Y206" i="277" s="1"/>
  <c r="H49" i="277"/>
  <c r="H40" i="277"/>
  <c r="F271" i="277"/>
  <c r="F236" i="277"/>
  <c r="F44" i="277"/>
  <c r="G271" i="277"/>
  <c r="G44" i="277"/>
  <c r="T168" i="277"/>
  <c r="T170" i="277"/>
  <c r="T187" i="277"/>
  <c r="T185" i="277" s="1"/>
  <c r="M272" i="277"/>
  <c r="M45" i="277"/>
  <c r="I272" i="277"/>
  <c r="I45" i="277"/>
  <c r="W200" i="277"/>
  <c r="W198" i="277" s="1"/>
  <c r="M49" i="277"/>
  <c r="M40" i="277"/>
  <c r="I49" i="277"/>
  <c r="I40" i="277"/>
  <c r="U271" i="277"/>
  <c r="Y53" i="277"/>
  <c r="Y177" i="277" s="1"/>
  <c r="Y174" i="277" s="1"/>
  <c r="X177" i="277"/>
  <c r="X174" i="277" s="1"/>
  <c r="R236" i="277"/>
  <c r="S272" i="277" s="1"/>
  <c r="R271" i="277"/>
  <c r="R44" i="277"/>
  <c r="H168" i="277"/>
  <c r="H170" i="277"/>
  <c r="H187" i="277"/>
  <c r="H185" i="277" s="1"/>
  <c r="V179" i="277"/>
  <c r="V32" i="277" s="1"/>
  <c r="V127" i="277" s="1"/>
  <c r="V281" i="277"/>
  <c r="L168" i="277"/>
  <c r="L170" i="277"/>
  <c r="L187" i="277"/>
  <c r="L185" i="277" s="1"/>
  <c r="I168" i="277"/>
  <c r="I170" i="277"/>
  <c r="I187" i="277"/>
  <c r="I185" i="277" s="1"/>
  <c r="J49" i="277"/>
  <c r="J40" i="277"/>
  <c r="T34" i="277"/>
  <c r="K49" i="277"/>
  <c r="K40" i="277"/>
  <c r="E168" i="277"/>
  <c r="E170" i="277"/>
  <c r="E187" i="277"/>
  <c r="E185" i="277" s="1"/>
  <c r="E252" i="277"/>
  <c r="V197" i="277"/>
  <c r="V196" i="277" s="1"/>
  <c r="V198" i="277"/>
  <c r="D196" i="277"/>
  <c r="N49" i="277"/>
  <c r="N40" i="277"/>
  <c r="J272" i="277"/>
  <c r="J45" i="277"/>
  <c r="H207" i="275"/>
  <c r="I207" i="275" s="1"/>
  <c r="E127" i="275"/>
  <c r="D272" i="275"/>
  <c r="D45" i="275"/>
  <c r="J45" i="275"/>
  <c r="I272" i="275"/>
  <c r="P200" i="275"/>
  <c r="P197" i="275" s="1"/>
  <c r="P196" i="275" s="1"/>
  <c r="K187" i="275"/>
  <c r="K185" i="275" s="1"/>
  <c r="I187" i="275"/>
  <c r="I185" i="275" s="1"/>
  <c r="G225" i="275"/>
  <c r="G222" i="275" s="1"/>
  <c r="D187" i="275"/>
  <c r="D185" i="275" s="1"/>
  <c r="E277" i="275"/>
  <c r="E279" i="275" s="1"/>
  <c r="E33" i="275"/>
  <c r="O197" i="275"/>
  <c r="O196" i="275" s="1"/>
  <c r="O198" i="275"/>
  <c r="P34" i="275"/>
  <c r="E102" i="275"/>
  <c r="E88" i="275"/>
  <c r="E103" i="275" s="1"/>
  <c r="F272" i="275"/>
  <c r="F45" i="275"/>
  <c r="M271" i="275"/>
  <c r="M236" i="275"/>
  <c r="M44" i="275"/>
  <c r="G71" i="275"/>
  <c r="G76" i="275"/>
  <c r="U168" i="275"/>
  <c r="U170" i="275"/>
  <c r="U187" i="275"/>
  <c r="U185" i="275" s="1"/>
  <c r="I69" i="275"/>
  <c r="I51" i="275"/>
  <c r="I95" i="275"/>
  <c r="K277" i="275"/>
  <c r="K279" i="275" s="1"/>
  <c r="K33" i="275"/>
  <c r="O236" i="275"/>
  <c r="O271" i="275"/>
  <c r="O44" i="275"/>
  <c r="H292" i="275"/>
  <c r="H287" i="275" s="1"/>
  <c r="I293" i="275"/>
  <c r="I174" i="275"/>
  <c r="J175" i="275"/>
  <c r="R271" i="275"/>
  <c r="R236" i="275"/>
  <c r="R44" i="275"/>
  <c r="K69" i="275"/>
  <c r="K51" i="275"/>
  <c r="K95" i="275"/>
  <c r="F225" i="275"/>
  <c r="F222" i="275" s="1"/>
  <c r="O34" i="275"/>
  <c r="G272" i="275"/>
  <c r="G45" i="275"/>
  <c r="H45" i="275"/>
  <c r="D277" i="275"/>
  <c r="D279" i="275" s="1"/>
  <c r="D33" i="275"/>
  <c r="Q168" i="275"/>
  <c r="Q170" i="275"/>
  <c r="Q187" i="275"/>
  <c r="Q185" i="275" s="1"/>
  <c r="N168" i="275"/>
  <c r="N166" i="275" s="1"/>
  <c r="N176" i="275" s="1"/>
  <c r="N187" i="275"/>
  <c r="N185" i="275" s="1"/>
  <c r="N170" i="275"/>
  <c r="N190" i="275"/>
  <c r="R168" i="275"/>
  <c r="R170" i="275"/>
  <c r="R187" i="275"/>
  <c r="R185" i="275" s="1"/>
  <c r="F71" i="275"/>
  <c r="F76" i="275"/>
  <c r="I277" i="275"/>
  <c r="I279" i="275" s="1"/>
  <c r="I33" i="275"/>
  <c r="I128" i="275" s="1"/>
  <c r="N271" i="275"/>
  <c r="N236" i="275"/>
  <c r="N44" i="275"/>
  <c r="S44" i="275"/>
  <c r="J221" i="275"/>
  <c r="J187" i="275"/>
  <c r="J185" i="275" s="1"/>
  <c r="W206" i="275"/>
  <c r="X207" i="275"/>
  <c r="S271" i="275"/>
  <c r="J69" i="275"/>
  <c r="J51" i="275"/>
  <c r="J95" i="275"/>
  <c r="V56" i="275"/>
  <c r="V55" i="275" s="1"/>
  <c r="V200" i="275"/>
  <c r="S272" i="275"/>
  <c r="S45" i="275"/>
  <c r="G127" i="275"/>
  <c r="H127" i="275"/>
  <c r="U235" i="275"/>
  <c r="U270" i="275"/>
  <c r="P236" i="275"/>
  <c r="P271" i="275"/>
  <c r="P44" i="275"/>
  <c r="Q271" i="275"/>
  <c r="M196" i="275"/>
  <c r="X139" i="275"/>
  <c r="X137" i="275" s="1"/>
  <c r="W244" i="275"/>
  <c r="W242" i="275" s="1"/>
  <c r="H36" i="112"/>
  <c r="I36" i="112"/>
  <c r="Q55" i="112"/>
  <c r="P55" i="112"/>
  <c r="K36" i="112"/>
  <c r="R55" i="112"/>
  <c r="U195" i="112"/>
  <c r="U169" i="112" s="1"/>
  <c r="U201" i="112"/>
  <c r="S140" i="112"/>
  <c r="J31" i="112"/>
  <c r="J126" i="112" s="1"/>
  <c r="J36" i="112"/>
  <c r="L31" i="112"/>
  <c r="L126" i="112" s="1"/>
  <c r="L36" i="112"/>
  <c r="D251" i="112"/>
  <c r="D195" i="112"/>
  <c r="D169" i="112" s="1"/>
  <c r="T267" i="112"/>
  <c r="I267" i="112"/>
  <c r="E267" i="112"/>
  <c r="J55" i="112"/>
  <c r="I55" i="112"/>
  <c r="X31" i="112"/>
  <c r="X126" i="112" s="1"/>
  <c r="X36" i="112"/>
  <c r="S139" i="112"/>
  <c r="E55" i="112"/>
  <c r="M55" i="112"/>
  <c r="S126" i="112"/>
  <c r="O55" i="112"/>
  <c r="F126" i="112"/>
  <c r="F287" i="112"/>
  <c r="F249" i="112" s="1"/>
  <c r="F267" i="112" s="1"/>
  <c r="F258" i="112"/>
  <c r="G297" i="112"/>
  <c r="N55" i="112"/>
  <c r="J292" i="112"/>
  <c r="J287" i="112" s="1"/>
  <c r="J249" i="112" s="1"/>
  <c r="K293" i="112"/>
  <c r="R126" i="112"/>
  <c r="K55" i="112"/>
  <c r="L55" i="112"/>
  <c r="O31" i="112"/>
  <c r="O36" i="112"/>
  <c r="U31" i="112"/>
  <c r="U36" i="112"/>
  <c r="I126" i="112"/>
  <c r="S208" i="112"/>
  <c r="U128" i="112"/>
  <c r="M31" i="112"/>
  <c r="M36" i="112"/>
  <c r="T126" i="112"/>
  <c r="S244" i="112"/>
  <c r="S242" i="112" s="1"/>
  <c r="S138" i="112" s="1"/>
  <c r="T139" i="112"/>
  <c r="T231" i="112"/>
  <c r="T229" i="112" s="1"/>
  <c r="T141" i="112" s="1"/>
  <c r="T140" i="112" s="1"/>
  <c r="G31" i="112"/>
  <c r="G36" i="112"/>
  <c r="T208" i="112"/>
  <c r="E126" i="112"/>
  <c r="O236" i="277" l="1"/>
  <c r="P272" i="277" s="1"/>
  <c r="O271" i="277"/>
  <c r="O44" i="277"/>
  <c r="P44" i="277"/>
  <c r="O187" i="277"/>
  <c r="O185" i="277" s="1"/>
  <c r="O168" i="277"/>
  <c r="O170" i="277"/>
  <c r="Y139" i="277"/>
  <c r="Y137" i="277" s="1"/>
  <c r="Y244" i="277" s="1"/>
  <c r="Y242" i="277" s="1"/>
  <c r="Y56" i="277" s="1"/>
  <c r="X244" i="277"/>
  <c r="X242" i="277" s="1"/>
  <c r="X56" i="277" s="1"/>
  <c r="X55" i="277" s="1"/>
  <c r="P271" i="277"/>
  <c r="P49" i="277" s="1"/>
  <c r="L33" i="275"/>
  <c r="M128" i="275" s="1"/>
  <c r="H88" i="275"/>
  <c r="H103" i="275" s="1"/>
  <c r="T41" i="275"/>
  <c r="U45" i="277"/>
  <c r="S45" i="277"/>
  <c r="F272" i="277"/>
  <c r="F45" i="277"/>
  <c r="G272" i="277"/>
  <c r="G45" i="277"/>
  <c r="U50" i="277"/>
  <c r="U41" i="277"/>
  <c r="Y200" i="277"/>
  <c r="Y198" i="277" s="1"/>
  <c r="Q49" i="277"/>
  <c r="Q40" i="277"/>
  <c r="D50" i="277"/>
  <c r="D41" i="277"/>
  <c r="K50" i="277"/>
  <c r="K41" i="277"/>
  <c r="S50" i="277"/>
  <c r="S41" i="277"/>
  <c r="E49" i="277"/>
  <c r="E40" i="277"/>
  <c r="V227" i="277"/>
  <c r="E272" i="277"/>
  <c r="E45" i="277"/>
  <c r="U49" i="277"/>
  <c r="U40" i="277"/>
  <c r="X200" i="277"/>
  <c r="X198" i="277" s="1"/>
  <c r="M50" i="277"/>
  <c r="M41" i="277"/>
  <c r="J50" i="277"/>
  <c r="J41" i="277"/>
  <c r="H50" i="277"/>
  <c r="H41" i="277"/>
  <c r="L50" i="277"/>
  <c r="L41" i="277"/>
  <c r="N50" i="277"/>
  <c r="N41" i="277"/>
  <c r="G49" i="277"/>
  <c r="G40" i="277"/>
  <c r="D168" i="277"/>
  <c r="D170" i="277"/>
  <c r="D252" i="277"/>
  <c r="D250" i="277" s="1"/>
  <c r="D187" i="277"/>
  <c r="D185" i="277" s="1"/>
  <c r="R49" i="277"/>
  <c r="R40" i="277"/>
  <c r="V168" i="277"/>
  <c r="V166" i="277" s="1"/>
  <c r="V162" i="277" s="1"/>
  <c r="V253" i="277"/>
  <c r="V248" i="277" s="1"/>
  <c r="V187" i="277"/>
  <c r="V190" i="277"/>
  <c r="R272" i="277"/>
  <c r="R45" i="277"/>
  <c r="T49" i="277"/>
  <c r="T40" i="277"/>
  <c r="F49" i="277"/>
  <c r="F40" i="277"/>
  <c r="T272" i="277"/>
  <c r="T45" i="277"/>
  <c r="I50" i="277"/>
  <c r="I41" i="277"/>
  <c r="Q272" i="277"/>
  <c r="Q45" i="277"/>
  <c r="H206" i="275"/>
  <c r="P198" i="275"/>
  <c r="G187" i="275"/>
  <c r="G185" i="275" s="1"/>
  <c r="G221" i="275"/>
  <c r="I206" i="275"/>
  <c r="J207" i="275"/>
  <c r="P272" i="275"/>
  <c r="P45" i="275"/>
  <c r="P168" i="275"/>
  <c r="P170" i="275"/>
  <c r="P187" i="275"/>
  <c r="P185" i="275" s="1"/>
  <c r="N189" i="275"/>
  <c r="N102" i="275"/>
  <c r="N225" i="275"/>
  <c r="N268" i="275"/>
  <c r="X244" i="275"/>
  <c r="X242" i="275" s="1"/>
  <c r="Y139" i="275"/>
  <c r="Y137" i="275" s="1"/>
  <c r="Y244" i="275" s="1"/>
  <c r="Y242" i="275" s="1"/>
  <c r="J33" i="275"/>
  <c r="J128" i="275" s="1"/>
  <c r="J277" i="275"/>
  <c r="J279" i="275" s="1"/>
  <c r="R49" i="275"/>
  <c r="R40" i="275"/>
  <c r="J174" i="275"/>
  <c r="K175" i="275"/>
  <c r="Q45" i="275"/>
  <c r="I292" i="275"/>
  <c r="I287" i="275" s="1"/>
  <c r="J293" i="275"/>
  <c r="P49" i="275"/>
  <c r="P40" i="275"/>
  <c r="U236" i="275"/>
  <c r="U271" i="275"/>
  <c r="U44" i="275"/>
  <c r="Q272" i="275"/>
  <c r="X206" i="275"/>
  <c r="Y207" i="275"/>
  <c r="Y206" i="275" s="1"/>
  <c r="J88" i="275"/>
  <c r="J103" i="275" s="1"/>
  <c r="J102" i="275"/>
  <c r="N272" i="275"/>
  <c r="N45" i="275"/>
  <c r="F221" i="275"/>
  <c r="F187" i="275"/>
  <c r="F185" i="275" s="1"/>
  <c r="N49" i="275"/>
  <c r="N38" i="275" s="1"/>
  <c r="N40" i="275"/>
  <c r="O49" i="275"/>
  <c r="O40" i="275"/>
  <c r="K88" i="275"/>
  <c r="K103" i="275" s="1"/>
  <c r="K102" i="275"/>
  <c r="O272" i="275"/>
  <c r="O45" i="275"/>
  <c r="W56" i="275"/>
  <c r="W55" i="275" s="1"/>
  <c r="S50" i="275"/>
  <c r="S41" i="275"/>
  <c r="S49" i="275"/>
  <c r="S40" i="275"/>
  <c r="G51" i="275"/>
  <c r="G69" i="275"/>
  <c r="G52" i="275"/>
  <c r="G95" i="275"/>
  <c r="V86" i="275"/>
  <c r="F69" i="275"/>
  <c r="F51" i="275"/>
  <c r="F52" i="275"/>
  <c r="F95" i="275"/>
  <c r="V197" i="275"/>
  <c r="V196" i="275" s="1"/>
  <c r="V198" i="275"/>
  <c r="D128" i="275"/>
  <c r="E128" i="275"/>
  <c r="M168" i="275"/>
  <c r="M166" i="275" s="1"/>
  <c r="M176" i="275" s="1"/>
  <c r="M170" i="275"/>
  <c r="M187" i="275"/>
  <c r="M185" i="275" s="1"/>
  <c r="M190" i="275"/>
  <c r="W200" i="275"/>
  <c r="W198" i="275" s="1"/>
  <c r="I88" i="275"/>
  <c r="I103" i="275" s="1"/>
  <c r="I102" i="275"/>
  <c r="M272" i="275"/>
  <c r="M45" i="275"/>
  <c r="Q49" i="275"/>
  <c r="Q40" i="275"/>
  <c r="R272" i="275"/>
  <c r="R45" i="275"/>
  <c r="M49" i="275"/>
  <c r="M38" i="275" s="1"/>
  <c r="M40" i="275"/>
  <c r="O168" i="275"/>
  <c r="O166" i="275" s="1"/>
  <c r="O176" i="275" s="1"/>
  <c r="O170" i="275"/>
  <c r="O187" i="275"/>
  <c r="O185" i="275" s="1"/>
  <c r="O190" i="275"/>
  <c r="H267" i="112"/>
  <c r="K126" i="112"/>
  <c r="D192" i="112"/>
  <c r="D201" i="112" s="1"/>
  <c r="D207" i="112" s="1"/>
  <c r="D206" i="112" s="1"/>
  <c r="Y126" i="112"/>
  <c r="I252" i="112"/>
  <c r="I195" i="112"/>
  <c r="G267" i="112"/>
  <c r="T195" i="112"/>
  <c r="T252" i="112"/>
  <c r="S137" i="112"/>
  <c r="E195" i="112"/>
  <c r="G258" i="112"/>
  <c r="H297" i="112"/>
  <c r="J267" i="112"/>
  <c r="K292" i="112"/>
  <c r="K287" i="112" s="1"/>
  <c r="K249" i="112" s="1"/>
  <c r="L293" i="112"/>
  <c r="F195" i="112"/>
  <c r="G126" i="112"/>
  <c r="H126" i="112"/>
  <c r="T244" i="112"/>
  <c r="T242" i="112" s="1"/>
  <c r="T138" i="112" s="1"/>
  <c r="T137" i="112" s="1"/>
  <c r="M126" i="112"/>
  <c r="N126" i="112"/>
  <c r="O126" i="112"/>
  <c r="P126" i="112"/>
  <c r="U126" i="112"/>
  <c r="V126" i="112"/>
  <c r="S56" i="112"/>
  <c r="S55" i="112" s="1"/>
  <c r="L128" i="275" l="1"/>
  <c r="P45" i="277"/>
  <c r="Y55" i="277"/>
  <c r="P40" i="277"/>
  <c r="O49" i="277"/>
  <c r="O40" i="277"/>
  <c r="AD40" i="277" s="1"/>
  <c r="O45" i="277"/>
  <c r="O272" i="277"/>
  <c r="V256" i="277"/>
  <c r="V254" i="277" s="1"/>
  <c r="W257" i="277" s="1"/>
  <c r="W197" i="277"/>
  <c r="W196" i="277" s="1"/>
  <c r="W253" i="277" s="1"/>
  <c r="W248" i="277" s="1"/>
  <c r="T50" i="277"/>
  <c r="T41" i="277"/>
  <c r="E50" i="277"/>
  <c r="E41" i="277"/>
  <c r="V34" i="277"/>
  <c r="V160" i="277"/>
  <c r="V46" i="277" s="1"/>
  <c r="V73" i="277"/>
  <c r="V225" i="277"/>
  <c r="P50" i="277"/>
  <c r="P41" i="277"/>
  <c r="Q50" i="277"/>
  <c r="Q41" i="277"/>
  <c r="R50" i="277"/>
  <c r="R41" i="277"/>
  <c r="G50" i="277"/>
  <c r="G41" i="277"/>
  <c r="V189" i="277"/>
  <c r="V269" i="277"/>
  <c r="V266" i="277" s="1"/>
  <c r="F50" i="277"/>
  <c r="F41" i="277"/>
  <c r="G33" i="275"/>
  <c r="H128" i="275" s="1"/>
  <c r="G277" i="275"/>
  <c r="G279" i="275" s="1"/>
  <c r="J206" i="275"/>
  <c r="J200" i="275" s="1"/>
  <c r="K207" i="275"/>
  <c r="V168" i="275"/>
  <c r="V166" i="275" s="1"/>
  <c r="V162" i="275" s="1"/>
  <c r="V187" i="275"/>
  <c r="V253" i="275"/>
  <c r="V248" i="275" s="1"/>
  <c r="V190" i="275"/>
  <c r="U49" i="275"/>
  <c r="U40" i="275"/>
  <c r="U272" i="275"/>
  <c r="U45" i="275"/>
  <c r="AD40" i="275"/>
  <c r="M189" i="275"/>
  <c r="M102" i="275"/>
  <c r="M225" i="275"/>
  <c r="M268" i="275"/>
  <c r="F277" i="275"/>
  <c r="F279" i="275" s="1"/>
  <c r="F33" i="275"/>
  <c r="X56" i="275"/>
  <c r="X55" i="275" s="1"/>
  <c r="Y56" i="275"/>
  <c r="M50" i="275"/>
  <c r="M41" i="275"/>
  <c r="N50" i="275"/>
  <c r="N41" i="275"/>
  <c r="J292" i="275"/>
  <c r="J287" i="275" s="1"/>
  <c r="K293" i="275"/>
  <c r="R50" i="275"/>
  <c r="R41" i="275"/>
  <c r="G88" i="275"/>
  <c r="G103" i="275" s="1"/>
  <c r="G102" i="275"/>
  <c r="O50" i="275"/>
  <c r="O41" i="275"/>
  <c r="Y200" i="275"/>
  <c r="Y198" i="275" s="1"/>
  <c r="K174" i="275"/>
  <c r="L175" i="275"/>
  <c r="L174" i="275" s="1"/>
  <c r="X200" i="275"/>
  <c r="X198" i="275" s="1"/>
  <c r="O189" i="275"/>
  <c r="O102" i="275"/>
  <c r="O225" i="275"/>
  <c r="O268" i="275"/>
  <c r="F88" i="275"/>
  <c r="F103" i="275" s="1"/>
  <c r="F102" i="275"/>
  <c r="K128" i="275"/>
  <c r="Q50" i="275"/>
  <c r="Q41" i="275"/>
  <c r="P50" i="275"/>
  <c r="P41" i="275"/>
  <c r="H201" i="112"/>
  <c r="H252" i="112"/>
  <c r="H195" i="112"/>
  <c r="T169" i="112"/>
  <c r="T192" i="112"/>
  <c r="T201" i="112" s="1"/>
  <c r="U203" i="112" s="1"/>
  <c r="I169" i="112"/>
  <c r="I192" i="112"/>
  <c r="I201" i="112" s="1"/>
  <c r="E169" i="112"/>
  <c r="E192" i="112"/>
  <c r="E201" i="112" s="1"/>
  <c r="V207" i="112"/>
  <c r="J252" i="112"/>
  <c r="J201" i="112"/>
  <c r="G195" i="112"/>
  <c r="K267" i="112"/>
  <c r="F169" i="112"/>
  <c r="F192" i="112"/>
  <c r="F201" i="112" s="1"/>
  <c r="J195" i="112"/>
  <c r="L292" i="112"/>
  <c r="L287" i="112" s="1"/>
  <c r="L249" i="112" s="1"/>
  <c r="M293" i="112"/>
  <c r="H258" i="112"/>
  <c r="I297" i="112"/>
  <c r="T56" i="112"/>
  <c r="T55" i="112" s="1"/>
  <c r="O50" i="277" l="1"/>
  <c r="O41" i="277"/>
  <c r="AD41" i="277" s="1"/>
  <c r="V71" i="277"/>
  <c r="V76" i="277"/>
  <c r="W168" i="277"/>
  <c r="W166" i="277" s="1"/>
  <c r="W187" i="277"/>
  <c r="W190" i="277"/>
  <c r="W256" i="277"/>
  <c r="W254" i="277" s="1"/>
  <c r="X257" i="277" s="1"/>
  <c r="X197" i="277"/>
  <c r="X196" i="277" s="1"/>
  <c r="K206" i="275"/>
  <c r="K200" i="275" s="1"/>
  <c r="L207" i="275"/>
  <c r="L206" i="275" s="1"/>
  <c r="L200" i="275" s="1"/>
  <c r="F128" i="275"/>
  <c r="G128" i="275"/>
  <c r="AD41" i="275"/>
  <c r="Y55" i="275"/>
  <c r="U50" i="275"/>
  <c r="U41" i="275"/>
  <c r="V189" i="275"/>
  <c r="V269" i="275"/>
  <c r="V266" i="275" s="1"/>
  <c r="V256" i="275"/>
  <c r="V254" i="275" s="1"/>
  <c r="W257" i="275" s="1"/>
  <c r="W197" i="275"/>
  <c r="W196" i="275" s="1"/>
  <c r="K292" i="275"/>
  <c r="K287" i="275" s="1"/>
  <c r="L293" i="275"/>
  <c r="L292" i="275" s="1"/>
  <c r="L287" i="275" s="1"/>
  <c r="V160" i="275"/>
  <c r="V46" i="275" s="1"/>
  <c r="V73" i="275"/>
  <c r="V225" i="275"/>
  <c r="H169" i="112"/>
  <c r="H192" i="112"/>
  <c r="U207" i="112"/>
  <c r="U206" i="112" s="1"/>
  <c r="K201" i="112"/>
  <c r="K252" i="112"/>
  <c r="G169" i="112"/>
  <c r="G192" i="112"/>
  <c r="G201" i="112" s="1"/>
  <c r="E207" i="112"/>
  <c r="E206" i="112" s="1"/>
  <c r="D203" i="112" s="1"/>
  <c r="V206" i="112"/>
  <c r="V200" i="112" s="1"/>
  <c r="V198" i="112" s="1"/>
  <c r="W207" i="112"/>
  <c r="K195" i="112"/>
  <c r="N293" i="112"/>
  <c r="M292" i="112"/>
  <c r="M287" i="112" s="1"/>
  <c r="M249" i="112" s="1"/>
  <c r="J169" i="112"/>
  <c r="J192" i="112"/>
  <c r="L267" i="112"/>
  <c r="I258" i="112"/>
  <c r="J297" i="112"/>
  <c r="S253" i="112"/>
  <c r="S248" i="112" s="1"/>
  <c r="T251" i="112" s="1"/>
  <c r="T250" i="112" s="1"/>
  <c r="W189" i="277" l="1"/>
  <c r="W269" i="277"/>
  <c r="W266" i="277" s="1"/>
  <c r="X168" i="277"/>
  <c r="X166" i="277" s="1"/>
  <c r="X187" i="277"/>
  <c r="X190" i="277"/>
  <c r="W83" i="277"/>
  <c r="W79" i="277" s="1"/>
  <c r="W86" i="277"/>
  <c r="X253" i="277"/>
  <c r="X248" i="277" s="1"/>
  <c r="V51" i="277"/>
  <c r="V52" i="277"/>
  <c r="V60" i="277"/>
  <c r="V69" i="277"/>
  <c r="V246" i="277"/>
  <c r="V95" i="277"/>
  <c r="W168" i="275"/>
  <c r="W166" i="275" s="1"/>
  <c r="W187" i="275"/>
  <c r="W190" i="275"/>
  <c r="W253" i="275"/>
  <c r="W248" i="275" s="1"/>
  <c r="V71" i="275"/>
  <c r="V76" i="275"/>
  <c r="F207" i="112"/>
  <c r="F206" i="112" s="1"/>
  <c r="E203" i="112" s="1"/>
  <c r="L201" i="112"/>
  <c r="L252" i="112"/>
  <c r="W206" i="112"/>
  <c r="W200" i="112" s="1"/>
  <c r="W198" i="112" s="1"/>
  <c r="X207" i="112"/>
  <c r="M267" i="112"/>
  <c r="N292" i="112"/>
  <c r="N287" i="112" s="1"/>
  <c r="N249" i="112" s="1"/>
  <c r="O293" i="112"/>
  <c r="J258" i="112"/>
  <c r="K297" i="112"/>
  <c r="L195" i="112"/>
  <c r="K169" i="112"/>
  <c r="K192" i="112"/>
  <c r="S269" i="112"/>
  <c r="S256" i="112"/>
  <c r="S254" i="112" s="1"/>
  <c r="T257" i="112" s="1"/>
  <c r="X256" i="277" l="1"/>
  <c r="X254" i="277" s="1"/>
  <c r="Y257" i="277" s="1"/>
  <c r="Y197" i="277"/>
  <c r="Y196" i="277" s="1"/>
  <c r="Y253" i="277" s="1"/>
  <c r="Y248" i="277" s="1"/>
  <c r="Y256" i="277" s="1"/>
  <c r="X189" i="277"/>
  <c r="X269" i="277"/>
  <c r="X266" i="277" s="1"/>
  <c r="V88" i="277"/>
  <c r="V103" i="277" s="1"/>
  <c r="V102" i="277"/>
  <c r="V66" i="277"/>
  <c r="V265" i="277"/>
  <c r="V48" i="277" s="1"/>
  <c r="W172" i="277"/>
  <c r="W173" i="277"/>
  <c r="W171" i="277" s="1"/>
  <c r="V260" i="277"/>
  <c r="W83" i="275"/>
  <c r="W79" i="275" s="1"/>
  <c r="W86" i="275"/>
  <c r="V51" i="275"/>
  <c r="V69" i="275"/>
  <c r="V52" i="275"/>
  <c r="V60" i="275"/>
  <c r="V246" i="275"/>
  <c r="V95" i="275"/>
  <c r="X197" i="275"/>
  <c r="X196" i="275" s="1"/>
  <c r="W256" i="275"/>
  <c r="W254" i="275" s="1"/>
  <c r="X257" i="275" s="1"/>
  <c r="W189" i="275"/>
  <c r="W269" i="275"/>
  <c r="W266" i="275" s="1"/>
  <c r="G207" i="112"/>
  <c r="H207" i="112" s="1"/>
  <c r="O292" i="112"/>
  <c r="O287" i="112" s="1"/>
  <c r="O249" i="112" s="1"/>
  <c r="O267" i="112" s="1"/>
  <c r="P293" i="112"/>
  <c r="Y207" i="112"/>
  <c r="Y206" i="112" s="1"/>
  <c r="Y200" i="112" s="1"/>
  <c r="Y198" i="112" s="1"/>
  <c r="X206" i="112"/>
  <c r="X200" i="112" s="1"/>
  <c r="X198" i="112" s="1"/>
  <c r="M252" i="112"/>
  <c r="N267" i="112"/>
  <c r="L169" i="112"/>
  <c r="L192" i="112"/>
  <c r="K258" i="112"/>
  <c r="L297" i="112"/>
  <c r="M195" i="112"/>
  <c r="T253" i="112"/>
  <c r="T248" i="112" s="1"/>
  <c r="U251" i="112" s="1"/>
  <c r="U250" i="112" s="1"/>
  <c r="Y254" i="277" l="1"/>
  <c r="V263" i="277"/>
  <c r="V232" i="277"/>
  <c r="V234" i="277" s="1"/>
  <c r="W186" i="277"/>
  <c r="W185" i="277" s="1"/>
  <c r="W181" i="277" s="1"/>
  <c r="W162" i="277"/>
  <c r="Y168" i="277"/>
  <c r="Y166" i="277" s="1"/>
  <c r="Y187" i="277"/>
  <c r="Y190" i="277"/>
  <c r="X168" i="275"/>
  <c r="X166" i="275" s="1"/>
  <c r="X187" i="275"/>
  <c r="X190" i="275"/>
  <c r="X253" i="275"/>
  <c r="X248" i="275" s="1"/>
  <c r="V265" i="275"/>
  <c r="V48" i="275" s="1"/>
  <c r="W173" i="275"/>
  <c r="W171" i="275" s="1"/>
  <c r="W172" i="275"/>
  <c r="V260" i="275"/>
  <c r="V88" i="275"/>
  <c r="V103" i="275" s="1"/>
  <c r="V102" i="275"/>
  <c r="V66" i="275"/>
  <c r="G206" i="112"/>
  <c r="F203" i="112" s="1"/>
  <c r="Q293" i="112"/>
  <c r="P292" i="112"/>
  <c r="P287" i="112" s="1"/>
  <c r="P249" i="112" s="1"/>
  <c r="H206" i="112"/>
  <c r="G203" i="112" s="1"/>
  <c r="I207" i="112"/>
  <c r="N252" i="112"/>
  <c r="O252" i="112"/>
  <c r="N195" i="112"/>
  <c r="N169" i="112" s="1"/>
  <c r="O195" i="112"/>
  <c r="M169" i="112"/>
  <c r="M192" i="112"/>
  <c r="M201" i="112" s="1"/>
  <c r="L258" i="112"/>
  <c r="M297" i="112"/>
  <c r="T256" i="112"/>
  <c r="T254" i="112" s="1"/>
  <c r="U257" i="112" s="1"/>
  <c r="T269" i="112"/>
  <c r="T266" i="112" s="1"/>
  <c r="T83" i="112"/>
  <c r="T79" i="112" s="1"/>
  <c r="T86" i="112"/>
  <c r="Y189" i="277" l="1"/>
  <c r="Y269" i="277"/>
  <c r="Y266" i="277" s="1"/>
  <c r="W160" i="277"/>
  <c r="W46" i="277" s="1"/>
  <c r="W225" i="277"/>
  <c r="W73" i="277"/>
  <c r="W179" i="277"/>
  <c r="W32" i="277" s="1"/>
  <c r="W127" i="277" s="1"/>
  <c r="W281" i="277"/>
  <c r="V235" i="277"/>
  <c r="V270" i="277"/>
  <c r="X189" i="275"/>
  <c r="X269" i="275"/>
  <c r="X266" i="275" s="1"/>
  <c r="V263" i="275"/>
  <c r="V232" i="275"/>
  <c r="V234" i="275" s="1"/>
  <c r="W186" i="275"/>
  <c r="W185" i="275" s="1"/>
  <c r="W181" i="275" s="1"/>
  <c r="W162" i="275"/>
  <c r="X256" i="275"/>
  <c r="X254" i="275" s="1"/>
  <c r="Y257" i="275" s="1"/>
  <c r="Y197" i="275"/>
  <c r="Y196" i="275" s="1"/>
  <c r="G208" i="112"/>
  <c r="F208" i="112"/>
  <c r="U208" i="112"/>
  <c r="P267" i="112"/>
  <c r="R293" i="112"/>
  <c r="Q292" i="112"/>
  <c r="Q287" i="112" s="1"/>
  <c r="Q249" i="112" s="1"/>
  <c r="J207" i="112"/>
  <c r="I206" i="112"/>
  <c r="H203" i="112" s="1"/>
  <c r="N192" i="112"/>
  <c r="N201" i="112" s="1"/>
  <c r="M258" i="112"/>
  <c r="N297" i="112"/>
  <c r="O169" i="112"/>
  <c r="O192" i="112"/>
  <c r="O201" i="112" s="1"/>
  <c r="T173" i="112"/>
  <c r="T172" i="112"/>
  <c r="V236" i="277" l="1"/>
  <c r="V271" i="277"/>
  <c r="V44" i="277"/>
  <c r="W227" i="277"/>
  <c r="W71" i="277"/>
  <c r="W76" i="277"/>
  <c r="K204" i="112"/>
  <c r="W179" i="275"/>
  <c r="W32" i="275" s="1"/>
  <c r="W127" i="275" s="1"/>
  <c r="W281" i="275"/>
  <c r="Y168" i="275"/>
  <c r="Y166" i="275" s="1"/>
  <c r="Y187" i="275"/>
  <c r="Y190" i="275"/>
  <c r="V270" i="275"/>
  <c r="V235" i="275"/>
  <c r="Y253" i="275"/>
  <c r="Y248" i="275" s="1"/>
  <c r="Y256" i="275" s="1"/>
  <c r="Y254" i="275" s="1"/>
  <c r="W160" i="275"/>
  <c r="W46" i="275" s="1"/>
  <c r="W225" i="275"/>
  <c r="W73" i="275"/>
  <c r="E204" i="112"/>
  <c r="E202" i="112" s="1"/>
  <c r="E200" i="112" s="1"/>
  <c r="E198" i="112" s="1"/>
  <c r="L204" i="112"/>
  <c r="H204" i="112"/>
  <c r="H202" i="112" s="1"/>
  <c r="H200" i="112" s="1"/>
  <c r="H198" i="112" s="1"/>
  <c r="J204" i="112"/>
  <c r="F204" i="112"/>
  <c r="F202" i="112" s="1"/>
  <c r="F200" i="112" s="1"/>
  <c r="F198" i="112" s="1"/>
  <c r="I204" i="112"/>
  <c r="G204" i="112"/>
  <c r="G202" i="112" s="1"/>
  <c r="G200" i="112" s="1"/>
  <c r="G198" i="112" s="1"/>
  <c r="D204" i="112"/>
  <c r="D202" i="112" s="1"/>
  <c r="D200" i="112" s="1"/>
  <c r="Q204" i="112"/>
  <c r="R204" i="112"/>
  <c r="N204" i="112"/>
  <c r="P204" i="112"/>
  <c r="S204" i="112"/>
  <c r="U204" i="112"/>
  <c r="U202" i="112" s="1"/>
  <c r="U200" i="112" s="1"/>
  <c r="U198" i="112" s="1"/>
  <c r="O204" i="112"/>
  <c r="T204" i="112"/>
  <c r="M204" i="112"/>
  <c r="P252" i="112"/>
  <c r="Q267" i="112"/>
  <c r="P195" i="112"/>
  <c r="S293" i="112"/>
  <c r="S292" i="112" s="1"/>
  <c r="R292" i="112"/>
  <c r="R287" i="112" s="1"/>
  <c r="R249" i="112" s="1"/>
  <c r="R267" i="112" s="1"/>
  <c r="J206" i="112"/>
  <c r="I203" i="112" s="1"/>
  <c r="K207" i="112"/>
  <c r="N258" i="112"/>
  <c r="O297" i="112"/>
  <c r="T171" i="112"/>
  <c r="T186" i="112" s="1"/>
  <c r="W34" i="277" l="1"/>
  <c r="W69" i="277"/>
  <c r="W52" i="277"/>
  <c r="W60" i="277"/>
  <c r="W51" i="277"/>
  <c r="W95" i="277"/>
  <c r="W246" i="277"/>
  <c r="X83" i="277"/>
  <c r="X79" i="277" s="1"/>
  <c r="X86" i="277"/>
  <c r="V49" i="277"/>
  <c r="V40" i="277"/>
  <c r="V272" i="277"/>
  <c r="V45" i="277"/>
  <c r="V236" i="275"/>
  <c r="V271" i="275"/>
  <c r="V44" i="275"/>
  <c r="Y189" i="275"/>
  <c r="Y269" i="275"/>
  <c r="Y266" i="275" s="1"/>
  <c r="W71" i="275"/>
  <c r="W76" i="275"/>
  <c r="W227" i="275"/>
  <c r="I202" i="112"/>
  <c r="I200" i="112" s="1"/>
  <c r="I198" i="112" s="1"/>
  <c r="U197" i="112"/>
  <c r="U196" i="112" s="1"/>
  <c r="U170" i="112" s="1"/>
  <c r="Q252" i="112"/>
  <c r="R252" i="112"/>
  <c r="R266" i="112"/>
  <c r="R195" i="112"/>
  <c r="U253" i="112"/>
  <c r="U248" i="112" s="1"/>
  <c r="U190" i="112"/>
  <c r="O258" i="112"/>
  <c r="P297" i="112"/>
  <c r="P169" i="112"/>
  <c r="P192" i="112"/>
  <c r="P201" i="112" s="1"/>
  <c r="Q195" i="112"/>
  <c r="S267" i="112"/>
  <c r="K206" i="112"/>
  <c r="J203" i="112" s="1"/>
  <c r="J202" i="112" s="1"/>
  <c r="J200" i="112" s="1"/>
  <c r="J198" i="112" s="1"/>
  <c r="L207" i="112"/>
  <c r="D197" i="112"/>
  <c r="D198" i="112"/>
  <c r="W88" i="277" l="1"/>
  <c r="W103" i="277" s="1"/>
  <c r="W102" i="277"/>
  <c r="W66" i="277"/>
  <c r="W265" i="277"/>
  <c r="W48" i="277" s="1"/>
  <c r="X172" i="277"/>
  <c r="X173" i="277"/>
  <c r="X171" i="277" s="1"/>
  <c r="W260" i="277"/>
  <c r="V50" i="277"/>
  <c r="V41" i="277"/>
  <c r="V272" i="275"/>
  <c r="V45" i="275"/>
  <c r="W51" i="275"/>
  <c r="W69" i="275"/>
  <c r="W52" i="275"/>
  <c r="W60" i="275"/>
  <c r="W95" i="275"/>
  <c r="W246" i="275"/>
  <c r="X83" i="275"/>
  <c r="X79" i="275" s="1"/>
  <c r="X86" i="275"/>
  <c r="W34" i="275"/>
  <c r="V49" i="275"/>
  <c r="V40" i="275"/>
  <c r="Q203" i="112"/>
  <c r="Q202" i="112" s="1"/>
  <c r="U187" i="112"/>
  <c r="U168" i="112"/>
  <c r="U166" i="112" s="1"/>
  <c r="Q169" i="112"/>
  <c r="Q192" i="112"/>
  <c r="Q201" i="112" s="1"/>
  <c r="R203" i="112" s="1"/>
  <c r="R202" i="112" s="1"/>
  <c r="P258" i="112"/>
  <c r="Q297" i="112"/>
  <c r="S195" i="112"/>
  <c r="S252" i="112"/>
  <c r="U256" i="112"/>
  <c r="U254" i="112" s="1"/>
  <c r="V257" i="112" s="1"/>
  <c r="V197" i="112"/>
  <c r="V196" i="112" s="1"/>
  <c r="R169" i="112"/>
  <c r="R192" i="112"/>
  <c r="U268" i="112"/>
  <c r="U269" i="112"/>
  <c r="U189" i="112"/>
  <c r="D196" i="112"/>
  <c r="D190" i="112" s="1"/>
  <c r="L206" i="112"/>
  <c r="K203" i="112" s="1"/>
  <c r="K202" i="112" s="1"/>
  <c r="M207" i="112"/>
  <c r="T71" i="112"/>
  <c r="W263" i="277" l="1"/>
  <c r="W232" i="277"/>
  <c r="W234" i="277" s="1"/>
  <c r="X186" i="277"/>
  <c r="X185" i="277" s="1"/>
  <c r="X181" i="277" s="1"/>
  <c r="X162" i="277"/>
  <c r="D252" i="112"/>
  <c r="D250" i="112" s="1"/>
  <c r="D248" i="112" s="1"/>
  <c r="E197" i="112" s="1"/>
  <c r="E196" i="112" s="1"/>
  <c r="E252" i="112" s="1"/>
  <c r="W88" i="275"/>
  <c r="W103" i="275" s="1"/>
  <c r="W102" i="275"/>
  <c r="W66" i="275"/>
  <c r="W265" i="275"/>
  <c r="W48" i="275" s="1"/>
  <c r="X173" i="275"/>
  <c r="X171" i="275" s="1"/>
  <c r="X172" i="275"/>
  <c r="W260" i="275"/>
  <c r="V50" i="275"/>
  <c r="V41" i="275"/>
  <c r="D170" i="112"/>
  <c r="R201" i="112"/>
  <c r="D168" i="112"/>
  <c r="U266" i="112"/>
  <c r="Q258" i="112"/>
  <c r="R297" i="112"/>
  <c r="R258" i="112" s="1"/>
  <c r="S169" i="112"/>
  <c r="S192" i="112"/>
  <c r="V253" i="112"/>
  <c r="V248" i="112" s="1"/>
  <c r="V190" i="112"/>
  <c r="V168" i="112"/>
  <c r="V166" i="112" s="1"/>
  <c r="N207" i="112"/>
  <c r="M206" i="112"/>
  <c r="L203" i="112" s="1"/>
  <c r="L202" i="112" s="1"/>
  <c r="L200" i="112" s="1"/>
  <c r="L198" i="112" s="1"/>
  <c r="K200" i="112"/>
  <c r="K198" i="112" s="1"/>
  <c r="D189" i="112"/>
  <c r="D268" i="112"/>
  <c r="D266" i="112" s="1"/>
  <c r="T69" i="112"/>
  <c r="T52" i="112"/>
  <c r="T246" i="112"/>
  <c r="X160" i="277" l="1"/>
  <c r="X46" i="277" s="1"/>
  <c r="X225" i="277"/>
  <c r="X73" i="277"/>
  <c r="X179" i="277"/>
  <c r="X32" i="277" s="1"/>
  <c r="X127" i="277" s="1"/>
  <c r="X281" i="277"/>
  <c r="W235" i="277"/>
  <c r="W270" i="277"/>
  <c r="E251" i="112"/>
  <c r="E250" i="112" s="1"/>
  <c r="E248" i="112" s="1"/>
  <c r="D256" i="112"/>
  <c r="D254" i="112" s="1"/>
  <c r="D260" i="112" s="1"/>
  <c r="W263" i="275"/>
  <c r="W232" i="275"/>
  <c r="W234" i="275" s="1"/>
  <c r="X186" i="275"/>
  <c r="X185" i="275" s="1"/>
  <c r="X181" i="275" s="1"/>
  <c r="X162" i="275"/>
  <c r="D166" i="112"/>
  <c r="S203" i="112"/>
  <c r="S202" i="112" s="1"/>
  <c r="S207" i="112"/>
  <c r="S206" i="112" s="1"/>
  <c r="V189" i="112"/>
  <c r="V269" i="112"/>
  <c r="V266" i="112" s="1"/>
  <c r="R71" i="112"/>
  <c r="W197" i="112"/>
  <c r="W196" i="112" s="1"/>
  <c r="V256" i="112"/>
  <c r="V254" i="112" s="1"/>
  <c r="W257" i="112" s="1"/>
  <c r="S201" i="112"/>
  <c r="X208" i="112" s="1"/>
  <c r="O207" i="112"/>
  <c r="N206" i="112"/>
  <c r="E190" i="112"/>
  <c r="E170" i="112"/>
  <c r="E168" i="112"/>
  <c r="T260" i="112"/>
  <c r="T95" i="112"/>
  <c r="W271" i="277" l="1"/>
  <c r="W236" i="277"/>
  <c r="W44" i="277"/>
  <c r="X71" i="277"/>
  <c r="X76" i="277"/>
  <c r="X227" i="277"/>
  <c r="X160" i="275"/>
  <c r="X46" i="275" s="1"/>
  <c r="X225" i="275"/>
  <c r="X73" i="275"/>
  <c r="X179" i="275"/>
  <c r="X32" i="275" s="1"/>
  <c r="X127" i="275" s="1"/>
  <c r="X281" i="275"/>
  <c r="W270" i="275"/>
  <c r="W235" i="275"/>
  <c r="D162" i="112"/>
  <c r="D160" i="112" s="1"/>
  <c r="D46" i="112" s="1"/>
  <c r="D176" i="112"/>
  <c r="D174" i="112" s="1"/>
  <c r="D53" i="112" s="1"/>
  <c r="Y208" i="112"/>
  <c r="V208" i="112"/>
  <c r="W208" i="112"/>
  <c r="M203" i="112"/>
  <c r="M202" i="112" s="1"/>
  <c r="M200" i="112" s="1"/>
  <c r="M198" i="112" s="1"/>
  <c r="R52" i="112"/>
  <c r="R69" i="112"/>
  <c r="W253" i="112"/>
  <c r="W248" i="112" s="1"/>
  <c r="W190" i="112"/>
  <c r="W168" i="112"/>
  <c r="W166" i="112" s="1"/>
  <c r="O206" i="112"/>
  <c r="N203" i="112" s="1"/>
  <c r="N202" i="112" s="1"/>
  <c r="N200" i="112" s="1"/>
  <c r="N198" i="112" s="1"/>
  <c r="P207" i="112"/>
  <c r="T203" i="112"/>
  <c r="T202" i="112" s="1"/>
  <c r="T207" i="112"/>
  <c r="T206" i="112" s="1"/>
  <c r="S200" i="112"/>
  <c r="E166" i="112"/>
  <c r="E162" i="112" s="1"/>
  <c r="D263" i="112"/>
  <c r="D232" i="112"/>
  <c r="D234" i="112" s="1"/>
  <c r="F251" i="112"/>
  <c r="E256" i="112"/>
  <c r="E254" i="112" s="1"/>
  <c r="F197" i="112"/>
  <c r="F196" i="112" s="1"/>
  <c r="F253" i="112" s="1"/>
  <c r="E189" i="112"/>
  <c r="E268" i="112"/>
  <c r="E266" i="112" s="1"/>
  <c r="T103" i="112"/>
  <c r="T62" i="112"/>
  <c r="T263" i="112"/>
  <c r="T232" i="112"/>
  <c r="T234" i="112" s="1"/>
  <c r="X52" i="277" l="1"/>
  <c r="X60" i="277"/>
  <c r="X69" i="277"/>
  <c r="X51" i="277"/>
  <c r="X95" i="277"/>
  <c r="X246" i="277"/>
  <c r="X34" i="277"/>
  <c r="Y83" i="277"/>
  <c r="Y79" i="277" s="1"/>
  <c r="Y86" i="277"/>
  <c r="W272" i="277"/>
  <c r="W45" i="277"/>
  <c r="W49" i="277"/>
  <c r="W40" i="277"/>
  <c r="W236" i="275"/>
  <c r="W271" i="275"/>
  <c r="W44" i="275"/>
  <c r="X227" i="275"/>
  <c r="X71" i="275"/>
  <c r="X76" i="275"/>
  <c r="D183" i="112"/>
  <c r="D182" i="112" s="1"/>
  <c r="D181" i="112" s="1"/>
  <c r="D179" i="112" s="1"/>
  <c r="D32" i="112" s="1"/>
  <c r="D127" i="112" s="1"/>
  <c r="F252" i="112"/>
  <c r="F250" i="112" s="1"/>
  <c r="F248" i="112" s="1"/>
  <c r="D225" i="112"/>
  <c r="D222" i="112" s="1"/>
  <c r="D51" i="112"/>
  <c r="E176" i="112"/>
  <c r="E174" i="112" s="1"/>
  <c r="E53" i="112" s="1"/>
  <c r="E260" i="112"/>
  <c r="E263" i="112" s="1"/>
  <c r="F257" i="112"/>
  <c r="W189" i="112"/>
  <c r="W269" i="112"/>
  <c r="W266" i="112" s="1"/>
  <c r="P206" i="112"/>
  <c r="O203" i="112" s="1"/>
  <c r="O202" i="112" s="1"/>
  <c r="Q207" i="112"/>
  <c r="W256" i="112"/>
  <c r="W254" i="112" s="1"/>
  <c r="X257" i="112" s="1"/>
  <c r="X197" i="112"/>
  <c r="X196" i="112" s="1"/>
  <c r="R66" i="112"/>
  <c r="R95" i="112" s="1"/>
  <c r="T200" i="112"/>
  <c r="S198" i="112"/>
  <c r="E183" i="112"/>
  <c r="E182" i="112" s="1"/>
  <c r="E181" i="112" s="1"/>
  <c r="E179" i="112" s="1"/>
  <c r="E32" i="112" s="1"/>
  <c r="E225" i="112"/>
  <c r="E222" i="112" s="1"/>
  <c r="E73" i="112"/>
  <c r="E71" i="112" s="1"/>
  <c r="E160" i="112"/>
  <c r="E46" i="112" s="1"/>
  <c r="F168" i="112"/>
  <c r="F170" i="112"/>
  <c r="F190" i="112"/>
  <c r="F269" i="112" s="1"/>
  <c r="D235" i="112"/>
  <c r="D270" i="112"/>
  <c r="T235" i="112"/>
  <c r="W50" i="277" l="1"/>
  <c r="W41" i="277"/>
  <c r="X265" i="277"/>
  <c r="X48" i="277" s="1"/>
  <c r="Y173" i="277"/>
  <c r="Y171" i="277" s="1"/>
  <c r="Y172" i="277"/>
  <c r="X260" i="277"/>
  <c r="X88" i="277"/>
  <c r="X103" i="277" s="1"/>
  <c r="X102" i="277"/>
  <c r="X66" i="277"/>
  <c r="Y83" i="275"/>
  <c r="Y79" i="275" s="1"/>
  <c r="Y86" i="275"/>
  <c r="X34" i="275"/>
  <c r="X51" i="275"/>
  <c r="X69" i="275"/>
  <c r="X52" i="275"/>
  <c r="X60" i="275"/>
  <c r="X95" i="275"/>
  <c r="X246" i="275"/>
  <c r="W49" i="275"/>
  <c r="W40" i="275"/>
  <c r="W272" i="275"/>
  <c r="W45" i="275"/>
  <c r="E127" i="112"/>
  <c r="E232" i="112"/>
  <c r="E234" i="112" s="1"/>
  <c r="E270" i="112" s="1"/>
  <c r="D187" i="112"/>
  <c r="D185" i="112" s="1"/>
  <c r="D221" i="112"/>
  <c r="O200" i="112"/>
  <c r="O198" i="112" s="1"/>
  <c r="R103" i="112"/>
  <c r="R62" i="112"/>
  <c r="F256" i="112"/>
  <c r="F254" i="112" s="1"/>
  <c r="G257" i="112" s="1"/>
  <c r="G251" i="112"/>
  <c r="G197" i="112"/>
  <c r="G196" i="112" s="1"/>
  <c r="G253" i="112" s="1"/>
  <c r="Q206" i="112"/>
  <c r="R207" i="112"/>
  <c r="R206" i="112" s="1"/>
  <c r="R200" i="112" s="1"/>
  <c r="E76" i="112"/>
  <c r="T198" i="112"/>
  <c r="T197" i="112"/>
  <c r="T196" i="112" s="1"/>
  <c r="X253" i="112"/>
  <c r="X248" i="112" s="1"/>
  <c r="X168" i="112"/>
  <c r="X166" i="112" s="1"/>
  <c r="X190" i="112"/>
  <c r="F166" i="112"/>
  <c r="E95" i="112"/>
  <c r="E88" i="112" s="1"/>
  <c r="E69" i="112"/>
  <c r="E52" i="112"/>
  <c r="E51" i="112"/>
  <c r="E221" i="112"/>
  <c r="E187" i="112"/>
  <c r="E185" i="112" s="1"/>
  <c r="D44" i="112"/>
  <c r="D271" i="112"/>
  <c r="D49" i="112" s="1"/>
  <c r="D236" i="112"/>
  <c r="F189" i="112"/>
  <c r="F268" i="112"/>
  <c r="F266" i="112" s="1"/>
  <c r="T236" i="112"/>
  <c r="Y186" i="277" l="1"/>
  <c r="Y185" i="277" s="1"/>
  <c r="Y181" i="277" s="1"/>
  <c r="Y162" i="277"/>
  <c r="X263" i="277"/>
  <c r="X232" i="277"/>
  <c r="X234" i="277" s="1"/>
  <c r="X88" i="275"/>
  <c r="X103" i="275" s="1"/>
  <c r="X102" i="275"/>
  <c r="X66" i="275"/>
  <c r="X265" i="275"/>
  <c r="X48" i="275" s="1"/>
  <c r="Y173" i="275"/>
  <c r="Y171" i="275" s="1"/>
  <c r="Y172" i="275"/>
  <c r="X260" i="275"/>
  <c r="W50" i="275"/>
  <c r="W41" i="275"/>
  <c r="E235" i="112"/>
  <c r="E271" i="112" s="1"/>
  <c r="E49" i="112" s="1"/>
  <c r="D277" i="112"/>
  <c r="D279" i="112" s="1"/>
  <c r="D281" i="112" s="1"/>
  <c r="D227" i="112" s="1"/>
  <c r="D34" i="112" s="1"/>
  <c r="D33" i="112"/>
  <c r="D128" i="112" s="1"/>
  <c r="R198" i="112"/>
  <c r="G252" i="112"/>
  <c r="G250" i="112" s="1"/>
  <c r="G248" i="112" s="1"/>
  <c r="G170" i="112"/>
  <c r="G168" i="112"/>
  <c r="G190" i="112"/>
  <c r="G269" i="112" s="1"/>
  <c r="X269" i="112"/>
  <c r="X266" i="112" s="1"/>
  <c r="X189" i="112"/>
  <c r="P203" i="112"/>
  <c r="P202" i="112" s="1"/>
  <c r="Q200" i="112"/>
  <c r="Q198" i="112" s="1"/>
  <c r="Y197" i="112"/>
  <c r="Y196" i="112" s="1"/>
  <c r="X256" i="112"/>
  <c r="X254" i="112" s="1"/>
  <c r="Y257" i="112" s="1"/>
  <c r="T170" i="112"/>
  <c r="T168" i="112"/>
  <c r="T166" i="112" s="1"/>
  <c r="T162" i="112" s="1"/>
  <c r="T187" i="112"/>
  <c r="T185" i="112" s="1"/>
  <c r="T181" i="112" s="1"/>
  <c r="T190" i="112"/>
  <c r="E102" i="112"/>
  <c r="D272" i="112"/>
  <c r="D45" i="112"/>
  <c r="E277" i="112"/>
  <c r="E279" i="112" s="1"/>
  <c r="E281" i="112" s="1"/>
  <c r="E227" i="112" s="1"/>
  <c r="E33" i="112"/>
  <c r="X235" i="277" l="1"/>
  <c r="X270" i="277"/>
  <c r="Y160" i="277"/>
  <c r="Y46" i="277" s="1"/>
  <c r="Y225" i="277"/>
  <c r="Y73" i="277"/>
  <c r="Y179" i="277"/>
  <c r="Y32" i="277" s="1"/>
  <c r="Y127" i="277" s="1"/>
  <c r="Y281" i="277"/>
  <c r="X263" i="275"/>
  <c r="X232" i="275"/>
  <c r="X234" i="275" s="1"/>
  <c r="Y186" i="275"/>
  <c r="Y185" i="275" s="1"/>
  <c r="Y181" i="275" s="1"/>
  <c r="Y162" i="275"/>
  <c r="E128" i="112"/>
  <c r="E236" i="112"/>
  <c r="E272" i="112" s="1"/>
  <c r="E50" i="112" s="1"/>
  <c r="E44" i="112"/>
  <c r="D40" i="112"/>
  <c r="E103" i="112"/>
  <c r="E62" i="112"/>
  <c r="G166" i="112"/>
  <c r="G268" i="112"/>
  <c r="G266" i="112" s="1"/>
  <c r="G189" i="112"/>
  <c r="G256" i="112"/>
  <c r="G254" i="112" s="1"/>
  <c r="H251" i="112"/>
  <c r="H250" i="112" s="1"/>
  <c r="H248" i="112" s="1"/>
  <c r="H197" i="112"/>
  <c r="H196" i="112" s="1"/>
  <c r="Y168" i="112"/>
  <c r="Y166" i="112" s="1"/>
  <c r="Y190" i="112"/>
  <c r="P200" i="112"/>
  <c r="P198" i="112" s="1"/>
  <c r="T189" i="112"/>
  <c r="T102" i="112"/>
  <c r="T268" i="112"/>
  <c r="T281" i="112"/>
  <c r="T227" i="112" s="1"/>
  <c r="T34" i="112" s="1"/>
  <c r="T179" i="112"/>
  <c r="T32" i="112" s="1"/>
  <c r="Y253" i="112"/>
  <c r="Y248" i="112" s="1"/>
  <c r="Y256" i="112" s="1"/>
  <c r="Y254" i="112" s="1"/>
  <c r="T160" i="112"/>
  <c r="T46" i="112" s="1"/>
  <c r="T225" i="112"/>
  <c r="T73" i="112"/>
  <c r="T76" i="112"/>
  <c r="U83" i="112" s="1"/>
  <c r="U79" i="112" s="1"/>
  <c r="T51" i="112"/>
  <c r="D50" i="112"/>
  <c r="D41" i="112"/>
  <c r="E34" i="112"/>
  <c r="E40" i="112"/>
  <c r="Y227" i="277" l="1"/>
  <c r="Y71" i="277"/>
  <c r="Y76" i="277"/>
  <c r="X236" i="277"/>
  <c r="X271" i="277"/>
  <c r="X44" i="277"/>
  <c r="Y160" i="275"/>
  <c r="Y46" i="275" s="1"/>
  <c r="Y225" i="275"/>
  <c r="Y73" i="275"/>
  <c r="Y179" i="275"/>
  <c r="Y32" i="275" s="1"/>
  <c r="Y127" i="275" s="1"/>
  <c r="Y281" i="275"/>
  <c r="X270" i="275"/>
  <c r="X235" i="275"/>
  <c r="E45" i="112"/>
  <c r="E41" i="112"/>
  <c r="H170" i="112"/>
  <c r="H168" i="112"/>
  <c r="H190" i="112"/>
  <c r="I197" i="112"/>
  <c r="I196" i="112" s="1"/>
  <c r="I190" i="112" s="1"/>
  <c r="H256" i="112"/>
  <c r="H254" i="112" s="1"/>
  <c r="H260" i="112" s="1"/>
  <c r="I251" i="112"/>
  <c r="I250" i="112" s="1"/>
  <c r="I248" i="112" s="1"/>
  <c r="Y189" i="112"/>
  <c r="Y269" i="112"/>
  <c r="Y266" i="112" s="1"/>
  <c r="X49" i="277" l="1"/>
  <c r="X40" i="277"/>
  <c r="X272" i="277"/>
  <c r="X45" i="277"/>
  <c r="Y51" i="277"/>
  <c r="Y60" i="277"/>
  <c r="Y69" i="277"/>
  <c r="Y52" i="277"/>
  <c r="Y95" i="277"/>
  <c r="Y246" i="277"/>
  <c r="Y34" i="277"/>
  <c r="X271" i="275"/>
  <c r="X236" i="275"/>
  <c r="X44" i="275"/>
  <c r="Y227" i="275"/>
  <c r="Y71" i="275"/>
  <c r="Y76" i="275"/>
  <c r="I189" i="112"/>
  <c r="I268" i="112"/>
  <c r="I266" i="112" s="1"/>
  <c r="H166" i="112"/>
  <c r="H162" i="112" s="1"/>
  <c r="H183" i="112" s="1"/>
  <c r="H182" i="112" s="1"/>
  <c r="H181" i="112" s="1"/>
  <c r="H179" i="112" s="1"/>
  <c r="H32" i="112" s="1"/>
  <c r="H232" i="112"/>
  <c r="H234" i="112" s="1"/>
  <c r="H235" i="112" s="1"/>
  <c r="H236" i="112" s="1"/>
  <c r="H263" i="112"/>
  <c r="H268" i="112"/>
  <c r="H266" i="112" s="1"/>
  <c r="H189" i="112"/>
  <c r="I168" i="112"/>
  <c r="I170" i="112"/>
  <c r="J251" i="112"/>
  <c r="J250" i="112" s="1"/>
  <c r="J248" i="112" s="1"/>
  <c r="I256" i="112"/>
  <c r="I254" i="112" s="1"/>
  <c r="I260" i="112" s="1"/>
  <c r="J197" i="112"/>
  <c r="J196" i="112" s="1"/>
  <c r="S86" i="112"/>
  <c r="S79" i="112" s="1"/>
  <c r="S172" i="112"/>
  <c r="S171" i="112" s="1"/>
  <c r="Y265" i="277" l="1"/>
  <c r="Y48" i="277" s="1"/>
  <c r="Y260" i="277"/>
  <c r="X50" i="277"/>
  <c r="X41" i="277"/>
  <c r="Y88" i="277"/>
  <c r="Y103" i="277" s="1"/>
  <c r="Y102" i="277"/>
  <c r="Y66" i="277"/>
  <c r="Y51" i="275"/>
  <c r="Y69" i="275"/>
  <c r="Y52" i="275"/>
  <c r="Y60" i="275"/>
  <c r="Y95" i="275"/>
  <c r="Y246" i="275"/>
  <c r="Y34" i="275"/>
  <c r="X272" i="275"/>
  <c r="X45" i="275"/>
  <c r="X49" i="275"/>
  <c r="X40" i="275"/>
  <c r="I166" i="112"/>
  <c r="H160" i="112"/>
  <c r="H46" i="112" s="1"/>
  <c r="H73" i="112"/>
  <c r="H225" i="112"/>
  <c r="H222" i="112" s="1"/>
  <c r="H221" i="112" s="1"/>
  <c r="I263" i="112"/>
  <c r="I232" i="112"/>
  <c r="I234" i="112" s="1"/>
  <c r="K251" i="112"/>
  <c r="K250" i="112" s="1"/>
  <c r="K248" i="112" s="1"/>
  <c r="K197" i="112"/>
  <c r="K196" i="112" s="1"/>
  <c r="J256" i="112"/>
  <c r="J254" i="112" s="1"/>
  <c r="J260" i="112" s="1"/>
  <c r="J190" i="112"/>
  <c r="J168" i="112"/>
  <c r="J170" i="112"/>
  <c r="S186" i="112"/>
  <c r="Y263" i="277" l="1"/>
  <c r="Y232" i="277"/>
  <c r="Y234" i="277" s="1"/>
  <c r="X50" i="275"/>
  <c r="X41" i="275"/>
  <c r="Y88" i="275"/>
  <c r="Y103" i="275" s="1"/>
  <c r="Y102" i="275"/>
  <c r="Y66" i="275"/>
  <c r="Y265" i="275"/>
  <c r="Y48" i="275" s="1"/>
  <c r="Y260" i="275"/>
  <c r="I162" i="112"/>
  <c r="I73" i="112" s="1"/>
  <c r="I76" i="112" s="1"/>
  <c r="I176" i="112"/>
  <c r="H187" i="112"/>
  <c r="H185" i="112" s="1"/>
  <c r="J166" i="112"/>
  <c r="H71" i="112"/>
  <c r="H51" i="112" s="1"/>
  <c r="H76" i="112"/>
  <c r="K256" i="112"/>
  <c r="K254" i="112" s="1"/>
  <c r="K260" i="112" s="1"/>
  <c r="L251" i="112"/>
  <c r="L250" i="112" s="1"/>
  <c r="L248" i="112" s="1"/>
  <c r="L197" i="112"/>
  <c r="L196" i="112" s="1"/>
  <c r="L190" i="112" s="1"/>
  <c r="J263" i="112"/>
  <c r="J232" i="112"/>
  <c r="J234" i="112" s="1"/>
  <c r="J189" i="112"/>
  <c r="J268" i="112"/>
  <c r="J266" i="112" s="1"/>
  <c r="H277" i="112"/>
  <c r="H279" i="112" s="1"/>
  <c r="H281" i="112" s="1"/>
  <c r="H227" i="112" s="1"/>
  <c r="H34" i="112" s="1"/>
  <c r="H33" i="112"/>
  <c r="K190" i="112"/>
  <c r="K170" i="112"/>
  <c r="K168" i="112"/>
  <c r="I235" i="112"/>
  <c r="I270" i="112"/>
  <c r="S246" i="112"/>
  <c r="Y270" i="277" l="1"/>
  <c r="Y235" i="277"/>
  <c r="Y263" i="275"/>
  <c r="Y232" i="275"/>
  <c r="Y234" i="275" s="1"/>
  <c r="I71" i="112"/>
  <c r="I51" i="112" s="1"/>
  <c r="I160" i="112"/>
  <c r="I46" i="112" s="1"/>
  <c r="L189" i="112"/>
  <c r="L268" i="112"/>
  <c r="L266" i="112" s="1"/>
  <c r="J162" i="112"/>
  <c r="J225" i="112" s="1"/>
  <c r="J222" i="112" s="1"/>
  <c r="J187" i="112" s="1"/>
  <c r="J185" i="112" s="1"/>
  <c r="J176" i="112"/>
  <c r="I225" i="112"/>
  <c r="I222" i="112" s="1"/>
  <c r="I183" i="112"/>
  <c r="I182" i="112" s="1"/>
  <c r="I181" i="112" s="1"/>
  <c r="I179" i="112" s="1"/>
  <c r="I32" i="112" s="1"/>
  <c r="I127" i="112" s="1"/>
  <c r="K166" i="112"/>
  <c r="H69" i="112"/>
  <c r="H95" i="112"/>
  <c r="H88" i="112" s="1"/>
  <c r="K232" i="112"/>
  <c r="K234" i="112" s="1"/>
  <c r="K263" i="112"/>
  <c r="L170" i="112"/>
  <c r="L168" i="112"/>
  <c r="K189" i="112"/>
  <c r="K268" i="112"/>
  <c r="K266" i="112" s="1"/>
  <c r="J235" i="112"/>
  <c r="J270" i="112"/>
  <c r="L256" i="112"/>
  <c r="L254" i="112" s="1"/>
  <c r="L260" i="112" s="1"/>
  <c r="M251" i="112"/>
  <c r="M250" i="112" s="1"/>
  <c r="M248" i="112" s="1"/>
  <c r="M197" i="112"/>
  <c r="M196" i="112" s="1"/>
  <c r="I271" i="112"/>
  <c r="I236" i="112"/>
  <c r="I44" i="112"/>
  <c r="S71" i="112"/>
  <c r="S260" i="112"/>
  <c r="S265" i="112"/>
  <c r="T265" i="112"/>
  <c r="Y236" i="277" l="1"/>
  <c r="Y271" i="277"/>
  <c r="Y44" i="277"/>
  <c r="Y270" i="275"/>
  <c r="Y235" i="275"/>
  <c r="I69" i="112"/>
  <c r="I95" i="112"/>
  <c r="I88" i="112" s="1"/>
  <c r="J221" i="112"/>
  <c r="J277" i="112" s="1"/>
  <c r="J279" i="112" s="1"/>
  <c r="I187" i="112"/>
  <c r="I185" i="112" s="1"/>
  <c r="I221" i="112"/>
  <c r="J73" i="112"/>
  <c r="J71" i="112" s="1"/>
  <c r="J160" i="112"/>
  <c r="J46" i="112" s="1"/>
  <c r="J183" i="112"/>
  <c r="J182" i="112" s="1"/>
  <c r="J181" i="112" s="1"/>
  <c r="J179" i="112" s="1"/>
  <c r="J32" i="112" s="1"/>
  <c r="J127" i="112" s="1"/>
  <c r="K162" i="112"/>
  <c r="K183" i="112" s="1"/>
  <c r="K182" i="112" s="1"/>
  <c r="K181" i="112" s="1"/>
  <c r="K179" i="112" s="1"/>
  <c r="K32" i="112" s="1"/>
  <c r="K176" i="112"/>
  <c r="L166" i="112"/>
  <c r="H102" i="112"/>
  <c r="L263" i="112"/>
  <c r="L232" i="112"/>
  <c r="L234" i="112" s="1"/>
  <c r="M190" i="112"/>
  <c r="M170" i="112"/>
  <c r="M168" i="112"/>
  <c r="J44" i="112"/>
  <c r="J271" i="112"/>
  <c r="J49" i="112" s="1"/>
  <c r="J236" i="112"/>
  <c r="I49" i="112"/>
  <c r="I272" i="112"/>
  <c r="I45" i="112"/>
  <c r="M256" i="112"/>
  <c r="M254" i="112" s="1"/>
  <c r="M260" i="112" s="1"/>
  <c r="N251" i="112"/>
  <c r="N250" i="112" s="1"/>
  <c r="N248" i="112" s="1"/>
  <c r="N197" i="112"/>
  <c r="N196" i="112" s="1"/>
  <c r="K270" i="112"/>
  <c r="K235" i="112"/>
  <c r="S48" i="112"/>
  <c r="S175" i="112"/>
  <c r="S69" i="112"/>
  <c r="S52" i="112"/>
  <c r="T48" i="112"/>
  <c r="T175" i="112"/>
  <c r="T176" i="112"/>
  <c r="S263" i="112"/>
  <c r="S232" i="112"/>
  <c r="S234" i="112" s="1"/>
  <c r="Y49" i="277" l="1"/>
  <c r="Y40" i="277"/>
  <c r="Y272" i="277"/>
  <c r="Y45" i="277"/>
  <c r="Y271" i="275"/>
  <c r="Y236" i="275"/>
  <c r="Y44" i="275"/>
  <c r="J281" i="112"/>
  <c r="J227" i="112" s="1"/>
  <c r="J34" i="112" s="1"/>
  <c r="I102" i="112"/>
  <c r="J33" i="112"/>
  <c r="J76" i="112"/>
  <c r="K127" i="112"/>
  <c r="H103" i="112"/>
  <c r="H62" i="112"/>
  <c r="H52" i="112" s="1"/>
  <c r="K225" i="112"/>
  <c r="K222" i="112" s="1"/>
  <c r="K221" i="112" s="1"/>
  <c r="K277" i="112" s="1"/>
  <c r="K279" i="112" s="1"/>
  <c r="K281" i="112" s="1"/>
  <c r="K227" i="112" s="1"/>
  <c r="I103" i="112"/>
  <c r="I62" i="112"/>
  <c r="I52" i="112" s="1"/>
  <c r="L162" i="112"/>
  <c r="L73" i="112" s="1"/>
  <c r="L76" i="112" s="1"/>
  <c r="L176" i="112"/>
  <c r="I33" i="112"/>
  <c r="I128" i="112" s="1"/>
  <c r="I277" i="112"/>
  <c r="I279" i="112" s="1"/>
  <c r="I281" i="112" s="1"/>
  <c r="I227" i="112" s="1"/>
  <c r="I41" i="112" s="1"/>
  <c r="K160" i="112"/>
  <c r="K46" i="112" s="1"/>
  <c r="K73" i="112"/>
  <c r="K76" i="112" s="1"/>
  <c r="F83" i="112" s="1"/>
  <c r="F79" i="112" s="1"/>
  <c r="M166" i="112"/>
  <c r="M162" i="112" s="1"/>
  <c r="J95" i="112"/>
  <c r="J88" i="112" s="1"/>
  <c r="J69" i="112"/>
  <c r="J51" i="112"/>
  <c r="L71" i="112"/>
  <c r="J272" i="112"/>
  <c r="J50" i="112" s="1"/>
  <c r="J45" i="112"/>
  <c r="M263" i="112"/>
  <c r="M232" i="112"/>
  <c r="M234" i="112" s="1"/>
  <c r="I50" i="112"/>
  <c r="M189" i="112"/>
  <c r="M268" i="112"/>
  <c r="M266" i="112" s="1"/>
  <c r="N190" i="112"/>
  <c r="N170" i="112"/>
  <c r="N168" i="112"/>
  <c r="K236" i="112"/>
  <c r="K272" i="112" s="1"/>
  <c r="K50" i="112" s="1"/>
  <c r="K271" i="112"/>
  <c r="K49" i="112" s="1"/>
  <c r="K44" i="112"/>
  <c r="N256" i="112"/>
  <c r="N254" i="112" s="1"/>
  <c r="N260" i="112" s="1"/>
  <c r="O251" i="112"/>
  <c r="O250" i="112" s="1"/>
  <c r="O248" i="112" s="1"/>
  <c r="O197" i="112"/>
  <c r="O196" i="112" s="1"/>
  <c r="L235" i="112"/>
  <c r="L270" i="112"/>
  <c r="T174" i="112"/>
  <c r="T53" i="112" s="1"/>
  <c r="S235" i="112"/>
  <c r="T270" i="112"/>
  <c r="Y50" i="277" l="1"/>
  <c r="Y41" i="277"/>
  <c r="J40" i="112"/>
  <c r="Y272" i="275"/>
  <c r="Y45" i="275"/>
  <c r="Y49" i="275"/>
  <c r="Y40" i="275"/>
  <c r="J128" i="112"/>
  <c r="K33" i="112"/>
  <c r="K128" i="112" s="1"/>
  <c r="K71" i="112"/>
  <c r="K187" i="112"/>
  <c r="K185" i="112" s="1"/>
  <c r="L160" i="112"/>
  <c r="L46" i="112" s="1"/>
  <c r="L183" i="112"/>
  <c r="L182" i="112" s="1"/>
  <c r="L181" i="112" s="1"/>
  <c r="L179" i="112" s="1"/>
  <c r="L32" i="112" s="1"/>
  <c r="L127" i="112" s="1"/>
  <c r="I34" i="112"/>
  <c r="I40" i="112"/>
  <c r="M176" i="112"/>
  <c r="L225" i="112"/>
  <c r="L222" i="112" s="1"/>
  <c r="L221" i="112" s="1"/>
  <c r="L33" i="112" s="1"/>
  <c r="J102" i="112"/>
  <c r="N166" i="112"/>
  <c r="L51" i="112"/>
  <c r="L95" i="112"/>
  <c r="L69" i="112"/>
  <c r="J41" i="112"/>
  <c r="O190" i="112"/>
  <c r="O170" i="112"/>
  <c r="O168" i="112"/>
  <c r="M225" i="112"/>
  <c r="M222" i="112" s="1"/>
  <c r="M73" i="112"/>
  <c r="M71" i="112" s="1"/>
  <c r="M160" i="112"/>
  <c r="M46" i="112" s="1"/>
  <c r="N189" i="112"/>
  <c r="N268" i="112"/>
  <c r="N266" i="112" s="1"/>
  <c r="L44" i="112"/>
  <c r="L236" i="112"/>
  <c r="L271" i="112"/>
  <c r="P251" i="112"/>
  <c r="P250" i="112" s="1"/>
  <c r="P248" i="112" s="1"/>
  <c r="P197" i="112"/>
  <c r="P196" i="112" s="1"/>
  <c r="P190" i="112" s="1"/>
  <c r="O256" i="112"/>
  <c r="O254" i="112" s="1"/>
  <c r="O260" i="112" s="1"/>
  <c r="N232" i="112"/>
  <c r="N234" i="112" s="1"/>
  <c r="N263" i="112"/>
  <c r="K34" i="112"/>
  <c r="K40" i="112"/>
  <c r="K41" i="112"/>
  <c r="M270" i="112"/>
  <c r="M235" i="112"/>
  <c r="K45" i="112"/>
  <c r="S236" i="112"/>
  <c r="T271" i="112"/>
  <c r="T44" i="112"/>
  <c r="Y50" i="275" l="1"/>
  <c r="Y41" i="275"/>
  <c r="L128" i="112"/>
  <c r="L277" i="112"/>
  <c r="L279" i="112" s="1"/>
  <c r="L281" i="112" s="1"/>
  <c r="L227" i="112" s="1"/>
  <c r="L34" i="112" s="1"/>
  <c r="L187" i="112"/>
  <c r="L185" i="112" s="1"/>
  <c r="K95" i="112"/>
  <c r="K88" i="112" s="1"/>
  <c r="K62" i="112" s="1"/>
  <c r="K52" i="112" s="1"/>
  <c r="K69" i="112"/>
  <c r="K51" i="112"/>
  <c r="N162" i="112"/>
  <c r="N160" i="112" s="1"/>
  <c r="N46" i="112" s="1"/>
  <c r="N176" i="112"/>
  <c r="J103" i="112"/>
  <c r="J62" i="112"/>
  <c r="J52" i="112" s="1"/>
  <c r="P189" i="112"/>
  <c r="P268" i="112"/>
  <c r="P266" i="112" s="1"/>
  <c r="L102" i="112"/>
  <c r="O166" i="112"/>
  <c r="M69" i="112"/>
  <c r="M95" i="112"/>
  <c r="M51" i="112"/>
  <c r="N71" i="112"/>
  <c r="M76" i="112"/>
  <c r="M44" i="112"/>
  <c r="M236" i="112"/>
  <c r="M271" i="112"/>
  <c r="M49" i="112" s="1"/>
  <c r="L45" i="112"/>
  <c r="L272" i="112"/>
  <c r="L49" i="112"/>
  <c r="P170" i="112"/>
  <c r="P168" i="112"/>
  <c r="O189" i="112"/>
  <c r="O268" i="112"/>
  <c r="O266" i="112" s="1"/>
  <c r="O232" i="112"/>
  <c r="O234" i="112" s="1"/>
  <c r="O263" i="112"/>
  <c r="N235" i="112"/>
  <c r="N270" i="112"/>
  <c r="P256" i="112"/>
  <c r="P254" i="112" s="1"/>
  <c r="P260" i="112" s="1"/>
  <c r="Q197" i="112"/>
  <c r="Q196" i="112" s="1"/>
  <c r="Q190" i="112" s="1"/>
  <c r="Q251" i="112"/>
  <c r="Q250" i="112" s="1"/>
  <c r="Q248" i="112" s="1"/>
  <c r="M221" i="112"/>
  <c r="M187" i="112"/>
  <c r="M185" i="112" s="1"/>
  <c r="M181" i="112" s="1"/>
  <c r="M179" i="112" s="1"/>
  <c r="M32" i="112" s="1"/>
  <c r="M127" i="112" s="1"/>
  <c r="T49" i="112"/>
  <c r="T40" i="112"/>
  <c r="T45" i="112"/>
  <c r="T272" i="112"/>
  <c r="L40" i="112" l="1"/>
  <c r="K102" i="112"/>
  <c r="K103" i="112"/>
  <c r="N76" i="112"/>
  <c r="Q189" i="112"/>
  <c r="Q268" i="112"/>
  <c r="Q266" i="112" s="1"/>
  <c r="O162" i="112"/>
  <c r="O160" i="112" s="1"/>
  <c r="O46" i="112" s="1"/>
  <c r="O176" i="112"/>
  <c r="L103" i="112"/>
  <c r="L62" i="112"/>
  <c r="L52" i="112" s="1"/>
  <c r="N73" i="112"/>
  <c r="N225" i="112"/>
  <c r="N222" i="112" s="1"/>
  <c r="Q256" i="112"/>
  <c r="Q254" i="112" s="1"/>
  <c r="R251" i="112"/>
  <c r="R250" i="112" s="1"/>
  <c r="R248" i="112" s="1"/>
  <c r="R197" i="112"/>
  <c r="R196" i="112" s="1"/>
  <c r="P166" i="112"/>
  <c r="P162" i="112" s="1"/>
  <c r="M102" i="112"/>
  <c r="N51" i="112"/>
  <c r="N69" i="112"/>
  <c r="N95" i="112"/>
  <c r="N44" i="112"/>
  <c r="N236" i="112"/>
  <c r="N271" i="112"/>
  <c r="N49" i="112" s="1"/>
  <c r="M272" i="112"/>
  <c r="M50" i="112" s="1"/>
  <c r="M45" i="112"/>
  <c r="Q168" i="112"/>
  <c r="Q170" i="112"/>
  <c r="L50" i="112"/>
  <c r="L41" i="112"/>
  <c r="P263" i="112"/>
  <c r="P232" i="112"/>
  <c r="P234" i="112" s="1"/>
  <c r="M33" i="112"/>
  <c r="M128" i="112" s="1"/>
  <c r="M277" i="112"/>
  <c r="M279" i="112" s="1"/>
  <c r="M281" i="112" s="1"/>
  <c r="O270" i="112"/>
  <c r="O235" i="112"/>
  <c r="M175" i="112"/>
  <c r="T50" i="112"/>
  <c r="T41" i="112"/>
  <c r="P176" i="112" l="1"/>
  <c r="M103" i="112"/>
  <c r="M62" i="112"/>
  <c r="M52" i="112" s="1"/>
  <c r="N221" i="112"/>
  <c r="N187" i="112"/>
  <c r="N185" i="112" s="1"/>
  <c r="N181" i="112" s="1"/>
  <c r="N179" i="112" s="1"/>
  <c r="N32" i="112" s="1"/>
  <c r="N127" i="112" s="1"/>
  <c r="O73" i="112"/>
  <c r="O71" i="112" s="1"/>
  <c r="O69" i="112" s="1"/>
  <c r="O225" i="112"/>
  <c r="O222" i="112" s="1"/>
  <c r="Q260" i="112"/>
  <c r="O76" i="112"/>
  <c r="R190" i="112"/>
  <c r="R168" i="112"/>
  <c r="R166" i="112" s="1"/>
  <c r="R170" i="112"/>
  <c r="Q166" i="112"/>
  <c r="R256" i="112"/>
  <c r="R254" i="112" s="1"/>
  <c r="S257" i="112" s="1"/>
  <c r="S251" i="112"/>
  <c r="S250" i="112" s="1"/>
  <c r="S197" i="112"/>
  <c r="S196" i="112" s="1"/>
  <c r="N102" i="112"/>
  <c r="N272" i="112"/>
  <c r="N50" i="112" s="1"/>
  <c r="N45" i="112"/>
  <c r="O236" i="112"/>
  <c r="O271" i="112"/>
  <c r="O49" i="112" s="1"/>
  <c r="O44" i="112"/>
  <c r="M227" i="112"/>
  <c r="M40" i="112"/>
  <c r="P270" i="112"/>
  <c r="P235" i="112"/>
  <c r="P160" i="112"/>
  <c r="P46" i="112" s="1"/>
  <c r="P225" i="112"/>
  <c r="P222" i="112" s="1"/>
  <c r="P73" i="112"/>
  <c r="P76" i="112" s="1"/>
  <c r="N175" i="112"/>
  <c r="M174" i="112"/>
  <c r="O95" i="112" l="1"/>
  <c r="O51" i="112"/>
  <c r="Q263" i="112"/>
  <c r="Q232" i="112"/>
  <c r="Q234" i="112" s="1"/>
  <c r="R260" i="112"/>
  <c r="R232" i="112" s="1"/>
  <c r="R234" i="112" s="1"/>
  <c r="Q162" i="112"/>
  <c r="Q73" i="112" s="1"/>
  <c r="Q176" i="112"/>
  <c r="O221" i="112"/>
  <c r="O187" i="112"/>
  <c r="O185" i="112" s="1"/>
  <c r="O181" i="112" s="1"/>
  <c r="O179" i="112" s="1"/>
  <c r="O32" i="112" s="1"/>
  <c r="O127" i="112" s="1"/>
  <c r="N33" i="112"/>
  <c r="N128" i="112" s="1"/>
  <c r="N277" i="112"/>
  <c r="N279" i="112" s="1"/>
  <c r="N281" i="112" s="1"/>
  <c r="N103" i="112"/>
  <c r="N62" i="112"/>
  <c r="N52" i="112" s="1"/>
  <c r="S168" i="112"/>
  <c r="S166" i="112" s="1"/>
  <c r="S190" i="112"/>
  <c r="S170" i="112"/>
  <c r="P71" i="112"/>
  <c r="R162" i="112"/>
  <c r="R176" i="112"/>
  <c r="O102" i="112"/>
  <c r="O103" i="112"/>
  <c r="R189" i="112"/>
  <c r="R268" i="112"/>
  <c r="R102" i="112"/>
  <c r="O45" i="112"/>
  <c r="O272" i="112"/>
  <c r="O50" i="112" s="1"/>
  <c r="P236" i="112"/>
  <c r="P44" i="112"/>
  <c r="P271" i="112"/>
  <c r="P49" i="112" s="1"/>
  <c r="P221" i="112"/>
  <c r="P187" i="112"/>
  <c r="P185" i="112" s="1"/>
  <c r="P181" i="112" s="1"/>
  <c r="P179" i="112" s="1"/>
  <c r="P32" i="112" s="1"/>
  <c r="M34" i="112"/>
  <c r="M41" i="112"/>
  <c r="N174" i="112"/>
  <c r="O175" i="112"/>
  <c r="P127" i="112" l="1"/>
  <c r="Q160" i="112"/>
  <c r="Q46" i="112" s="1"/>
  <c r="O62" i="112"/>
  <c r="O52" i="112" s="1"/>
  <c r="R263" i="112"/>
  <c r="Q225" i="112"/>
  <c r="Q222" i="112" s="1"/>
  <c r="Q187" i="112" s="1"/>
  <c r="Q185" i="112" s="1"/>
  <c r="Q181" i="112" s="1"/>
  <c r="Q179" i="112" s="1"/>
  <c r="Q32" i="112" s="1"/>
  <c r="Q127" i="112" s="1"/>
  <c r="O277" i="112"/>
  <c r="O279" i="112" s="1"/>
  <c r="O281" i="112" s="1"/>
  <c r="O33" i="112"/>
  <c r="O128" i="112" s="1"/>
  <c r="Q235" i="112"/>
  <c r="Q270" i="112"/>
  <c r="N40" i="112"/>
  <c r="N227" i="112"/>
  <c r="R160" i="112"/>
  <c r="R46" i="112" s="1"/>
  <c r="R225" i="112"/>
  <c r="R222" i="112" s="1"/>
  <c r="R73" i="112"/>
  <c r="R76" i="112"/>
  <c r="S83" i="112" s="1"/>
  <c r="R51" i="112"/>
  <c r="P69" i="112"/>
  <c r="P51" i="112"/>
  <c r="R235" i="112"/>
  <c r="R270" i="112"/>
  <c r="S270" i="112"/>
  <c r="S189" i="112"/>
  <c r="S268" i="112"/>
  <c r="S266" i="112" s="1"/>
  <c r="Q71" i="112"/>
  <c r="Q76" i="112"/>
  <c r="S162" i="112"/>
  <c r="S176" i="112"/>
  <c r="S174" i="112" s="1"/>
  <c r="S53" i="112" s="1"/>
  <c r="S177" i="112" s="1"/>
  <c r="P33" i="112"/>
  <c r="P277" i="112"/>
  <c r="P279" i="112" s="1"/>
  <c r="P281" i="112" s="1"/>
  <c r="P45" i="112"/>
  <c r="P272" i="112"/>
  <c r="P50" i="112" s="1"/>
  <c r="O174" i="112"/>
  <c r="P175" i="112"/>
  <c r="Q221" i="112" l="1"/>
  <c r="Q33" i="112" s="1"/>
  <c r="Q128" i="112" s="1"/>
  <c r="N41" i="112"/>
  <c r="N34" i="112"/>
  <c r="O227" i="112"/>
  <c r="O40" i="112"/>
  <c r="AD40" i="112" s="1"/>
  <c r="Q236" i="112"/>
  <c r="Q44" i="112"/>
  <c r="Q271" i="112"/>
  <c r="Q49" i="112" s="1"/>
  <c r="R44" i="112"/>
  <c r="R271" i="112"/>
  <c r="R49" i="112" s="1"/>
  <c r="R236" i="112"/>
  <c r="S44" i="112"/>
  <c r="S271" i="112"/>
  <c r="S49" i="112" s="1"/>
  <c r="Q51" i="112"/>
  <c r="Q69" i="112"/>
  <c r="S73" i="112"/>
  <c r="S160" i="112"/>
  <c r="S46" i="112" s="1"/>
  <c r="S225" i="112"/>
  <c r="S222" i="112" s="1"/>
  <c r="S76" i="112"/>
  <c r="U86" i="112" s="1"/>
  <c r="S51" i="112"/>
  <c r="R221" i="112"/>
  <c r="R187" i="112"/>
  <c r="R185" i="112" s="1"/>
  <c r="R181" i="112" s="1"/>
  <c r="R179" i="112" s="1"/>
  <c r="R32" i="112" s="1"/>
  <c r="R127" i="112" s="1"/>
  <c r="P227" i="112"/>
  <c r="P40" i="112"/>
  <c r="P128" i="112"/>
  <c r="P174" i="112"/>
  <c r="Q175" i="112"/>
  <c r="V222" i="112"/>
  <c r="V221" i="112" s="1"/>
  <c r="X222" i="112"/>
  <c r="X221" i="112" s="1"/>
  <c r="W222" i="112"/>
  <c r="W221" i="112" s="1"/>
  <c r="Q277" i="112" l="1"/>
  <c r="Q279" i="112" s="1"/>
  <c r="Q281" i="112" s="1"/>
  <c r="Q227" i="112" s="1"/>
  <c r="Q272" i="112"/>
  <c r="Q50" i="112" s="1"/>
  <c r="Q45" i="112"/>
  <c r="O34" i="112"/>
  <c r="O41" i="112"/>
  <c r="AD41" i="112" s="1"/>
  <c r="S187" i="112"/>
  <c r="S185" i="112" s="1"/>
  <c r="S181" i="112" s="1"/>
  <c r="S179" i="112" s="1"/>
  <c r="S32" i="112" s="1"/>
  <c r="S221" i="112"/>
  <c r="R277" i="112"/>
  <c r="R279" i="112" s="1"/>
  <c r="R281" i="112" s="1"/>
  <c r="R33" i="112"/>
  <c r="R128" i="112" s="1"/>
  <c r="R272" i="112"/>
  <c r="R50" i="112" s="1"/>
  <c r="R45" i="112"/>
  <c r="S45" i="112"/>
  <c r="S272" i="112"/>
  <c r="S50" i="112" s="1"/>
  <c r="P34" i="112"/>
  <c r="P41" i="112"/>
  <c r="U139" i="112"/>
  <c r="X187" i="112"/>
  <c r="Q174" i="112"/>
  <c r="R175" i="112"/>
  <c r="R174" i="112" s="1"/>
  <c r="X277" i="112"/>
  <c r="X279" i="112" s="1"/>
  <c r="X33" i="112"/>
  <c r="W33" i="112"/>
  <c r="W277" i="112"/>
  <c r="W279" i="112" s="1"/>
  <c r="V33" i="112"/>
  <c r="V128" i="112" s="1"/>
  <c r="V277" i="112"/>
  <c r="V279" i="112" s="1"/>
  <c r="V187" i="112"/>
  <c r="W187" i="112"/>
  <c r="Q40" i="112" l="1"/>
  <c r="Q34" i="112"/>
  <c r="Q41" i="112"/>
  <c r="R227" i="112"/>
  <c r="R40" i="112"/>
  <c r="S277" i="112"/>
  <c r="S279" i="112" s="1"/>
  <c r="S281" i="112" s="1"/>
  <c r="S33" i="112"/>
  <c r="S127" i="112"/>
  <c r="T127" i="112"/>
  <c r="R53" i="112"/>
  <c r="W128" i="112"/>
  <c r="X128" i="112"/>
  <c r="S227" i="112" l="1"/>
  <c r="S40" i="112"/>
  <c r="T128" i="112"/>
  <c r="S128" i="112"/>
  <c r="R34" i="112"/>
  <c r="R41" i="112"/>
  <c r="S34" i="112" l="1"/>
  <c r="S41" i="112"/>
  <c r="U142" i="112" l="1"/>
  <c r="S102" i="112" l="1"/>
  <c r="S66" i="112"/>
  <c r="S95" i="112" s="1"/>
  <c r="S103" i="112" s="1"/>
  <c r="Y222" i="112"/>
  <c r="Y187" i="112" s="1"/>
  <c r="Y221" i="112" l="1"/>
  <c r="Y33" i="112" s="1"/>
  <c r="Y128" i="112" s="1"/>
  <c r="S62" i="112"/>
  <c r="U172" i="112"/>
  <c r="U231" i="112"/>
  <c r="U229" i="112" s="1"/>
  <c r="U141" i="112" s="1"/>
  <c r="U140" i="112" s="1"/>
  <c r="U244" i="112"/>
  <c r="U242" i="112" s="1"/>
  <c r="U138" i="112" s="1"/>
  <c r="U137" i="112" s="1"/>
  <c r="F142" i="112" l="1"/>
  <c r="Y277" i="112"/>
  <c r="Y279" i="112" s="1"/>
  <c r="U56" i="112"/>
  <c r="U55" i="112" s="1"/>
  <c r="U71" i="112"/>
  <c r="F139" i="112" l="1"/>
  <c r="U52" i="112"/>
  <c r="U246" i="112"/>
  <c r="U69" i="112"/>
  <c r="F244" i="112" l="1"/>
  <c r="F242" i="112" s="1"/>
  <c r="F138" i="112" s="1"/>
  <c r="F137" i="112" s="1"/>
  <c r="G139" i="112"/>
  <c r="U265" i="112"/>
  <c r="U260" i="112"/>
  <c r="U102" i="112"/>
  <c r="U66" i="112"/>
  <c r="U95" i="112" l="1"/>
  <c r="U88" i="112" s="1"/>
  <c r="U48" i="112"/>
  <c r="U176" i="112"/>
  <c r="U175" i="112"/>
  <c r="U174" i="112" s="1"/>
  <c r="U53" i="112" s="1"/>
  <c r="U232" i="112"/>
  <c r="U234" i="112" s="1"/>
  <c r="U263" i="112"/>
  <c r="U103" i="112" l="1"/>
  <c r="U62" i="112"/>
  <c r="U177" i="112"/>
  <c r="U173" i="112" s="1"/>
  <c r="U171" i="112" s="1"/>
  <c r="V53" i="112"/>
  <c r="U235" i="112"/>
  <c r="U270" i="112"/>
  <c r="V177" i="112" l="1"/>
  <c r="W53" i="112"/>
  <c r="U162" i="112"/>
  <c r="U186" i="112"/>
  <c r="U185" i="112" s="1"/>
  <c r="U181" i="112" s="1"/>
  <c r="U236" i="112"/>
  <c r="U44" i="112"/>
  <c r="U271" i="112"/>
  <c r="U179" i="112" l="1"/>
  <c r="U32" i="112" s="1"/>
  <c r="U127" i="112" s="1"/>
  <c r="U281" i="112"/>
  <c r="U227" i="112" s="1"/>
  <c r="U34" i="112" s="1"/>
  <c r="U225" i="112"/>
  <c r="U160" i="112"/>
  <c r="U46" i="112" s="1"/>
  <c r="U73" i="112"/>
  <c r="U76" i="112"/>
  <c r="U51" i="112"/>
  <c r="U60" i="112"/>
  <c r="X53" i="112"/>
  <c r="W177" i="112"/>
  <c r="W174" i="112" s="1"/>
  <c r="V174" i="112"/>
  <c r="V173" i="112"/>
  <c r="V171" i="112" s="1"/>
  <c r="U272" i="112"/>
  <c r="U45" i="112"/>
  <c r="U49" i="112"/>
  <c r="U40" i="112" l="1"/>
  <c r="V186" i="112"/>
  <c r="V185" i="112" s="1"/>
  <c r="V181" i="112" s="1"/>
  <c r="V162" i="112"/>
  <c r="V83" i="112"/>
  <c r="Y53" i="112"/>
  <c r="Y177" i="112" s="1"/>
  <c r="Y174" i="112" s="1"/>
  <c r="X177" i="112"/>
  <c r="X174" i="112" s="1"/>
  <c r="U50" i="112"/>
  <c r="U41" i="112"/>
  <c r="V225" i="112" l="1"/>
  <c r="V160" i="112"/>
  <c r="V46" i="112" s="1"/>
  <c r="V179" i="112"/>
  <c r="V32" i="112" s="1"/>
  <c r="V127" i="112" s="1"/>
  <c r="V281" i="112"/>
  <c r="V227" i="112" s="1"/>
  <c r="V34" i="112" s="1"/>
  <c r="F177" i="112" l="1"/>
  <c r="F173" i="112" s="1"/>
  <c r="G142" i="112"/>
  <c r="F172" i="112" l="1"/>
  <c r="F171" i="112" s="1"/>
  <c r="F162" i="112" s="1"/>
  <c r="F186" i="112" l="1"/>
  <c r="F160" i="112"/>
  <c r="F46" i="112" s="1"/>
  <c r="F225" i="112"/>
  <c r="F222" i="112" s="1"/>
  <c r="F221" i="112" s="1"/>
  <c r="F183" i="112"/>
  <c r="F182" i="112" s="1"/>
  <c r="F181" i="112" s="1"/>
  <c r="F179" i="112" s="1"/>
  <c r="F32" i="112" s="1"/>
  <c r="F127" i="112" s="1"/>
  <c r="F73" i="112"/>
  <c r="F76" i="112" s="1"/>
  <c r="F71" i="112" l="1"/>
  <c r="F95" i="112" s="1"/>
  <c r="F88" i="112" s="1"/>
  <c r="F187" i="112"/>
  <c r="F185" i="112" s="1"/>
  <c r="F246" i="112"/>
  <c r="G83" i="112"/>
  <c r="G79" i="112" s="1"/>
  <c r="F33" i="112"/>
  <c r="F128" i="112" s="1"/>
  <c r="F277" i="112"/>
  <c r="F279" i="112" s="1"/>
  <c r="F281" i="112" s="1"/>
  <c r="F227" i="112" s="1"/>
  <c r="F51" i="112" l="1"/>
  <c r="F69" i="112"/>
  <c r="F52" i="112"/>
  <c r="F102" i="112"/>
  <c r="F103" i="112"/>
  <c r="F34" i="112"/>
  <c r="F260" i="112"/>
  <c r="F265" i="112"/>
  <c r="G173" i="112"/>
  <c r="G172" i="112"/>
  <c r="F48" i="112" l="1"/>
  <c r="F175" i="112"/>
  <c r="F176" i="112"/>
  <c r="F62" i="112"/>
  <c r="F232" i="112"/>
  <c r="F263" i="112"/>
  <c r="G171" i="112"/>
  <c r="F174" i="112" l="1"/>
  <c r="F53" i="112" s="1"/>
  <c r="G162" i="112"/>
  <c r="G186" i="112"/>
  <c r="G225" i="112" l="1"/>
  <c r="G222" i="112" s="1"/>
  <c r="G183" i="112"/>
  <c r="G182" i="112" s="1"/>
  <c r="G181" i="112" s="1"/>
  <c r="G179" i="112" s="1"/>
  <c r="G32" i="112" s="1"/>
  <c r="G160" i="112"/>
  <c r="G46" i="112" s="1"/>
  <c r="G73" i="112"/>
  <c r="G76" i="112" l="1"/>
  <c r="V86" i="112" s="1"/>
  <c r="V79" i="112" s="1"/>
  <c r="G71" i="112"/>
  <c r="H127" i="112"/>
  <c r="G127" i="112"/>
  <c r="G187" i="112"/>
  <c r="G185" i="112" s="1"/>
  <c r="G221" i="112"/>
  <c r="V73" i="112" l="1"/>
  <c r="V172" i="112"/>
  <c r="G33" i="112"/>
  <c r="G277" i="112"/>
  <c r="G279" i="112" s="1"/>
  <c r="G281" i="112" s="1"/>
  <c r="G227" i="112" s="1"/>
  <c r="G51" i="112"/>
  <c r="G95" i="112"/>
  <c r="G88" i="112" s="1"/>
  <c r="G69" i="112"/>
  <c r="G52" i="112"/>
  <c r="G246" i="112"/>
  <c r="H265" i="112" s="1"/>
  <c r="V71" i="112" l="1"/>
  <c r="V76" i="112"/>
  <c r="H48" i="112"/>
  <c r="H176" i="112"/>
  <c r="G102" i="112"/>
  <c r="G34" i="112"/>
  <c r="G265" i="112"/>
  <c r="H128" i="112"/>
  <c r="G128" i="112"/>
  <c r="W83" i="112" l="1"/>
  <c r="W79" i="112" s="1"/>
  <c r="W86" i="112"/>
  <c r="V95" i="112"/>
  <c r="V66" i="112" s="1"/>
  <c r="V69" i="112"/>
  <c r="V60" i="112"/>
  <c r="V51" i="112"/>
  <c r="V52" i="112"/>
  <c r="V246" i="112"/>
  <c r="G48" i="112"/>
  <c r="G176" i="112"/>
  <c r="G175" i="112"/>
  <c r="H175" i="112" s="1"/>
  <c r="G103" i="112"/>
  <c r="G62" i="112"/>
  <c r="W173" i="112" l="1"/>
  <c r="V265" i="112"/>
  <c r="V48" i="112" s="1"/>
  <c r="W172" i="112"/>
  <c r="V88" i="112"/>
  <c r="V103" i="112" s="1"/>
  <c r="V102" i="112"/>
  <c r="H174" i="112"/>
  <c r="I175" i="112"/>
  <c r="Q102" i="112"/>
  <c r="P102" i="112"/>
  <c r="P66" i="112"/>
  <c r="P95" i="112" s="1"/>
  <c r="Q66" i="112"/>
  <c r="Q95" i="112" s="1"/>
  <c r="Q103" i="112"/>
  <c r="G231" i="112"/>
  <c r="G229" i="112" s="1"/>
  <c r="G141" i="112" s="1"/>
  <c r="G140" i="112" s="1"/>
  <c r="G177" i="112"/>
  <c r="G174" i="112" s="1"/>
  <c r="G53" i="112" s="1"/>
  <c r="G244" i="112"/>
  <c r="G242" i="112" s="1"/>
  <c r="G260" i="112" s="1"/>
  <c r="W171" i="112" l="1"/>
  <c r="I174" i="112"/>
  <c r="J175" i="112"/>
  <c r="H53" i="112"/>
  <c r="P62" i="112"/>
  <c r="P52" i="112" s="1"/>
  <c r="P103" i="112"/>
  <c r="Q62" i="112"/>
  <c r="Q52" i="112" s="1"/>
  <c r="G263" i="112"/>
  <c r="G232" i="112"/>
  <c r="G234" i="112" s="1"/>
  <c r="G138" i="112"/>
  <c r="G56" i="112"/>
  <c r="W186" i="112" l="1"/>
  <c r="W185" i="112" s="1"/>
  <c r="W181" i="112" s="1"/>
  <c r="W162" i="112"/>
  <c r="I53" i="112"/>
  <c r="K175" i="112"/>
  <c r="J174" i="112"/>
  <c r="J53" i="112" s="1"/>
  <c r="H55" i="112"/>
  <c r="AG139" i="112"/>
  <c r="G137" i="112"/>
  <c r="G235" i="112"/>
  <c r="W160" i="112" l="1"/>
  <c r="W46" i="112" s="1"/>
  <c r="W225" i="112"/>
  <c r="W73" i="112"/>
  <c r="W179" i="112"/>
  <c r="W32" i="112" s="1"/>
  <c r="W127" i="112" s="1"/>
  <c r="W281" i="112"/>
  <c r="W227" i="112" s="1"/>
  <c r="W34" i="112" s="1"/>
  <c r="K174" i="112"/>
  <c r="K53" i="112" s="1"/>
  <c r="L175" i="112"/>
  <c r="L174" i="112" s="1"/>
  <c r="H44" i="112"/>
  <c r="G236" i="112"/>
  <c r="W71" i="112" l="1"/>
  <c r="W76" i="112"/>
  <c r="L53" i="112"/>
  <c r="M53" i="112" s="1"/>
  <c r="N53" i="112" s="1"/>
  <c r="O53" i="112" s="1"/>
  <c r="P53" i="112" s="1"/>
  <c r="Q53" i="112" s="1"/>
  <c r="H45" i="112"/>
  <c r="X83" i="112" l="1"/>
  <c r="X79" i="112" s="1"/>
  <c r="X86" i="112"/>
  <c r="W60" i="112"/>
  <c r="W95" i="112"/>
  <c r="W69" i="112"/>
  <c r="W52" i="112"/>
  <c r="W51" i="112"/>
  <c r="W246" i="112"/>
  <c r="F231" i="112"/>
  <c r="F229" i="112" s="1"/>
  <c r="F141" i="112" s="1"/>
  <c r="AG142" i="112" s="1"/>
  <c r="W265" i="112" l="1"/>
  <c r="W48" i="112" s="1"/>
  <c r="X172" i="112"/>
  <c r="X173" i="112"/>
  <c r="X171" i="112" s="1"/>
  <c r="W88" i="112"/>
  <c r="W103" i="112" s="1"/>
  <c r="W102" i="112"/>
  <c r="W66" i="112"/>
  <c r="F56" i="112"/>
  <c r="G55" i="112" s="1"/>
  <c r="F234" i="112"/>
  <c r="G270" i="112" s="1"/>
  <c r="F140" i="112"/>
  <c r="X162" i="112" l="1"/>
  <c r="X186" i="112"/>
  <c r="X185" i="112" s="1"/>
  <c r="X181" i="112" s="1"/>
  <c r="F55" i="112"/>
  <c r="H270" i="112"/>
  <c r="F270" i="112"/>
  <c r="F235" i="112"/>
  <c r="G271" i="112" s="1"/>
  <c r="X179" i="112" l="1"/>
  <c r="X32" i="112" s="1"/>
  <c r="X127" i="112" s="1"/>
  <c r="X281" i="112"/>
  <c r="X227" i="112" s="1"/>
  <c r="X34" i="112" s="1"/>
  <c r="X225" i="112"/>
  <c r="X160" i="112"/>
  <c r="X46" i="112" s="1"/>
  <c r="X73" i="112"/>
  <c r="G40" i="112"/>
  <c r="G49" i="112"/>
  <c r="H271" i="112"/>
  <c r="G44" i="112"/>
  <c r="F236" i="112"/>
  <c r="G272" i="112" s="1"/>
  <c r="F44" i="112"/>
  <c r="F271" i="112"/>
  <c r="X76" i="112" l="1"/>
  <c r="X71" i="112"/>
  <c r="F40" i="112"/>
  <c r="F49" i="112"/>
  <c r="G41" i="112"/>
  <c r="G50" i="112"/>
  <c r="F272" i="112"/>
  <c r="G45" i="112"/>
  <c r="F45" i="112"/>
  <c r="H272" i="112"/>
  <c r="H40" i="112"/>
  <c r="H49" i="112"/>
  <c r="X51" i="112" l="1"/>
  <c r="X95" i="112"/>
  <c r="X69" i="112"/>
  <c r="X52" i="112"/>
  <c r="X60" i="112"/>
  <c r="X246" i="112"/>
  <c r="Y83" i="112"/>
  <c r="Y79" i="112" s="1"/>
  <c r="Y86" i="112"/>
  <c r="F50" i="112"/>
  <c r="F41" i="112"/>
  <c r="H50" i="112"/>
  <c r="H41" i="112"/>
  <c r="X88" i="112" l="1"/>
  <c r="X103" i="112" s="1"/>
  <c r="X102" i="112"/>
  <c r="X66" i="112"/>
  <c r="Y173" i="112"/>
  <c r="X265" i="112"/>
  <c r="X48" i="112" s="1"/>
  <c r="Y172" i="112"/>
  <c r="Y171" i="112" l="1"/>
  <c r="Y186" i="112" l="1"/>
  <c r="Y185" i="112" s="1"/>
  <c r="Y181" i="112" s="1"/>
  <c r="Y162" i="112"/>
  <c r="Y160" i="112" l="1"/>
  <c r="Y46" i="112" s="1"/>
  <c r="Y225" i="112"/>
  <c r="Y73" i="112"/>
  <c r="Y179" i="112"/>
  <c r="Y32" i="112" s="1"/>
  <c r="Y127" i="112" s="1"/>
  <c r="Y281" i="112"/>
  <c r="Y227" i="112" s="1"/>
  <c r="Y34" i="112" s="1"/>
  <c r="Y76" i="112" l="1"/>
  <c r="Y71" i="112"/>
  <c r="Y95" i="112" l="1"/>
  <c r="Y52" i="112"/>
  <c r="Y69" i="112"/>
  <c r="Y60" i="112"/>
  <c r="Y51" i="112"/>
  <c r="Y246" i="112"/>
  <c r="Y265" i="112" s="1"/>
  <c r="Y48" i="112" s="1"/>
  <c r="Y88" i="112" l="1"/>
  <c r="Y103" i="112" s="1"/>
  <c r="Y102" i="112"/>
  <c r="Y66" i="112"/>
  <c r="AD139" i="112" l="1"/>
  <c r="AE139" i="112" s="1"/>
  <c r="V139" i="112" s="1"/>
  <c r="V137" i="112" s="1"/>
  <c r="AD142" i="112"/>
  <c r="AE142" i="112" s="1"/>
  <c r="V142" i="112" s="1"/>
  <c r="V140" i="112" s="1"/>
  <c r="W142" i="112" l="1"/>
  <c r="W140" i="112" s="1"/>
  <c r="V231" i="112"/>
  <c r="V229" i="112" s="1"/>
  <c r="W139" i="112"/>
  <c r="W137" i="112" s="1"/>
  <c r="V244" i="112"/>
  <c r="V242" i="112" s="1"/>
  <c r="V260" i="112" l="1"/>
  <c r="V56" i="112"/>
  <c r="V55" i="112" s="1"/>
  <c r="W244" i="112"/>
  <c r="W242" i="112" s="1"/>
  <c r="X139" i="112"/>
  <c r="X137" i="112" s="1"/>
  <c r="W231" i="112"/>
  <c r="W229" i="112" s="1"/>
  <c r="X142" i="112"/>
  <c r="X140" i="112" s="1"/>
  <c r="W56" i="112" l="1"/>
  <c r="W55" i="112" s="1"/>
  <c r="W260" i="112"/>
  <c r="X231" i="112"/>
  <c r="X229" i="112" s="1"/>
  <c r="Y142" i="112"/>
  <c r="Y140" i="112" s="1"/>
  <c r="Y231" i="112" s="1"/>
  <c r="Y229" i="112" s="1"/>
  <c r="Y139" i="112"/>
  <c r="Y137" i="112" s="1"/>
  <c r="Y244" i="112" s="1"/>
  <c r="Y242" i="112" s="1"/>
  <c r="X244" i="112"/>
  <c r="X242" i="112" s="1"/>
  <c r="V232" i="112"/>
  <c r="V234" i="112" s="1"/>
  <c r="V263" i="112"/>
  <c r="V235" i="112" l="1"/>
  <c r="V270" i="112"/>
  <c r="Y260" i="112"/>
  <c r="Y56" i="112"/>
  <c r="W263" i="112"/>
  <c r="W232" i="112"/>
  <c r="W234" i="112" s="1"/>
  <c r="X260" i="112"/>
  <c r="X56" i="112"/>
  <c r="X55" i="112" s="1"/>
  <c r="X232" i="112" l="1"/>
  <c r="X234" i="112" s="1"/>
  <c r="X263" i="112"/>
  <c r="Y55" i="112"/>
  <c r="W270" i="112"/>
  <c r="W235" i="112"/>
  <c r="Y263" i="112"/>
  <c r="Y232" i="112"/>
  <c r="Y234" i="112" s="1"/>
  <c r="V44" i="112"/>
  <c r="V271" i="112"/>
  <c r="V236" i="112"/>
  <c r="Y235" i="112" l="1"/>
  <c r="Y270" i="112"/>
  <c r="V272" i="112"/>
  <c r="V45" i="112"/>
  <c r="V40" i="112"/>
  <c r="V49" i="112"/>
  <c r="W44" i="112"/>
  <c r="W271" i="112"/>
  <c r="W236" i="112"/>
  <c r="X270" i="112"/>
  <c r="X235" i="112"/>
  <c r="X236" i="112" l="1"/>
  <c r="X44" i="112"/>
  <c r="X271" i="112"/>
  <c r="W45" i="112"/>
  <c r="W272" i="112"/>
  <c r="W40" i="112"/>
  <c r="W49" i="112"/>
  <c r="V50" i="112"/>
  <c r="V41" i="112"/>
  <c r="Y236" i="112"/>
  <c r="Y44" i="112"/>
  <c r="Y271" i="112"/>
  <c r="Y272" i="112" l="1"/>
  <c r="Y45" i="112"/>
  <c r="Y49" i="112"/>
  <c r="Y40" i="112"/>
  <c r="W41" i="112"/>
  <c r="W50" i="112"/>
  <c r="X49" i="112"/>
  <c r="X40" i="112"/>
  <c r="X272" i="112"/>
  <c r="X45" i="112"/>
  <c r="X41" i="112" l="1"/>
  <c r="X50" i="112"/>
  <c r="Y50" i="112"/>
  <c r="Y41" i="1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bloombergx</author>
  </authors>
  <commentList>
    <comment ref="C17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18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19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19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19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19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19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19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19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0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0" authorId="0" shapeId="0" xr:uid="{00000000-0006-0000-0600-00000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0" authorId="0" shapeId="0" xr:uid="{00000000-0006-0000-0600-00000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0" authorId="0" shapeId="0" xr:uid="{00000000-0006-0000-0600-00000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0" authorId="0" shapeId="0" xr:uid="{00000000-0006-0000-0600-00000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0" authorId="0" shapeId="0" xr:uid="{00000000-0006-0000-0600-00000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0" authorId="0" shapeId="0" xr:uid="{00000000-0006-0000-0600-00001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1" authorId="0" shapeId="0" xr:uid="{00000000-0006-0000-0600-00001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1" authorId="0" shapeId="0" xr:uid="{00000000-0006-0000-0600-00001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1" authorId="0" shapeId="0" xr:uid="{00000000-0006-0000-0600-00001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1" authorId="0" shapeId="0" xr:uid="{00000000-0006-0000-0600-00001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1" authorId="0" shapeId="0" xr:uid="{00000000-0006-0000-0600-00001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1" authorId="0" shapeId="0" xr:uid="{00000000-0006-0000-0600-00001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1" authorId="0" shapeId="0" xr:uid="{00000000-0006-0000-0600-00001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2" authorId="0" shapeId="0" xr:uid="{00000000-0006-0000-0600-00001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2" authorId="0" shapeId="0" xr:uid="{00000000-0006-0000-0600-00001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2" authorId="0" shapeId="0" xr:uid="{00000000-0006-0000-0600-00001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2" authorId="0" shapeId="0" xr:uid="{00000000-0006-0000-0600-00001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2" authorId="0" shapeId="0" xr:uid="{00000000-0006-0000-0600-00001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2" authorId="0" shapeId="0" xr:uid="{00000000-0006-0000-0600-00001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2" authorId="0" shapeId="0" xr:uid="{00000000-0006-0000-0600-00001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3" authorId="0" shapeId="0" xr:uid="{00000000-0006-0000-0600-00001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3" authorId="0" shapeId="0" xr:uid="{00000000-0006-0000-0600-00002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3" authorId="0" shapeId="0" xr:uid="{00000000-0006-0000-0600-00002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3" authorId="0" shapeId="0" xr:uid="{00000000-0006-0000-0600-00002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3" authorId="0" shapeId="0" xr:uid="{00000000-0006-0000-0600-00002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3" authorId="0" shapeId="0" xr:uid="{00000000-0006-0000-0600-00002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3" authorId="0" shapeId="0" xr:uid="{00000000-0006-0000-0600-00002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4" authorId="0" shapeId="0" xr:uid="{00000000-0006-0000-0600-00002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4" authorId="0" shapeId="0" xr:uid="{00000000-0006-0000-0600-00002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4" authorId="0" shapeId="0" xr:uid="{00000000-0006-0000-0600-00002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4" authorId="0" shapeId="0" xr:uid="{00000000-0006-0000-0600-00002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4" authorId="0" shapeId="0" xr:uid="{00000000-0006-0000-0600-00002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4" authorId="0" shapeId="0" xr:uid="{00000000-0006-0000-0600-00002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4" authorId="0" shapeId="0" xr:uid="{00000000-0006-0000-0600-00002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5" authorId="0" shapeId="0" xr:uid="{00000000-0006-0000-0600-00002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5" authorId="0" shapeId="0" xr:uid="{00000000-0006-0000-0600-00002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5" authorId="0" shapeId="0" xr:uid="{00000000-0006-0000-0600-00002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5" authorId="0" shapeId="0" xr:uid="{00000000-0006-0000-0600-00003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5" authorId="0" shapeId="0" xr:uid="{00000000-0006-0000-0600-00003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5" authorId="0" shapeId="0" xr:uid="{00000000-0006-0000-0600-00003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2" authorId="0" shapeId="0" xr:uid="{00000000-0006-0000-0600-00003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2" authorId="0" shapeId="0" xr:uid="{00000000-0006-0000-0600-00003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2" authorId="0" shapeId="0" xr:uid="{00000000-0006-0000-0600-00003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2" authorId="0" shapeId="0" xr:uid="{00000000-0006-0000-0600-00003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2" authorId="0" shapeId="0" xr:uid="{00000000-0006-0000-0600-00003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2" authorId="0" shapeId="0" xr:uid="{00000000-0006-0000-0600-00003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2" authorId="0" shapeId="0" xr:uid="{00000000-0006-0000-0600-00003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2" authorId="0" shapeId="0" xr:uid="{00000000-0006-0000-0600-00003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2" authorId="0" shapeId="0" xr:uid="{00000000-0006-0000-0600-00003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2" authorId="0" shapeId="0" xr:uid="{00000000-0006-0000-0600-00003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2" authorId="0" shapeId="0" xr:uid="{00000000-0006-0000-0600-00003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2" authorId="0" shapeId="0" xr:uid="{00000000-0006-0000-0600-00003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3" authorId="0" shapeId="0" xr:uid="{00000000-0006-0000-0600-00003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3" authorId="0" shapeId="0" xr:uid="{00000000-0006-0000-0600-00004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3" authorId="0" shapeId="0" xr:uid="{00000000-0006-0000-0600-00004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3" authorId="0" shapeId="0" xr:uid="{00000000-0006-0000-0600-00004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3" authorId="0" shapeId="0" xr:uid="{00000000-0006-0000-0600-00004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3" authorId="0" shapeId="0" xr:uid="{00000000-0006-0000-0600-00004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3" authorId="0" shapeId="0" xr:uid="{00000000-0006-0000-0600-00004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3" authorId="0" shapeId="0" xr:uid="{00000000-0006-0000-0600-00004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3" authorId="0" shapeId="0" xr:uid="{00000000-0006-0000-0600-00004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3" authorId="0" shapeId="0" xr:uid="{00000000-0006-0000-0600-00004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3" authorId="0" shapeId="0" xr:uid="{00000000-0006-0000-0600-00004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3" authorId="0" shapeId="0" xr:uid="{00000000-0006-0000-0600-00004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4" authorId="0" shapeId="0" xr:uid="{00000000-0006-0000-0600-00004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4" authorId="0" shapeId="0" xr:uid="{00000000-0006-0000-0600-00004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4" authorId="0" shapeId="0" xr:uid="{00000000-0006-0000-0600-00004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4" authorId="0" shapeId="0" xr:uid="{00000000-0006-0000-0600-00004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4" authorId="0" shapeId="0" xr:uid="{00000000-0006-0000-0600-00004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4" authorId="0" shapeId="0" xr:uid="{00000000-0006-0000-0600-00005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4" authorId="0" shapeId="0" xr:uid="{00000000-0006-0000-0600-00005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4" authorId="0" shapeId="0" xr:uid="{00000000-0006-0000-0600-00005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4" authorId="0" shapeId="0" xr:uid="{00000000-0006-0000-0600-00005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4" authorId="0" shapeId="0" xr:uid="{00000000-0006-0000-0600-00005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4" authorId="0" shapeId="0" xr:uid="{00000000-0006-0000-0600-00005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4" authorId="0" shapeId="0" xr:uid="{00000000-0006-0000-0600-00005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5" authorId="0" shapeId="0" xr:uid="{00000000-0006-0000-0600-00005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5" authorId="0" shapeId="0" xr:uid="{00000000-0006-0000-0600-00005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5" authorId="0" shapeId="0" xr:uid="{00000000-0006-0000-0600-00005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5" authorId="0" shapeId="0" xr:uid="{00000000-0006-0000-0600-00005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5" authorId="0" shapeId="0" xr:uid="{00000000-0006-0000-0600-00005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5" authorId="0" shapeId="0" xr:uid="{00000000-0006-0000-0600-00005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5" authorId="0" shapeId="0" xr:uid="{00000000-0006-0000-0600-00005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5" authorId="0" shapeId="0" xr:uid="{00000000-0006-0000-0600-00005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5" authorId="0" shapeId="0" xr:uid="{00000000-0006-0000-0600-00005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5" authorId="0" shapeId="0" xr:uid="{00000000-0006-0000-0600-00006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5" authorId="0" shapeId="0" xr:uid="{00000000-0006-0000-0600-00006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5" authorId="0" shapeId="0" xr:uid="{00000000-0006-0000-0600-00006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6" authorId="0" shapeId="0" xr:uid="{00000000-0006-0000-0600-00006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6" authorId="0" shapeId="0" xr:uid="{00000000-0006-0000-0600-00006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6" authorId="0" shapeId="0" xr:uid="{00000000-0006-0000-0600-00006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6" authorId="0" shapeId="0" xr:uid="{00000000-0006-0000-0600-00006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6" authorId="0" shapeId="0" xr:uid="{00000000-0006-0000-0600-00006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6" authorId="0" shapeId="0" xr:uid="{00000000-0006-0000-0600-00006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6" authorId="0" shapeId="0" xr:uid="{00000000-0006-0000-0600-00006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6" authorId="0" shapeId="0" xr:uid="{00000000-0006-0000-0600-00006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6" authorId="0" shapeId="0" xr:uid="{00000000-0006-0000-0600-00006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6" authorId="0" shapeId="0" xr:uid="{00000000-0006-0000-0600-00006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6" authorId="0" shapeId="0" xr:uid="{00000000-0006-0000-0600-00006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6" authorId="0" shapeId="0" xr:uid="{00000000-0006-0000-0600-00006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7" authorId="0" shapeId="0" xr:uid="{00000000-0006-0000-0600-00006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7" authorId="0" shapeId="0" xr:uid="{00000000-0006-0000-0600-00007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7" authorId="0" shapeId="0" xr:uid="{00000000-0006-0000-0600-00007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7" authorId="0" shapeId="0" xr:uid="{00000000-0006-0000-0600-00007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7" authorId="0" shapeId="0" xr:uid="{00000000-0006-0000-0600-00007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7" authorId="0" shapeId="0" xr:uid="{00000000-0006-0000-0600-00007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7" authorId="0" shapeId="0" xr:uid="{00000000-0006-0000-0600-00007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7" authorId="0" shapeId="0" xr:uid="{00000000-0006-0000-0600-00007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7" authorId="0" shapeId="0" xr:uid="{00000000-0006-0000-0600-00007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7" authorId="0" shapeId="0" xr:uid="{00000000-0006-0000-0600-00007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7" authorId="0" shapeId="0" xr:uid="{00000000-0006-0000-0600-00007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7" authorId="0" shapeId="0" xr:uid="{00000000-0006-0000-0600-00007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8" authorId="0" shapeId="0" xr:uid="{00000000-0006-0000-0600-00007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8" authorId="0" shapeId="0" xr:uid="{00000000-0006-0000-0600-00007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8" authorId="0" shapeId="0" xr:uid="{00000000-0006-0000-0600-00007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8" authorId="0" shapeId="0" xr:uid="{00000000-0006-0000-0600-00007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8" authorId="0" shapeId="0" xr:uid="{00000000-0006-0000-0600-00007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8" authorId="0" shapeId="0" xr:uid="{00000000-0006-0000-0600-00008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8" authorId="0" shapeId="0" xr:uid="{00000000-0006-0000-0600-00008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8" authorId="0" shapeId="0" xr:uid="{00000000-0006-0000-0600-00008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8" authorId="0" shapeId="0" xr:uid="{00000000-0006-0000-0600-00008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8" authorId="0" shapeId="0" xr:uid="{00000000-0006-0000-0600-00008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8" authorId="0" shapeId="0" xr:uid="{00000000-0006-0000-0600-00008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8" authorId="0" shapeId="0" xr:uid="{00000000-0006-0000-0600-00008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6" authorId="0" shapeId="0" xr:uid="{00000000-0006-0000-0600-00008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6" authorId="0" shapeId="0" xr:uid="{00000000-0006-0000-0600-00008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6" authorId="0" shapeId="0" xr:uid="{00000000-0006-0000-0600-00008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6" authorId="0" shapeId="0" xr:uid="{00000000-0006-0000-0600-00008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6" authorId="0" shapeId="0" xr:uid="{00000000-0006-0000-0600-00008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6" authorId="0" shapeId="0" xr:uid="{00000000-0006-0000-0600-00008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6" authorId="0" shapeId="0" xr:uid="{00000000-0006-0000-0600-00008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6" authorId="0" shapeId="0" xr:uid="{00000000-0006-0000-0600-00008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6" authorId="0" shapeId="0" xr:uid="{00000000-0006-0000-0600-00008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6" authorId="0" shapeId="0" xr:uid="{00000000-0006-0000-0600-00009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6" authorId="0" shapeId="0" xr:uid="{00000000-0006-0000-0600-00009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6" authorId="0" shapeId="0" xr:uid="{00000000-0006-0000-0600-00009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7" authorId="0" shapeId="0" xr:uid="{00000000-0006-0000-0600-00009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7" authorId="0" shapeId="0" xr:uid="{00000000-0006-0000-0600-00009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7" authorId="0" shapeId="0" xr:uid="{00000000-0006-0000-0600-00009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7" authorId="0" shapeId="0" xr:uid="{00000000-0006-0000-0600-00009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7" authorId="0" shapeId="0" xr:uid="{00000000-0006-0000-0600-00009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7" authorId="0" shapeId="0" xr:uid="{00000000-0006-0000-0600-00009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7" authorId="0" shapeId="0" xr:uid="{00000000-0006-0000-0600-00009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7" authorId="0" shapeId="0" xr:uid="{00000000-0006-0000-0600-00009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7" authorId="0" shapeId="0" xr:uid="{00000000-0006-0000-0600-00009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7" authorId="0" shapeId="0" xr:uid="{00000000-0006-0000-0600-00009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7" authorId="0" shapeId="0" xr:uid="{00000000-0006-0000-0600-00009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7" authorId="0" shapeId="0" xr:uid="{00000000-0006-0000-0600-00009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8" authorId="0" shapeId="0" xr:uid="{00000000-0006-0000-0600-00009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8" authorId="0" shapeId="0" xr:uid="{00000000-0006-0000-0600-0000A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8" authorId="0" shapeId="0" xr:uid="{00000000-0006-0000-0600-0000A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8" authorId="0" shapeId="0" xr:uid="{00000000-0006-0000-0600-0000A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8" authorId="0" shapeId="0" xr:uid="{00000000-0006-0000-0600-0000A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8" authorId="0" shapeId="0" xr:uid="{00000000-0006-0000-0600-0000A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8" authorId="0" shapeId="0" xr:uid="{00000000-0006-0000-0600-0000A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8" authorId="0" shapeId="0" xr:uid="{00000000-0006-0000-0600-0000A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8" authorId="0" shapeId="0" xr:uid="{00000000-0006-0000-0600-0000A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8" authorId="0" shapeId="0" xr:uid="{00000000-0006-0000-0600-0000A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8" authorId="0" shapeId="0" xr:uid="{00000000-0006-0000-0600-0000A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8" authorId="0" shapeId="0" xr:uid="{00000000-0006-0000-0600-0000A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1" authorId="0" shapeId="0" xr:uid="{00000000-0006-0000-0600-0000A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1" authorId="0" shapeId="0" xr:uid="{00000000-0006-0000-0600-0000A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1" authorId="0" shapeId="0" xr:uid="{00000000-0006-0000-0600-0000A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1" authorId="0" shapeId="0" xr:uid="{00000000-0006-0000-0600-0000A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1" authorId="0" shapeId="0" xr:uid="{00000000-0006-0000-0600-0000A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1" authorId="0" shapeId="0" xr:uid="{00000000-0006-0000-0600-0000B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1" authorId="0" shapeId="0" xr:uid="{00000000-0006-0000-0600-0000B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1" authorId="0" shapeId="0" xr:uid="{00000000-0006-0000-0600-0000B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1" authorId="0" shapeId="0" xr:uid="{00000000-0006-0000-0600-0000B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1" authorId="0" shapeId="0" xr:uid="{00000000-0006-0000-0600-0000B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1" authorId="0" shapeId="0" xr:uid="{00000000-0006-0000-0600-0000B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1" authorId="0" shapeId="0" xr:uid="{00000000-0006-0000-0600-0000B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2" authorId="0" shapeId="0" xr:uid="{00000000-0006-0000-0600-0000B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2" authorId="0" shapeId="0" xr:uid="{00000000-0006-0000-0600-0000B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2" authorId="0" shapeId="0" xr:uid="{00000000-0006-0000-0600-0000B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2" authorId="0" shapeId="0" xr:uid="{00000000-0006-0000-0600-0000B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2" authorId="0" shapeId="0" xr:uid="{00000000-0006-0000-0600-0000B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2" authorId="0" shapeId="0" xr:uid="{00000000-0006-0000-0600-0000B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2" authorId="0" shapeId="0" xr:uid="{00000000-0006-0000-0600-0000B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2" authorId="0" shapeId="0" xr:uid="{00000000-0006-0000-0600-0000B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2" authorId="0" shapeId="0" xr:uid="{00000000-0006-0000-0600-0000B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2" authorId="0" shapeId="0" xr:uid="{00000000-0006-0000-0600-0000C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2" authorId="0" shapeId="0" xr:uid="{00000000-0006-0000-0600-0000C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2" authorId="0" shapeId="0" xr:uid="{00000000-0006-0000-0600-0000C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7" authorId="0" shapeId="0" xr:uid="{00000000-0006-0000-0600-0000C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7" authorId="0" shapeId="0" xr:uid="{00000000-0006-0000-0600-0000C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7" authorId="0" shapeId="0" xr:uid="{00000000-0006-0000-0600-0000C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7" authorId="0" shapeId="0" xr:uid="{00000000-0006-0000-0600-0000C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7" authorId="0" shapeId="0" xr:uid="{00000000-0006-0000-0600-0000C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7" authorId="0" shapeId="0" xr:uid="{00000000-0006-0000-0600-0000C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7" authorId="0" shapeId="0" xr:uid="{00000000-0006-0000-0600-0000C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7" authorId="0" shapeId="0" xr:uid="{00000000-0006-0000-0600-0000C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7" authorId="0" shapeId="0" xr:uid="{00000000-0006-0000-0600-0000C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7" authorId="0" shapeId="0" xr:uid="{00000000-0006-0000-0600-0000C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7" authorId="0" shapeId="0" xr:uid="{00000000-0006-0000-0600-0000C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7" authorId="0" shapeId="0" xr:uid="{00000000-0006-0000-0600-0000C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3" authorId="0" shapeId="0" xr:uid="{00000000-0006-0000-0600-0000C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3" authorId="0" shapeId="0" xr:uid="{00000000-0006-0000-0600-0000D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3" authorId="0" shapeId="0" xr:uid="{00000000-0006-0000-0600-0000D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3" authorId="0" shapeId="0" xr:uid="{00000000-0006-0000-0600-0000D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3" authorId="0" shapeId="0" xr:uid="{00000000-0006-0000-0600-0000D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3" authorId="0" shapeId="0" xr:uid="{00000000-0006-0000-0600-0000D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3" authorId="0" shapeId="0" xr:uid="{00000000-0006-0000-0600-0000D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3" authorId="0" shapeId="0" xr:uid="{00000000-0006-0000-0600-0000D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3" authorId="0" shapeId="0" xr:uid="{00000000-0006-0000-0600-0000D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3" authorId="0" shapeId="0" xr:uid="{00000000-0006-0000-0600-0000D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3" authorId="0" shapeId="0" xr:uid="{00000000-0006-0000-0600-0000D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3" authorId="0" shapeId="0" xr:uid="{00000000-0006-0000-0600-0000D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4" authorId="0" shapeId="0" xr:uid="{00000000-0006-0000-0600-0000D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4" authorId="0" shapeId="0" xr:uid="{00000000-0006-0000-0600-0000D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4" authorId="0" shapeId="0" xr:uid="{00000000-0006-0000-0600-0000D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4" authorId="0" shapeId="0" xr:uid="{00000000-0006-0000-0600-0000D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4" authorId="0" shapeId="0" xr:uid="{00000000-0006-0000-0600-0000D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4" authorId="0" shapeId="0" xr:uid="{00000000-0006-0000-0600-0000E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4" authorId="0" shapeId="0" xr:uid="{00000000-0006-0000-0600-0000E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4" authorId="0" shapeId="0" xr:uid="{00000000-0006-0000-0600-0000E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4" authorId="0" shapeId="0" xr:uid="{00000000-0006-0000-0600-0000E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4" authorId="0" shapeId="0" xr:uid="{00000000-0006-0000-0600-0000E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4" authorId="0" shapeId="0" xr:uid="{00000000-0006-0000-0600-0000E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4" authorId="0" shapeId="0" xr:uid="{00000000-0006-0000-0600-0000E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5" authorId="0" shapeId="0" xr:uid="{00000000-0006-0000-0600-0000E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5" authorId="0" shapeId="0" xr:uid="{00000000-0006-0000-0600-0000E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5" authorId="0" shapeId="0" xr:uid="{00000000-0006-0000-0600-0000E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5" authorId="0" shapeId="0" xr:uid="{00000000-0006-0000-0600-0000E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5" authorId="0" shapeId="0" xr:uid="{00000000-0006-0000-0600-0000E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5" authorId="0" shapeId="0" xr:uid="{00000000-0006-0000-0600-0000E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5" authorId="0" shapeId="0" xr:uid="{00000000-0006-0000-0600-0000E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5" authorId="0" shapeId="0" xr:uid="{00000000-0006-0000-0600-0000E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5" authorId="0" shapeId="0" xr:uid="{00000000-0006-0000-0600-0000E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5" authorId="0" shapeId="0" xr:uid="{00000000-0006-0000-0600-0000F0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5" authorId="0" shapeId="0" xr:uid="{00000000-0006-0000-0600-0000F1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5" authorId="0" shapeId="0" xr:uid="{00000000-0006-0000-0600-0000F2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6" authorId="0" shapeId="0" xr:uid="{00000000-0006-0000-0600-0000F3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6" authorId="0" shapeId="0" xr:uid="{00000000-0006-0000-0600-0000F4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6" authorId="0" shapeId="0" xr:uid="{00000000-0006-0000-0600-0000F5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6" authorId="0" shapeId="0" xr:uid="{00000000-0006-0000-0600-0000F6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6" authorId="0" shapeId="0" xr:uid="{00000000-0006-0000-0600-0000F7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6" authorId="0" shapeId="0" xr:uid="{00000000-0006-0000-0600-0000F8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6" authorId="0" shapeId="0" xr:uid="{00000000-0006-0000-0600-0000F9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6" authorId="0" shapeId="0" xr:uid="{00000000-0006-0000-0600-0000FA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6" authorId="0" shapeId="0" xr:uid="{00000000-0006-0000-0600-0000FB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6" authorId="0" shapeId="0" xr:uid="{00000000-0006-0000-0600-0000FC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6" authorId="0" shapeId="0" xr:uid="{00000000-0006-0000-0600-0000FD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6" authorId="0" shapeId="0" xr:uid="{00000000-0006-0000-0600-0000FE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7" authorId="0" shapeId="0" xr:uid="{00000000-0006-0000-0600-0000FF00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7" authorId="0" shapeId="0" xr:uid="{00000000-0006-0000-0600-00000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7" authorId="0" shapeId="0" xr:uid="{00000000-0006-0000-0600-00000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7" authorId="0" shapeId="0" xr:uid="{00000000-0006-0000-0600-00000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7" authorId="0" shapeId="0" xr:uid="{00000000-0006-0000-0600-00000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7" authorId="0" shapeId="0" xr:uid="{00000000-0006-0000-0600-00000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7" authorId="0" shapeId="0" xr:uid="{00000000-0006-0000-0600-00000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7" authorId="0" shapeId="0" xr:uid="{00000000-0006-0000-0600-00000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7" authorId="0" shapeId="0" xr:uid="{00000000-0006-0000-0600-00000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7" authorId="0" shapeId="0" xr:uid="{00000000-0006-0000-0600-00000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7" authorId="0" shapeId="0" xr:uid="{00000000-0006-0000-0600-00000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7" authorId="0" shapeId="0" xr:uid="{00000000-0006-0000-0600-00000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0" authorId="0" shapeId="0" xr:uid="{00000000-0006-0000-0600-00000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0" authorId="0" shapeId="0" xr:uid="{00000000-0006-0000-0600-00000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0" authorId="0" shapeId="0" xr:uid="{00000000-0006-0000-0600-00000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0" authorId="0" shapeId="0" xr:uid="{00000000-0006-0000-0600-00000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0" authorId="0" shapeId="0" xr:uid="{00000000-0006-0000-0600-00000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0" authorId="0" shapeId="0" xr:uid="{00000000-0006-0000-0600-00001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0" authorId="0" shapeId="0" xr:uid="{00000000-0006-0000-0600-00001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0" authorId="0" shapeId="0" xr:uid="{00000000-0006-0000-0600-00001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0" authorId="0" shapeId="0" xr:uid="{00000000-0006-0000-0600-00001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0" authorId="0" shapeId="0" xr:uid="{00000000-0006-0000-0600-00001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0" authorId="0" shapeId="0" xr:uid="{00000000-0006-0000-0600-00001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0" authorId="0" shapeId="0" xr:uid="{00000000-0006-0000-0600-00001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1" authorId="0" shapeId="0" xr:uid="{00000000-0006-0000-0600-00001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1" authorId="0" shapeId="0" xr:uid="{00000000-0006-0000-0600-00001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1" authorId="0" shapeId="0" xr:uid="{00000000-0006-0000-0600-00001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1" authorId="0" shapeId="0" xr:uid="{00000000-0006-0000-0600-00001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1" authorId="0" shapeId="0" xr:uid="{00000000-0006-0000-0600-00001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1" authorId="0" shapeId="0" xr:uid="{00000000-0006-0000-0600-00001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1" authorId="0" shapeId="0" xr:uid="{00000000-0006-0000-0600-00001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1" authorId="0" shapeId="0" xr:uid="{00000000-0006-0000-0600-00001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1" authorId="0" shapeId="0" xr:uid="{00000000-0006-0000-0600-00001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1" authorId="0" shapeId="0" xr:uid="{00000000-0006-0000-0600-00002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1" authorId="0" shapeId="0" xr:uid="{00000000-0006-0000-0600-00002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1" authorId="0" shapeId="0" xr:uid="{00000000-0006-0000-0600-00002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2" authorId="0" shapeId="0" xr:uid="{00000000-0006-0000-0600-00002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2" authorId="0" shapeId="0" xr:uid="{00000000-0006-0000-0600-00002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2" authorId="0" shapeId="0" xr:uid="{00000000-0006-0000-0600-00002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2" authorId="0" shapeId="0" xr:uid="{00000000-0006-0000-0600-00002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2" authorId="0" shapeId="0" xr:uid="{00000000-0006-0000-0600-00002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2" authorId="0" shapeId="0" xr:uid="{00000000-0006-0000-0600-00002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2" authorId="0" shapeId="0" xr:uid="{00000000-0006-0000-0600-00002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2" authorId="0" shapeId="0" xr:uid="{00000000-0006-0000-0600-00002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2" authorId="0" shapeId="0" xr:uid="{00000000-0006-0000-0600-00002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2" authorId="0" shapeId="0" xr:uid="{00000000-0006-0000-0600-00002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2" authorId="0" shapeId="0" xr:uid="{00000000-0006-0000-0600-00002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2" authorId="0" shapeId="0" xr:uid="{00000000-0006-0000-0600-00002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9" authorId="0" shapeId="0" xr:uid="{00000000-0006-0000-0600-00002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9" authorId="0" shapeId="0" xr:uid="{00000000-0006-0000-0600-00003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9" authorId="0" shapeId="0" xr:uid="{00000000-0006-0000-0600-00003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9" authorId="0" shapeId="0" xr:uid="{00000000-0006-0000-0600-00003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9" authorId="0" shapeId="0" xr:uid="{00000000-0006-0000-0600-00003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9" authorId="0" shapeId="0" xr:uid="{00000000-0006-0000-0600-00003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9" authorId="0" shapeId="0" xr:uid="{00000000-0006-0000-0600-00003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9" authorId="0" shapeId="0" xr:uid="{00000000-0006-0000-0600-00003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9" authorId="0" shapeId="0" xr:uid="{00000000-0006-0000-0600-00003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9" authorId="0" shapeId="0" xr:uid="{00000000-0006-0000-0600-00003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9" authorId="0" shapeId="0" xr:uid="{00000000-0006-0000-0600-00003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9" authorId="0" shapeId="0" xr:uid="{00000000-0006-0000-0600-00003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0" authorId="0" shapeId="0" xr:uid="{00000000-0006-0000-0600-00003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0" authorId="0" shapeId="0" xr:uid="{00000000-0006-0000-0600-00003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0" authorId="0" shapeId="0" xr:uid="{00000000-0006-0000-0600-00003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0" authorId="0" shapeId="0" xr:uid="{00000000-0006-0000-0600-00003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0" authorId="0" shapeId="0" xr:uid="{00000000-0006-0000-0600-00003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0" authorId="0" shapeId="0" xr:uid="{00000000-0006-0000-0600-00004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0" authorId="0" shapeId="0" xr:uid="{00000000-0006-0000-0600-00004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0" authorId="0" shapeId="0" xr:uid="{00000000-0006-0000-0600-00004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0" authorId="0" shapeId="0" xr:uid="{00000000-0006-0000-0600-00004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0" authorId="0" shapeId="0" xr:uid="{00000000-0006-0000-0600-00004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0" authorId="0" shapeId="0" xr:uid="{00000000-0006-0000-0600-00004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0" authorId="0" shapeId="0" xr:uid="{00000000-0006-0000-0600-00004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2" authorId="0" shapeId="0" xr:uid="{00000000-0006-0000-0600-00004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2" authorId="0" shapeId="0" xr:uid="{00000000-0006-0000-0600-00004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2" authorId="0" shapeId="0" xr:uid="{00000000-0006-0000-0600-00004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2" authorId="0" shapeId="0" xr:uid="{00000000-0006-0000-0600-00004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2" authorId="0" shapeId="0" xr:uid="{00000000-0006-0000-0600-00004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2" authorId="0" shapeId="0" xr:uid="{00000000-0006-0000-0600-00004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2" authorId="0" shapeId="0" xr:uid="{00000000-0006-0000-0600-00004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2" authorId="0" shapeId="0" xr:uid="{00000000-0006-0000-0600-00004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2" authorId="0" shapeId="0" xr:uid="{00000000-0006-0000-0600-00004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2" authorId="0" shapeId="0" xr:uid="{00000000-0006-0000-0600-00005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2" authorId="0" shapeId="0" xr:uid="{00000000-0006-0000-0600-00005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2" authorId="0" shapeId="0" xr:uid="{00000000-0006-0000-0600-00005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3" authorId="0" shapeId="0" xr:uid="{00000000-0006-0000-0600-00005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3" authorId="0" shapeId="0" xr:uid="{00000000-0006-0000-0600-00005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3" authorId="0" shapeId="0" xr:uid="{00000000-0006-0000-0600-00005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3" authorId="0" shapeId="0" xr:uid="{00000000-0006-0000-0600-00005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3" authorId="0" shapeId="0" xr:uid="{00000000-0006-0000-0600-00005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3" authorId="0" shapeId="0" xr:uid="{00000000-0006-0000-0600-00005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3" authorId="0" shapeId="0" xr:uid="{00000000-0006-0000-0600-00005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3" authorId="0" shapeId="0" xr:uid="{00000000-0006-0000-0600-00005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3" authorId="0" shapeId="0" xr:uid="{00000000-0006-0000-0600-00005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3" authorId="0" shapeId="0" xr:uid="{00000000-0006-0000-0600-00005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3" authorId="0" shapeId="0" xr:uid="{00000000-0006-0000-0600-00005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3" authorId="0" shapeId="0" xr:uid="{00000000-0006-0000-0600-00005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4" authorId="0" shapeId="0" xr:uid="{00000000-0006-0000-0600-00005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4" authorId="0" shapeId="0" xr:uid="{00000000-0006-0000-0600-00006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4" authorId="0" shapeId="0" xr:uid="{00000000-0006-0000-0600-00006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4" authorId="0" shapeId="0" xr:uid="{00000000-0006-0000-0600-00006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4" authorId="0" shapeId="0" xr:uid="{00000000-0006-0000-0600-00006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4" authorId="0" shapeId="0" xr:uid="{00000000-0006-0000-0600-00006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4" authorId="0" shapeId="0" xr:uid="{00000000-0006-0000-0600-00006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4" authorId="0" shapeId="0" xr:uid="{00000000-0006-0000-0600-00006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4" authorId="0" shapeId="0" xr:uid="{00000000-0006-0000-0600-00006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4" authorId="0" shapeId="0" xr:uid="{00000000-0006-0000-0600-00006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4" authorId="0" shapeId="0" xr:uid="{00000000-0006-0000-0600-00006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4" authorId="0" shapeId="0" xr:uid="{00000000-0006-0000-0600-00006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5" authorId="0" shapeId="0" xr:uid="{00000000-0006-0000-0600-00006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5" authorId="0" shapeId="0" xr:uid="{00000000-0006-0000-0600-00006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5" authorId="0" shapeId="0" xr:uid="{00000000-0006-0000-0600-00006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5" authorId="0" shapeId="0" xr:uid="{00000000-0006-0000-0600-00006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5" authorId="0" shapeId="0" xr:uid="{00000000-0006-0000-0600-00006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5" authorId="0" shapeId="0" xr:uid="{00000000-0006-0000-0600-00007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5" authorId="0" shapeId="0" xr:uid="{00000000-0006-0000-0600-00007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5" authorId="0" shapeId="0" xr:uid="{00000000-0006-0000-0600-00007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5" authorId="0" shapeId="0" xr:uid="{00000000-0006-0000-0600-00007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5" authorId="0" shapeId="0" xr:uid="{00000000-0006-0000-0600-00007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5" authorId="0" shapeId="0" xr:uid="{00000000-0006-0000-0600-00007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5" authorId="0" shapeId="0" xr:uid="{00000000-0006-0000-0600-00007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9" authorId="0" shapeId="0" xr:uid="{00000000-0006-0000-0600-00007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9" authorId="0" shapeId="0" xr:uid="{00000000-0006-0000-0600-00007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9" authorId="0" shapeId="0" xr:uid="{00000000-0006-0000-0600-00007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9" authorId="0" shapeId="0" xr:uid="{00000000-0006-0000-0600-00007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9" authorId="0" shapeId="0" xr:uid="{00000000-0006-0000-0600-00007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9" authorId="0" shapeId="0" xr:uid="{00000000-0006-0000-0600-00007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9" authorId="0" shapeId="0" xr:uid="{00000000-0006-0000-0600-00007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9" authorId="0" shapeId="0" xr:uid="{00000000-0006-0000-0600-00007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9" authorId="0" shapeId="0" xr:uid="{00000000-0006-0000-0600-00007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9" authorId="0" shapeId="0" xr:uid="{00000000-0006-0000-0600-00008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9" authorId="0" shapeId="0" xr:uid="{00000000-0006-0000-0600-00008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9" authorId="0" shapeId="0" xr:uid="{00000000-0006-0000-0600-00008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0" authorId="0" shapeId="0" xr:uid="{00000000-0006-0000-0600-00008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0" authorId="0" shapeId="0" xr:uid="{00000000-0006-0000-0600-00008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0" authorId="0" shapeId="0" xr:uid="{00000000-0006-0000-0600-00008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0" authorId="0" shapeId="0" xr:uid="{00000000-0006-0000-0600-00008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0" authorId="0" shapeId="0" xr:uid="{00000000-0006-0000-0600-00008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0" authorId="0" shapeId="0" xr:uid="{00000000-0006-0000-0600-00008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0" authorId="0" shapeId="0" xr:uid="{00000000-0006-0000-0600-00008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0" authorId="0" shapeId="0" xr:uid="{00000000-0006-0000-0600-00008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0" authorId="0" shapeId="0" xr:uid="{00000000-0006-0000-0600-00008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0" authorId="0" shapeId="0" xr:uid="{00000000-0006-0000-0600-00008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0" authorId="0" shapeId="0" xr:uid="{00000000-0006-0000-0600-00008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0" authorId="0" shapeId="0" xr:uid="{00000000-0006-0000-0600-00008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4" authorId="0" shapeId="0" xr:uid="{00000000-0006-0000-0600-00008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4" authorId="0" shapeId="0" xr:uid="{00000000-0006-0000-0600-00009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4" authorId="0" shapeId="0" xr:uid="{00000000-0006-0000-0600-00009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4" authorId="0" shapeId="0" xr:uid="{00000000-0006-0000-0600-00009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4" authorId="0" shapeId="0" xr:uid="{00000000-0006-0000-0600-00009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4" authorId="0" shapeId="0" xr:uid="{00000000-0006-0000-0600-00009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4" authorId="0" shapeId="0" xr:uid="{00000000-0006-0000-0600-00009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4" authorId="0" shapeId="0" xr:uid="{00000000-0006-0000-0600-00009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4" authorId="0" shapeId="0" xr:uid="{00000000-0006-0000-0600-00009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4" authorId="0" shapeId="0" xr:uid="{00000000-0006-0000-0600-00009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4" authorId="0" shapeId="0" xr:uid="{00000000-0006-0000-0600-00009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4" authorId="0" shapeId="0" xr:uid="{00000000-0006-0000-0600-00009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5" authorId="0" shapeId="0" xr:uid="{00000000-0006-0000-0600-00009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5" authorId="0" shapeId="0" xr:uid="{00000000-0006-0000-0600-00009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5" authorId="0" shapeId="0" xr:uid="{00000000-0006-0000-0600-00009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5" authorId="0" shapeId="0" xr:uid="{00000000-0006-0000-0600-00009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5" authorId="0" shapeId="0" xr:uid="{00000000-0006-0000-0600-00009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5" authorId="0" shapeId="0" xr:uid="{00000000-0006-0000-0600-0000A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5" authorId="0" shapeId="0" xr:uid="{00000000-0006-0000-0600-0000A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5" authorId="0" shapeId="0" xr:uid="{00000000-0006-0000-0600-0000A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5" authorId="0" shapeId="0" xr:uid="{00000000-0006-0000-0600-0000A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5" authorId="0" shapeId="0" xr:uid="{00000000-0006-0000-0600-0000A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5" authorId="0" shapeId="0" xr:uid="{00000000-0006-0000-0600-0000A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5" authorId="0" shapeId="0" xr:uid="{00000000-0006-0000-0600-0000A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9" authorId="0" shapeId="0" xr:uid="{00000000-0006-0000-0600-0000A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9" authorId="0" shapeId="0" xr:uid="{00000000-0006-0000-0600-0000A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9" authorId="0" shapeId="0" xr:uid="{00000000-0006-0000-0600-0000A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9" authorId="0" shapeId="0" xr:uid="{00000000-0006-0000-0600-0000A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9" authorId="0" shapeId="0" xr:uid="{00000000-0006-0000-0600-0000A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9" authorId="0" shapeId="0" xr:uid="{00000000-0006-0000-0600-0000A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9" authorId="0" shapeId="0" xr:uid="{00000000-0006-0000-0600-0000A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9" authorId="0" shapeId="0" xr:uid="{00000000-0006-0000-0600-0000A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9" authorId="0" shapeId="0" xr:uid="{00000000-0006-0000-0600-0000A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9" authorId="0" shapeId="0" xr:uid="{00000000-0006-0000-0600-0000B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9" authorId="0" shapeId="0" xr:uid="{00000000-0006-0000-0600-0000B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9" authorId="0" shapeId="0" xr:uid="{00000000-0006-0000-0600-0000B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0" authorId="0" shapeId="0" xr:uid="{00000000-0006-0000-0600-0000B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0" authorId="0" shapeId="0" xr:uid="{00000000-0006-0000-0600-0000B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0" authorId="0" shapeId="0" xr:uid="{00000000-0006-0000-0600-0000B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0" authorId="0" shapeId="0" xr:uid="{00000000-0006-0000-0600-0000B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0" authorId="0" shapeId="0" xr:uid="{00000000-0006-0000-0600-0000B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0" authorId="0" shapeId="0" xr:uid="{00000000-0006-0000-0600-0000B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0" authorId="0" shapeId="0" xr:uid="{00000000-0006-0000-0600-0000B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0" authorId="0" shapeId="0" xr:uid="{00000000-0006-0000-0600-0000B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0" authorId="0" shapeId="0" xr:uid="{00000000-0006-0000-0600-0000B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0" authorId="0" shapeId="0" xr:uid="{00000000-0006-0000-0600-0000B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0" authorId="0" shapeId="0" xr:uid="{00000000-0006-0000-0600-0000B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0" authorId="0" shapeId="0" xr:uid="{00000000-0006-0000-0600-0000B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2" authorId="0" shapeId="0" xr:uid="{00000000-0006-0000-0600-0000B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2" authorId="0" shapeId="0" xr:uid="{00000000-0006-0000-0600-0000C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2" authorId="0" shapeId="0" xr:uid="{00000000-0006-0000-0600-0000C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2" authorId="0" shapeId="0" xr:uid="{00000000-0006-0000-0600-0000C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2" authorId="0" shapeId="0" xr:uid="{00000000-0006-0000-0600-0000C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2" authorId="0" shapeId="0" xr:uid="{00000000-0006-0000-0600-0000C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2" authorId="0" shapeId="0" xr:uid="{00000000-0006-0000-0600-0000C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2" authorId="0" shapeId="0" xr:uid="{00000000-0006-0000-0600-0000C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2" authorId="0" shapeId="0" xr:uid="{00000000-0006-0000-0600-0000C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2" authorId="0" shapeId="0" xr:uid="{00000000-0006-0000-0600-0000C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2" authorId="0" shapeId="0" xr:uid="{00000000-0006-0000-0600-0000C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2" authorId="0" shapeId="0" xr:uid="{00000000-0006-0000-0600-0000C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3" authorId="0" shapeId="0" xr:uid="{00000000-0006-0000-0600-0000C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3" authorId="0" shapeId="0" xr:uid="{00000000-0006-0000-0600-0000C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3" authorId="0" shapeId="0" xr:uid="{00000000-0006-0000-0600-0000C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3" authorId="0" shapeId="0" xr:uid="{00000000-0006-0000-0600-0000C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3" authorId="0" shapeId="0" xr:uid="{00000000-0006-0000-0600-0000C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3" authorId="0" shapeId="0" xr:uid="{00000000-0006-0000-0600-0000D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3" authorId="0" shapeId="0" xr:uid="{00000000-0006-0000-0600-0000D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3" authorId="0" shapeId="0" xr:uid="{00000000-0006-0000-0600-0000D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3" authorId="0" shapeId="0" xr:uid="{00000000-0006-0000-0600-0000D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3" authorId="0" shapeId="0" xr:uid="{00000000-0006-0000-0600-0000D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3" authorId="0" shapeId="0" xr:uid="{00000000-0006-0000-0600-0000D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3" authorId="0" shapeId="0" xr:uid="{00000000-0006-0000-0600-0000D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7" authorId="0" shapeId="0" xr:uid="{00000000-0006-0000-0600-0000D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7" authorId="0" shapeId="0" xr:uid="{00000000-0006-0000-0600-0000D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7" authorId="0" shapeId="0" xr:uid="{00000000-0006-0000-0600-0000D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7" authorId="0" shapeId="0" xr:uid="{00000000-0006-0000-0600-0000D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7" authorId="0" shapeId="0" xr:uid="{00000000-0006-0000-0600-0000D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7" authorId="0" shapeId="0" xr:uid="{00000000-0006-0000-0600-0000D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7" authorId="0" shapeId="0" xr:uid="{00000000-0006-0000-0600-0000D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7" authorId="0" shapeId="0" xr:uid="{00000000-0006-0000-0600-0000D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7" authorId="0" shapeId="0" xr:uid="{00000000-0006-0000-0600-0000D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7" authorId="0" shapeId="0" xr:uid="{00000000-0006-0000-0600-0000E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7" authorId="0" shapeId="0" xr:uid="{00000000-0006-0000-0600-0000E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7" authorId="0" shapeId="0" xr:uid="{00000000-0006-0000-0600-0000E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0" authorId="0" shapeId="0" xr:uid="{00000000-0006-0000-0600-0000E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0" authorId="0" shapeId="0" xr:uid="{00000000-0006-0000-0600-0000E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0" authorId="0" shapeId="0" xr:uid="{00000000-0006-0000-0600-0000E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0" authorId="0" shapeId="0" xr:uid="{00000000-0006-0000-0600-0000E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0" authorId="0" shapeId="0" xr:uid="{00000000-0006-0000-0600-0000E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0" authorId="0" shapeId="0" xr:uid="{00000000-0006-0000-0600-0000E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0" authorId="0" shapeId="0" xr:uid="{00000000-0006-0000-0600-0000E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0" authorId="0" shapeId="0" xr:uid="{00000000-0006-0000-0600-0000E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0" authorId="0" shapeId="0" xr:uid="{00000000-0006-0000-0600-0000E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0" authorId="0" shapeId="0" xr:uid="{00000000-0006-0000-0600-0000E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0" authorId="0" shapeId="0" xr:uid="{00000000-0006-0000-0600-0000E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0" authorId="0" shapeId="0" xr:uid="{00000000-0006-0000-0600-0000E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1" authorId="0" shapeId="0" xr:uid="{00000000-0006-0000-0600-0000E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1" authorId="0" shapeId="0" xr:uid="{00000000-0006-0000-0600-0000F0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1" authorId="0" shapeId="0" xr:uid="{00000000-0006-0000-0600-0000F1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1" authorId="0" shapeId="0" xr:uid="{00000000-0006-0000-0600-0000F2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1" authorId="0" shapeId="0" xr:uid="{00000000-0006-0000-0600-0000F3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1" authorId="0" shapeId="0" xr:uid="{00000000-0006-0000-0600-0000F4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1" authorId="0" shapeId="0" xr:uid="{00000000-0006-0000-0600-0000F5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1" authorId="0" shapeId="0" xr:uid="{00000000-0006-0000-0600-0000F6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1" authorId="0" shapeId="0" xr:uid="{00000000-0006-0000-0600-0000F7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1" authorId="0" shapeId="0" xr:uid="{00000000-0006-0000-0600-0000F8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1" authorId="0" shapeId="0" xr:uid="{00000000-0006-0000-0600-0000F9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1" authorId="0" shapeId="0" xr:uid="{00000000-0006-0000-0600-0000FA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2" authorId="0" shapeId="0" xr:uid="{00000000-0006-0000-0600-0000FB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2" authorId="0" shapeId="0" xr:uid="{00000000-0006-0000-0600-0000FC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2" authorId="0" shapeId="0" xr:uid="{00000000-0006-0000-0600-0000FD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2" authorId="0" shapeId="0" xr:uid="{00000000-0006-0000-0600-0000FE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2" authorId="0" shapeId="0" xr:uid="{00000000-0006-0000-0600-0000FF01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2" authorId="0" shapeId="0" xr:uid="{00000000-0006-0000-0600-00000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2" authorId="0" shapeId="0" xr:uid="{00000000-0006-0000-0600-00000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2" authorId="0" shapeId="0" xr:uid="{00000000-0006-0000-0600-00000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2" authorId="0" shapeId="0" xr:uid="{00000000-0006-0000-0600-00000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2" authorId="0" shapeId="0" xr:uid="{00000000-0006-0000-0600-00000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2" authorId="0" shapeId="0" xr:uid="{00000000-0006-0000-0600-00000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2" authorId="0" shapeId="0" xr:uid="{00000000-0006-0000-0600-00000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4" authorId="0" shapeId="0" xr:uid="{00000000-0006-0000-0600-00000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4" authorId="0" shapeId="0" xr:uid="{00000000-0006-0000-0600-00000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4" authorId="0" shapeId="0" xr:uid="{00000000-0006-0000-0600-00000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4" authorId="0" shapeId="0" xr:uid="{00000000-0006-0000-0600-00000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4" authorId="0" shapeId="0" xr:uid="{00000000-0006-0000-0600-00000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4" authorId="0" shapeId="0" xr:uid="{00000000-0006-0000-0600-00000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4" authorId="0" shapeId="0" xr:uid="{00000000-0006-0000-0600-00000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4" authorId="0" shapeId="0" xr:uid="{00000000-0006-0000-0600-00000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4" authorId="0" shapeId="0" xr:uid="{00000000-0006-0000-0600-00000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4" authorId="0" shapeId="0" xr:uid="{00000000-0006-0000-0600-00001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4" authorId="0" shapeId="0" xr:uid="{00000000-0006-0000-0600-00001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4" authorId="0" shapeId="0" xr:uid="{00000000-0006-0000-0600-00001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7" authorId="0" shapeId="0" xr:uid="{00000000-0006-0000-0600-00001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7" authorId="0" shapeId="0" xr:uid="{00000000-0006-0000-0600-00001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7" authorId="0" shapeId="0" xr:uid="{00000000-0006-0000-0600-00001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7" authorId="0" shapeId="0" xr:uid="{00000000-0006-0000-0600-00001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7" authorId="0" shapeId="0" xr:uid="{00000000-0006-0000-0600-00001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7" authorId="0" shapeId="0" xr:uid="{00000000-0006-0000-0600-00001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7" authorId="0" shapeId="0" xr:uid="{00000000-0006-0000-0600-00001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7" authorId="0" shapeId="0" xr:uid="{00000000-0006-0000-0600-00001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7" authorId="0" shapeId="0" xr:uid="{00000000-0006-0000-0600-00001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7" authorId="0" shapeId="0" xr:uid="{00000000-0006-0000-0600-00001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7" authorId="0" shapeId="0" xr:uid="{00000000-0006-0000-0600-00001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7" authorId="0" shapeId="0" xr:uid="{00000000-0006-0000-0600-00001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8" authorId="0" shapeId="0" xr:uid="{00000000-0006-0000-0600-00001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8" authorId="0" shapeId="0" xr:uid="{00000000-0006-0000-0600-00002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8" authorId="0" shapeId="0" xr:uid="{00000000-0006-0000-0600-00002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8" authorId="0" shapeId="0" xr:uid="{00000000-0006-0000-0600-00002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8" authorId="0" shapeId="0" xr:uid="{00000000-0006-0000-0600-00002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8" authorId="0" shapeId="0" xr:uid="{00000000-0006-0000-0600-00002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8" authorId="0" shapeId="0" xr:uid="{00000000-0006-0000-0600-00002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8" authorId="0" shapeId="0" xr:uid="{00000000-0006-0000-0600-00002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8" authorId="0" shapeId="0" xr:uid="{00000000-0006-0000-0600-00002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8" authorId="0" shapeId="0" xr:uid="{00000000-0006-0000-0600-00002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8" authorId="0" shapeId="0" xr:uid="{00000000-0006-0000-0600-00002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8" authorId="0" shapeId="0" xr:uid="{00000000-0006-0000-0600-00002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1" authorId="0" shapeId="0" xr:uid="{00000000-0006-0000-0600-00002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1" authorId="0" shapeId="0" xr:uid="{00000000-0006-0000-0600-00002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1" authorId="0" shapeId="0" xr:uid="{00000000-0006-0000-0600-00002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1" authorId="0" shapeId="0" xr:uid="{00000000-0006-0000-0600-00002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1" authorId="0" shapeId="0" xr:uid="{00000000-0006-0000-0600-00002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1" authorId="0" shapeId="0" xr:uid="{00000000-0006-0000-0600-00003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1" authorId="0" shapeId="0" xr:uid="{00000000-0006-0000-0600-00003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1" authorId="0" shapeId="0" xr:uid="{00000000-0006-0000-0600-00003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1" authorId="0" shapeId="0" xr:uid="{00000000-0006-0000-0600-00003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1" authorId="0" shapeId="0" xr:uid="{00000000-0006-0000-0600-00003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1" authorId="0" shapeId="0" xr:uid="{00000000-0006-0000-0600-00003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1" authorId="0" shapeId="0" xr:uid="{00000000-0006-0000-0600-00003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2" authorId="0" shapeId="0" xr:uid="{00000000-0006-0000-0600-00003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2" authorId="0" shapeId="0" xr:uid="{00000000-0006-0000-0600-00003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2" authorId="0" shapeId="0" xr:uid="{00000000-0006-0000-0600-00003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2" authorId="0" shapeId="0" xr:uid="{00000000-0006-0000-0600-00003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2" authorId="0" shapeId="0" xr:uid="{00000000-0006-0000-0600-00003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2" authorId="0" shapeId="0" xr:uid="{00000000-0006-0000-0600-00003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2" authorId="0" shapeId="0" xr:uid="{00000000-0006-0000-0600-00003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2" authorId="0" shapeId="0" xr:uid="{00000000-0006-0000-0600-00003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2" authorId="0" shapeId="0" xr:uid="{00000000-0006-0000-0600-00003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2" authorId="0" shapeId="0" xr:uid="{00000000-0006-0000-0600-00004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2" authorId="0" shapeId="0" xr:uid="{00000000-0006-0000-0600-00004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2" authorId="0" shapeId="0" xr:uid="{00000000-0006-0000-0600-00004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5" authorId="0" shapeId="0" xr:uid="{00000000-0006-0000-0600-00004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5" authorId="0" shapeId="0" xr:uid="{00000000-0006-0000-0600-00004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5" authorId="0" shapeId="0" xr:uid="{00000000-0006-0000-0600-00004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5" authorId="0" shapeId="0" xr:uid="{00000000-0006-0000-0600-00004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5" authorId="0" shapeId="0" xr:uid="{00000000-0006-0000-0600-00004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5" authorId="0" shapeId="0" xr:uid="{00000000-0006-0000-0600-00004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5" authorId="0" shapeId="0" xr:uid="{00000000-0006-0000-0600-00004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5" authorId="0" shapeId="0" xr:uid="{00000000-0006-0000-0600-00004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5" authorId="0" shapeId="0" xr:uid="{00000000-0006-0000-0600-00004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5" authorId="0" shapeId="0" xr:uid="{00000000-0006-0000-0600-00004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5" authorId="0" shapeId="0" xr:uid="{00000000-0006-0000-0600-00004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5" authorId="0" shapeId="0" xr:uid="{00000000-0006-0000-0600-00004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6" authorId="0" shapeId="0" xr:uid="{00000000-0006-0000-0600-00004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6" authorId="0" shapeId="0" xr:uid="{00000000-0006-0000-0600-00005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6" authorId="0" shapeId="0" xr:uid="{00000000-0006-0000-0600-00005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6" authorId="0" shapeId="0" xr:uid="{00000000-0006-0000-0600-00005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6" authorId="0" shapeId="0" xr:uid="{00000000-0006-0000-0600-00005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6" authorId="0" shapeId="0" xr:uid="{00000000-0006-0000-0600-00005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6" authorId="0" shapeId="0" xr:uid="{00000000-0006-0000-0600-00005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6" authorId="0" shapeId="0" xr:uid="{00000000-0006-0000-0600-00005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6" authorId="0" shapeId="0" xr:uid="{00000000-0006-0000-0600-00005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6" authorId="0" shapeId="0" xr:uid="{00000000-0006-0000-0600-00005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6" authorId="0" shapeId="0" xr:uid="{00000000-0006-0000-0600-00005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6" authorId="0" shapeId="0" xr:uid="{00000000-0006-0000-0600-00005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7" authorId="0" shapeId="0" xr:uid="{00000000-0006-0000-0600-00005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7" authorId="0" shapeId="0" xr:uid="{00000000-0006-0000-0600-00005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7" authorId="0" shapeId="0" xr:uid="{00000000-0006-0000-0600-00005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7" authorId="0" shapeId="0" xr:uid="{00000000-0006-0000-0600-00005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7" authorId="0" shapeId="0" xr:uid="{00000000-0006-0000-0600-00005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7" authorId="0" shapeId="0" xr:uid="{00000000-0006-0000-0600-00006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7" authorId="0" shapeId="0" xr:uid="{00000000-0006-0000-0600-00006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7" authorId="0" shapeId="0" xr:uid="{00000000-0006-0000-0600-00006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7" authorId="0" shapeId="0" xr:uid="{00000000-0006-0000-0600-00006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7" authorId="0" shapeId="0" xr:uid="{00000000-0006-0000-0600-00006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7" authorId="0" shapeId="0" xr:uid="{00000000-0006-0000-0600-00006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7" authorId="0" shapeId="0" xr:uid="{00000000-0006-0000-0600-00006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0" authorId="0" shapeId="0" xr:uid="{00000000-0006-0000-0600-00006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0" authorId="0" shapeId="0" xr:uid="{00000000-0006-0000-0600-00006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0" authorId="0" shapeId="0" xr:uid="{00000000-0006-0000-0600-00006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0" authorId="0" shapeId="0" xr:uid="{00000000-0006-0000-0600-00006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0" authorId="0" shapeId="0" xr:uid="{00000000-0006-0000-0600-00006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0" authorId="0" shapeId="0" xr:uid="{00000000-0006-0000-0600-00006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0" authorId="0" shapeId="0" xr:uid="{00000000-0006-0000-0600-00006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0" authorId="0" shapeId="0" xr:uid="{00000000-0006-0000-0600-00006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0" authorId="0" shapeId="0" xr:uid="{00000000-0006-0000-0600-00006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0" authorId="0" shapeId="0" xr:uid="{00000000-0006-0000-0600-00007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0" authorId="0" shapeId="0" xr:uid="{00000000-0006-0000-0600-00007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0" authorId="0" shapeId="0" xr:uid="{00000000-0006-0000-0600-00007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1" authorId="0" shapeId="0" xr:uid="{00000000-0006-0000-0600-00007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1" authorId="0" shapeId="0" xr:uid="{00000000-0006-0000-0600-00007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1" authorId="0" shapeId="0" xr:uid="{00000000-0006-0000-0600-00007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1" authorId="0" shapeId="0" xr:uid="{00000000-0006-0000-0600-00007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1" authorId="0" shapeId="0" xr:uid="{00000000-0006-0000-0600-00007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1" authorId="0" shapeId="0" xr:uid="{00000000-0006-0000-0600-00007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1" authorId="0" shapeId="0" xr:uid="{00000000-0006-0000-0600-00007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1" authorId="0" shapeId="0" xr:uid="{00000000-0006-0000-0600-00007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1" authorId="0" shapeId="0" xr:uid="{00000000-0006-0000-0600-00007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1" authorId="0" shapeId="0" xr:uid="{00000000-0006-0000-0600-00007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1" authorId="0" shapeId="0" xr:uid="{00000000-0006-0000-0600-00007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1" authorId="0" shapeId="0" xr:uid="{00000000-0006-0000-0600-00007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2" authorId="0" shapeId="0" xr:uid="{00000000-0006-0000-0600-00007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2" authorId="0" shapeId="0" xr:uid="{00000000-0006-0000-0600-00008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2" authorId="0" shapeId="0" xr:uid="{00000000-0006-0000-0600-00008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2" authorId="0" shapeId="0" xr:uid="{00000000-0006-0000-0600-00008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2" authorId="0" shapeId="0" xr:uid="{00000000-0006-0000-0600-00008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2" authorId="0" shapeId="0" xr:uid="{00000000-0006-0000-0600-00008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2" authorId="0" shapeId="0" xr:uid="{00000000-0006-0000-0600-00008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2" authorId="0" shapeId="0" xr:uid="{00000000-0006-0000-0600-00008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2" authorId="0" shapeId="0" xr:uid="{00000000-0006-0000-0600-00008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2" authorId="0" shapeId="0" xr:uid="{00000000-0006-0000-0600-00008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2" authorId="0" shapeId="0" xr:uid="{00000000-0006-0000-0600-00008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2" authorId="0" shapeId="0" xr:uid="{00000000-0006-0000-0600-00008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3" authorId="0" shapeId="0" xr:uid="{00000000-0006-0000-0600-00008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3" authorId="0" shapeId="0" xr:uid="{00000000-0006-0000-0600-00008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3" authorId="0" shapeId="0" xr:uid="{00000000-0006-0000-0600-00008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3" authorId="0" shapeId="0" xr:uid="{00000000-0006-0000-0600-00008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3" authorId="0" shapeId="0" xr:uid="{00000000-0006-0000-0600-00008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3" authorId="0" shapeId="0" xr:uid="{00000000-0006-0000-0600-00009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3" authorId="0" shapeId="0" xr:uid="{00000000-0006-0000-0600-00009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3" authorId="0" shapeId="0" xr:uid="{00000000-0006-0000-0600-00009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3" authorId="0" shapeId="0" xr:uid="{00000000-0006-0000-0600-00009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3" authorId="0" shapeId="0" xr:uid="{00000000-0006-0000-0600-00009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3" authorId="0" shapeId="0" xr:uid="{00000000-0006-0000-0600-00009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3" authorId="0" shapeId="0" xr:uid="{00000000-0006-0000-0600-00009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4" authorId="0" shapeId="0" xr:uid="{00000000-0006-0000-0600-00009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4" authorId="0" shapeId="0" xr:uid="{00000000-0006-0000-0600-00009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4" authorId="0" shapeId="0" xr:uid="{00000000-0006-0000-0600-00009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4" authorId="0" shapeId="0" xr:uid="{00000000-0006-0000-0600-00009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4" authorId="0" shapeId="0" xr:uid="{00000000-0006-0000-0600-00009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4" authorId="0" shapeId="0" xr:uid="{00000000-0006-0000-0600-00009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4" authorId="0" shapeId="0" xr:uid="{00000000-0006-0000-0600-00009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4" authorId="0" shapeId="0" xr:uid="{00000000-0006-0000-0600-00009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4" authorId="0" shapeId="0" xr:uid="{00000000-0006-0000-0600-00009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4" authorId="0" shapeId="0" xr:uid="{00000000-0006-0000-0600-0000A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4" authorId="0" shapeId="0" xr:uid="{00000000-0006-0000-0600-0000A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4" authorId="0" shapeId="0" xr:uid="{00000000-0006-0000-0600-0000A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5" authorId="0" shapeId="0" xr:uid="{00000000-0006-0000-0600-0000A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5" authorId="0" shapeId="0" xr:uid="{00000000-0006-0000-0600-0000A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5" authorId="0" shapeId="0" xr:uid="{00000000-0006-0000-0600-0000A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5" authorId="0" shapeId="0" xr:uid="{00000000-0006-0000-0600-0000A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5" authorId="0" shapeId="0" xr:uid="{00000000-0006-0000-0600-0000A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5" authorId="0" shapeId="0" xr:uid="{00000000-0006-0000-0600-0000A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5" authorId="0" shapeId="0" xr:uid="{00000000-0006-0000-0600-0000A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5" authorId="0" shapeId="0" xr:uid="{00000000-0006-0000-0600-0000A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5" authorId="0" shapeId="0" xr:uid="{00000000-0006-0000-0600-0000A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5" authorId="0" shapeId="0" xr:uid="{00000000-0006-0000-0600-0000A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5" authorId="0" shapeId="0" xr:uid="{00000000-0006-0000-0600-0000A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5" authorId="0" shapeId="0" xr:uid="{00000000-0006-0000-0600-0000A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6" authorId="0" shapeId="0" xr:uid="{00000000-0006-0000-0600-0000A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6" authorId="0" shapeId="0" xr:uid="{00000000-0006-0000-0600-0000B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6" authorId="0" shapeId="0" xr:uid="{00000000-0006-0000-0600-0000B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6" authorId="0" shapeId="0" xr:uid="{00000000-0006-0000-0600-0000B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6" authorId="0" shapeId="0" xr:uid="{00000000-0006-0000-0600-0000B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6" authorId="0" shapeId="0" xr:uid="{00000000-0006-0000-0600-0000B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6" authorId="0" shapeId="0" xr:uid="{00000000-0006-0000-0600-0000B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6" authorId="0" shapeId="0" xr:uid="{00000000-0006-0000-0600-0000B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6" authorId="0" shapeId="0" xr:uid="{00000000-0006-0000-0600-0000B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6" authorId="0" shapeId="0" xr:uid="{00000000-0006-0000-0600-0000B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6" authorId="0" shapeId="0" xr:uid="{00000000-0006-0000-0600-0000B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6" authorId="0" shapeId="0" xr:uid="{00000000-0006-0000-0600-0000B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7" authorId="0" shapeId="0" xr:uid="{00000000-0006-0000-0600-0000B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7" authorId="0" shapeId="0" xr:uid="{00000000-0006-0000-0600-0000B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7" authorId="0" shapeId="0" xr:uid="{00000000-0006-0000-0600-0000B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7" authorId="0" shapeId="0" xr:uid="{00000000-0006-0000-0600-0000B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7" authorId="0" shapeId="0" xr:uid="{00000000-0006-0000-0600-0000B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7" authorId="0" shapeId="0" xr:uid="{00000000-0006-0000-0600-0000C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7" authorId="0" shapeId="0" xr:uid="{00000000-0006-0000-0600-0000C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7" authorId="0" shapeId="0" xr:uid="{00000000-0006-0000-0600-0000C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7" authorId="0" shapeId="0" xr:uid="{00000000-0006-0000-0600-0000C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7" authorId="0" shapeId="0" xr:uid="{00000000-0006-0000-0600-0000C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7" authorId="0" shapeId="0" xr:uid="{00000000-0006-0000-0600-0000C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7" authorId="0" shapeId="0" xr:uid="{00000000-0006-0000-0600-0000C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0" authorId="0" shapeId="0" xr:uid="{00000000-0006-0000-0600-0000C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0" authorId="0" shapeId="0" xr:uid="{00000000-0006-0000-0600-0000C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0" authorId="0" shapeId="0" xr:uid="{00000000-0006-0000-0600-0000C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0" authorId="0" shapeId="0" xr:uid="{00000000-0006-0000-0600-0000C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0" authorId="0" shapeId="0" xr:uid="{00000000-0006-0000-0600-0000C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0" authorId="0" shapeId="0" xr:uid="{00000000-0006-0000-0600-0000C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0" authorId="0" shapeId="0" xr:uid="{00000000-0006-0000-0600-0000C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0" authorId="0" shapeId="0" xr:uid="{00000000-0006-0000-0600-0000C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0" authorId="0" shapeId="0" xr:uid="{00000000-0006-0000-0600-0000C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0" authorId="0" shapeId="0" xr:uid="{00000000-0006-0000-0600-0000D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0" authorId="0" shapeId="0" xr:uid="{00000000-0006-0000-0600-0000D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0" authorId="0" shapeId="0" xr:uid="{00000000-0006-0000-0600-0000D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1" authorId="0" shapeId="0" xr:uid="{00000000-0006-0000-0600-0000D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1" authorId="0" shapeId="0" xr:uid="{00000000-0006-0000-0600-0000D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1" authorId="0" shapeId="0" xr:uid="{00000000-0006-0000-0600-0000D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1" authorId="0" shapeId="0" xr:uid="{00000000-0006-0000-0600-0000D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1" authorId="0" shapeId="0" xr:uid="{00000000-0006-0000-0600-0000D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1" authorId="0" shapeId="0" xr:uid="{00000000-0006-0000-0600-0000D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1" authorId="0" shapeId="0" xr:uid="{00000000-0006-0000-0600-0000D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1" authorId="0" shapeId="0" xr:uid="{00000000-0006-0000-0600-0000D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1" authorId="0" shapeId="0" xr:uid="{00000000-0006-0000-0600-0000D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1" authorId="0" shapeId="0" xr:uid="{00000000-0006-0000-0600-0000D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1" authorId="0" shapeId="0" xr:uid="{00000000-0006-0000-0600-0000D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1" authorId="0" shapeId="0" xr:uid="{00000000-0006-0000-0600-0000D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3" authorId="0" shapeId="0" xr:uid="{00000000-0006-0000-0600-0000D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3" authorId="0" shapeId="0" xr:uid="{00000000-0006-0000-0600-0000E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3" authorId="0" shapeId="0" xr:uid="{00000000-0006-0000-0600-0000E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3" authorId="0" shapeId="0" xr:uid="{00000000-0006-0000-0600-0000E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3" authorId="0" shapeId="0" xr:uid="{00000000-0006-0000-0600-0000E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3" authorId="0" shapeId="0" xr:uid="{00000000-0006-0000-0600-0000E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3" authorId="0" shapeId="0" xr:uid="{00000000-0006-0000-0600-0000E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3" authorId="0" shapeId="0" xr:uid="{00000000-0006-0000-0600-0000E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3" authorId="0" shapeId="0" xr:uid="{00000000-0006-0000-0600-0000E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3" authorId="0" shapeId="0" xr:uid="{00000000-0006-0000-0600-0000E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3" authorId="0" shapeId="0" xr:uid="{00000000-0006-0000-0600-0000E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3" authorId="0" shapeId="0" xr:uid="{00000000-0006-0000-0600-0000E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4" authorId="0" shapeId="0" xr:uid="{00000000-0006-0000-0600-0000E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4" authorId="0" shapeId="0" xr:uid="{00000000-0006-0000-0600-0000E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4" authorId="0" shapeId="0" xr:uid="{00000000-0006-0000-0600-0000E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4" authorId="0" shapeId="0" xr:uid="{00000000-0006-0000-0600-0000E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4" authorId="0" shapeId="0" xr:uid="{00000000-0006-0000-0600-0000E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4" authorId="0" shapeId="0" xr:uid="{00000000-0006-0000-0600-0000F0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4" authorId="0" shapeId="0" xr:uid="{00000000-0006-0000-0600-0000F1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4" authorId="0" shapeId="0" xr:uid="{00000000-0006-0000-0600-0000F2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4" authorId="0" shapeId="0" xr:uid="{00000000-0006-0000-0600-0000F3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4" authorId="0" shapeId="0" xr:uid="{00000000-0006-0000-0600-0000F4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4" authorId="0" shapeId="0" xr:uid="{00000000-0006-0000-0600-0000F5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4" authorId="0" shapeId="0" xr:uid="{00000000-0006-0000-0600-0000F6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5" authorId="0" shapeId="0" xr:uid="{00000000-0006-0000-0600-0000F7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5" authorId="0" shapeId="0" xr:uid="{00000000-0006-0000-0600-0000F8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5" authorId="0" shapeId="0" xr:uid="{00000000-0006-0000-0600-0000F9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5" authorId="0" shapeId="0" xr:uid="{00000000-0006-0000-0600-0000FA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5" authorId="0" shapeId="0" xr:uid="{00000000-0006-0000-0600-0000FB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5" authorId="0" shapeId="0" xr:uid="{00000000-0006-0000-0600-0000FC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5" authorId="0" shapeId="0" xr:uid="{00000000-0006-0000-0600-0000FD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5" authorId="0" shapeId="0" xr:uid="{00000000-0006-0000-0600-0000FE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5" authorId="0" shapeId="0" xr:uid="{00000000-0006-0000-0600-0000FF02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5" authorId="0" shapeId="0" xr:uid="{00000000-0006-0000-0600-00000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5" authorId="0" shapeId="0" xr:uid="{00000000-0006-0000-0600-00000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5" authorId="0" shapeId="0" xr:uid="{00000000-0006-0000-0600-00000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6" authorId="0" shapeId="0" xr:uid="{00000000-0006-0000-0600-00000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6" authorId="0" shapeId="0" xr:uid="{00000000-0006-0000-0600-00000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6" authorId="0" shapeId="0" xr:uid="{00000000-0006-0000-0600-00000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6" authorId="0" shapeId="0" xr:uid="{00000000-0006-0000-0600-00000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6" authorId="0" shapeId="0" xr:uid="{00000000-0006-0000-0600-00000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6" authorId="0" shapeId="0" xr:uid="{00000000-0006-0000-0600-00000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6" authorId="0" shapeId="0" xr:uid="{00000000-0006-0000-0600-00000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6" authorId="0" shapeId="0" xr:uid="{00000000-0006-0000-0600-00000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6" authorId="0" shapeId="0" xr:uid="{00000000-0006-0000-0600-00000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6" authorId="0" shapeId="0" xr:uid="{00000000-0006-0000-0600-00000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6" authorId="0" shapeId="0" xr:uid="{00000000-0006-0000-0600-00000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6" authorId="0" shapeId="0" xr:uid="{00000000-0006-0000-0600-00000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8" authorId="0" shapeId="0" xr:uid="{00000000-0006-0000-0600-00000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8" authorId="0" shapeId="0" xr:uid="{00000000-0006-0000-0600-00001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8" authorId="0" shapeId="0" xr:uid="{00000000-0006-0000-0600-00001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8" authorId="0" shapeId="0" xr:uid="{00000000-0006-0000-0600-00001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8" authorId="0" shapeId="0" xr:uid="{00000000-0006-0000-0600-00001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8" authorId="0" shapeId="0" xr:uid="{00000000-0006-0000-0600-00001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8" authorId="0" shapeId="0" xr:uid="{00000000-0006-0000-0600-00001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8" authorId="0" shapeId="0" xr:uid="{00000000-0006-0000-0600-00001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8" authorId="0" shapeId="0" xr:uid="{00000000-0006-0000-0600-00001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8" authorId="0" shapeId="0" xr:uid="{00000000-0006-0000-0600-00001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8" authorId="0" shapeId="0" xr:uid="{00000000-0006-0000-0600-00001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8" authorId="0" shapeId="0" xr:uid="{00000000-0006-0000-0600-00001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1" authorId="0" shapeId="0" xr:uid="{00000000-0006-0000-0600-00001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1" authorId="0" shapeId="0" xr:uid="{00000000-0006-0000-0600-00001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1" authorId="0" shapeId="0" xr:uid="{00000000-0006-0000-0600-00001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1" authorId="0" shapeId="0" xr:uid="{00000000-0006-0000-0600-00001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1" authorId="0" shapeId="0" xr:uid="{00000000-0006-0000-0600-00001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1" authorId="0" shapeId="0" xr:uid="{00000000-0006-0000-0600-00002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1" authorId="0" shapeId="0" xr:uid="{00000000-0006-0000-0600-00002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1" authorId="0" shapeId="0" xr:uid="{00000000-0006-0000-0600-00002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1" authorId="0" shapeId="0" xr:uid="{00000000-0006-0000-0600-00002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1" authorId="0" shapeId="0" xr:uid="{00000000-0006-0000-0600-00002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1" authorId="0" shapeId="0" xr:uid="{00000000-0006-0000-0600-00002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1" authorId="0" shapeId="0" xr:uid="{00000000-0006-0000-0600-00002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2" authorId="0" shapeId="0" xr:uid="{00000000-0006-0000-0600-00002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2" authorId="0" shapeId="0" xr:uid="{00000000-0006-0000-0600-00002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2" authorId="0" shapeId="0" xr:uid="{00000000-0006-0000-0600-00002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2" authorId="0" shapeId="0" xr:uid="{00000000-0006-0000-0600-00002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2" authorId="0" shapeId="0" xr:uid="{00000000-0006-0000-0600-00002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2" authorId="0" shapeId="0" xr:uid="{00000000-0006-0000-0600-00002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2" authorId="0" shapeId="0" xr:uid="{00000000-0006-0000-0600-00002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2" authorId="0" shapeId="0" xr:uid="{00000000-0006-0000-0600-00002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2" authorId="0" shapeId="0" xr:uid="{00000000-0006-0000-0600-00002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2" authorId="0" shapeId="0" xr:uid="{00000000-0006-0000-0600-00003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2" authorId="0" shapeId="0" xr:uid="{00000000-0006-0000-0600-00003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2" authorId="0" shapeId="0" xr:uid="{00000000-0006-0000-0600-00003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4" authorId="0" shapeId="0" xr:uid="{00000000-0006-0000-0600-00003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4" authorId="0" shapeId="0" xr:uid="{00000000-0006-0000-0600-00003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4" authorId="0" shapeId="0" xr:uid="{00000000-0006-0000-0600-00003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4" authorId="0" shapeId="0" xr:uid="{00000000-0006-0000-0600-00003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4" authorId="0" shapeId="0" xr:uid="{00000000-0006-0000-0600-00003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4" authorId="0" shapeId="0" xr:uid="{00000000-0006-0000-0600-00003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4" authorId="0" shapeId="0" xr:uid="{00000000-0006-0000-0600-00003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4" authorId="0" shapeId="0" xr:uid="{00000000-0006-0000-0600-00003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4" authorId="0" shapeId="0" xr:uid="{00000000-0006-0000-0600-00003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4" authorId="0" shapeId="0" xr:uid="{00000000-0006-0000-0600-00003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4" authorId="0" shapeId="0" xr:uid="{00000000-0006-0000-0600-00003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4" authorId="0" shapeId="0" xr:uid="{00000000-0006-0000-0600-00003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5" authorId="0" shapeId="0" xr:uid="{00000000-0006-0000-0600-00003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5" authorId="0" shapeId="0" xr:uid="{00000000-0006-0000-0600-00004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5" authorId="0" shapeId="0" xr:uid="{00000000-0006-0000-0600-00004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5" authorId="0" shapeId="0" xr:uid="{00000000-0006-0000-0600-00004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5" authorId="0" shapeId="0" xr:uid="{00000000-0006-0000-0600-00004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5" authorId="0" shapeId="0" xr:uid="{00000000-0006-0000-0600-00004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5" authorId="0" shapeId="0" xr:uid="{00000000-0006-0000-0600-00004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5" authorId="0" shapeId="0" xr:uid="{00000000-0006-0000-0600-00004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5" authorId="0" shapeId="0" xr:uid="{00000000-0006-0000-0600-00004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5" authorId="0" shapeId="0" xr:uid="{00000000-0006-0000-0600-00004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5" authorId="0" shapeId="0" xr:uid="{00000000-0006-0000-0600-00004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5" authorId="0" shapeId="0" xr:uid="{00000000-0006-0000-0600-00004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6" authorId="0" shapeId="0" xr:uid="{00000000-0006-0000-0600-00004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6" authorId="0" shapeId="0" xr:uid="{00000000-0006-0000-0600-00004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6" authorId="0" shapeId="0" xr:uid="{00000000-0006-0000-0600-00004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6" authorId="0" shapeId="0" xr:uid="{00000000-0006-0000-0600-00004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6" authorId="0" shapeId="0" xr:uid="{00000000-0006-0000-0600-00004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6" authorId="0" shapeId="0" xr:uid="{00000000-0006-0000-0600-00005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6" authorId="0" shapeId="0" xr:uid="{00000000-0006-0000-0600-00005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6" authorId="0" shapeId="0" xr:uid="{00000000-0006-0000-0600-00005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6" authorId="0" shapeId="0" xr:uid="{00000000-0006-0000-0600-00005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6" authorId="0" shapeId="0" xr:uid="{00000000-0006-0000-0600-00005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6" authorId="0" shapeId="0" xr:uid="{00000000-0006-0000-0600-00005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6" authorId="0" shapeId="0" xr:uid="{00000000-0006-0000-0600-00005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9" authorId="0" shapeId="0" xr:uid="{00000000-0006-0000-0600-00005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9" authorId="0" shapeId="0" xr:uid="{00000000-0006-0000-0600-00005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9" authorId="0" shapeId="0" xr:uid="{00000000-0006-0000-0600-00005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9" authorId="0" shapeId="0" xr:uid="{00000000-0006-0000-0600-00005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9" authorId="0" shapeId="0" xr:uid="{00000000-0006-0000-0600-00005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9" authorId="0" shapeId="0" xr:uid="{00000000-0006-0000-0600-00005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9" authorId="0" shapeId="0" xr:uid="{00000000-0006-0000-0600-00005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9" authorId="0" shapeId="0" xr:uid="{00000000-0006-0000-0600-00005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9" authorId="0" shapeId="0" xr:uid="{00000000-0006-0000-0600-00005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9" authorId="0" shapeId="0" xr:uid="{00000000-0006-0000-0600-00006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9" authorId="0" shapeId="0" xr:uid="{00000000-0006-0000-0600-00006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9" authorId="0" shapeId="0" xr:uid="{00000000-0006-0000-0600-00006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0" authorId="0" shapeId="0" xr:uid="{00000000-0006-0000-0600-00006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0" authorId="0" shapeId="0" xr:uid="{00000000-0006-0000-0600-00006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0" authorId="0" shapeId="0" xr:uid="{00000000-0006-0000-0600-00006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0" authorId="0" shapeId="0" xr:uid="{00000000-0006-0000-0600-00006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0" authorId="0" shapeId="0" xr:uid="{00000000-0006-0000-0600-00006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0" authorId="0" shapeId="0" xr:uid="{00000000-0006-0000-0600-00006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0" authorId="0" shapeId="0" xr:uid="{00000000-0006-0000-0600-00006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0" authorId="0" shapeId="0" xr:uid="{00000000-0006-0000-0600-00006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0" authorId="0" shapeId="0" xr:uid="{00000000-0006-0000-0600-00006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0" authorId="0" shapeId="0" xr:uid="{00000000-0006-0000-0600-00006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0" authorId="0" shapeId="0" xr:uid="{00000000-0006-0000-0600-00006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0" authorId="0" shapeId="0" xr:uid="{00000000-0006-0000-0600-00006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1" authorId="0" shapeId="0" xr:uid="{00000000-0006-0000-0600-00006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1" authorId="0" shapeId="0" xr:uid="{00000000-0006-0000-0600-00007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1" authorId="0" shapeId="0" xr:uid="{00000000-0006-0000-0600-00007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1" authorId="0" shapeId="0" xr:uid="{00000000-0006-0000-0600-00007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1" authorId="0" shapeId="0" xr:uid="{00000000-0006-0000-0600-00007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1" authorId="0" shapeId="0" xr:uid="{00000000-0006-0000-0600-00007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1" authorId="0" shapeId="0" xr:uid="{00000000-0006-0000-0600-00007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1" authorId="0" shapeId="0" xr:uid="{00000000-0006-0000-0600-00007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1" authorId="0" shapeId="0" xr:uid="{00000000-0006-0000-0600-00007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1" authorId="0" shapeId="0" xr:uid="{00000000-0006-0000-0600-00007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1" authorId="0" shapeId="0" xr:uid="{00000000-0006-0000-0600-00007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1" authorId="0" shapeId="0" xr:uid="{00000000-0006-0000-0600-00007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5" authorId="0" shapeId="0" xr:uid="{00000000-0006-0000-0600-00007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5" authorId="0" shapeId="0" xr:uid="{00000000-0006-0000-0600-00007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5" authorId="0" shapeId="0" xr:uid="{00000000-0006-0000-0600-00007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5" authorId="0" shapeId="0" xr:uid="{00000000-0006-0000-0600-00007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5" authorId="0" shapeId="0" xr:uid="{00000000-0006-0000-0600-00007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5" authorId="0" shapeId="0" xr:uid="{00000000-0006-0000-0600-00008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5" authorId="0" shapeId="0" xr:uid="{00000000-0006-0000-0600-00008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5" authorId="0" shapeId="0" xr:uid="{00000000-0006-0000-0600-00008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5" authorId="0" shapeId="0" xr:uid="{00000000-0006-0000-0600-00008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5" authorId="0" shapeId="0" xr:uid="{00000000-0006-0000-0600-00008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5" authorId="0" shapeId="0" xr:uid="{00000000-0006-0000-0600-00008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5" authorId="0" shapeId="0" xr:uid="{00000000-0006-0000-0600-00008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6" authorId="0" shapeId="0" xr:uid="{00000000-0006-0000-0600-00008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6" authorId="0" shapeId="0" xr:uid="{00000000-0006-0000-0600-00008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6" authorId="0" shapeId="0" xr:uid="{00000000-0006-0000-0600-00008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6" authorId="0" shapeId="0" xr:uid="{00000000-0006-0000-0600-00008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6" authorId="0" shapeId="0" xr:uid="{00000000-0006-0000-0600-00008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6" authorId="0" shapeId="0" xr:uid="{00000000-0006-0000-0600-00008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6" authorId="0" shapeId="0" xr:uid="{00000000-0006-0000-0600-00008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6" authorId="0" shapeId="0" xr:uid="{00000000-0006-0000-0600-00008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6" authorId="0" shapeId="0" xr:uid="{00000000-0006-0000-0600-00008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6" authorId="0" shapeId="0" xr:uid="{00000000-0006-0000-0600-00009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6" authorId="0" shapeId="0" xr:uid="{00000000-0006-0000-0600-00009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6" authorId="0" shapeId="0" xr:uid="{00000000-0006-0000-0600-00009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7" authorId="0" shapeId="0" xr:uid="{00000000-0006-0000-0600-00009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7" authorId="0" shapeId="0" xr:uid="{00000000-0006-0000-0600-00009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7" authorId="0" shapeId="0" xr:uid="{00000000-0006-0000-0600-00009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7" authorId="0" shapeId="0" xr:uid="{00000000-0006-0000-0600-00009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7" authorId="0" shapeId="0" xr:uid="{00000000-0006-0000-0600-00009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7" authorId="0" shapeId="0" xr:uid="{00000000-0006-0000-0600-00009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7" authorId="0" shapeId="0" xr:uid="{00000000-0006-0000-0600-00009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7" authorId="0" shapeId="0" xr:uid="{00000000-0006-0000-0600-00009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7" authorId="0" shapeId="0" xr:uid="{00000000-0006-0000-0600-00009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7" authorId="0" shapeId="0" xr:uid="{00000000-0006-0000-0600-00009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7" authorId="0" shapeId="0" xr:uid="{00000000-0006-0000-0600-00009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7" authorId="0" shapeId="0" xr:uid="{00000000-0006-0000-0600-00009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8" authorId="0" shapeId="0" xr:uid="{00000000-0006-0000-0600-00009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8" authorId="0" shapeId="0" xr:uid="{00000000-0006-0000-0600-0000A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8" authorId="0" shapeId="0" xr:uid="{00000000-0006-0000-0600-0000A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8" authorId="0" shapeId="0" xr:uid="{00000000-0006-0000-0600-0000A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8" authorId="0" shapeId="0" xr:uid="{00000000-0006-0000-0600-0000A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8" authorId="0" shapeId="0" xr:uid="{00000000-0006-0000-0600-0000A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8" authorId="0" shapeId="0" xr:uid="{00000000-0006-0000-0600-0000A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8" authorId="0" shapeId="0" xr:uid="{00000000-0006-0000-0600-0000A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8" authorId="0" shapeId="0" xr:uid="{00000000-0006-0000-0600-0000A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8" authorId="0" shapeId="0" xr:uid="{00000000-0006-0000-0600-0000A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8" authorId="0" shapeId="0" xr:uid="{00000000-0006-0000-0600-0000A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8" authorId="0" shapeId="0" xr:uid="{00000000-0006-0000-0600-0000A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9" authorId="0" shapeId="0" xr:uid="{00000000-0006-0000-0600-0000A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9" authorId="0" shapeId="0" xr:uid="{00000000-0006-0000-0600-0000A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9" authorId="0" shapeId="0" xr:uid="{00000000-0006-0000-0600-0000A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9" authorId="0" shapeId="0" xr:uid="{00000000-0006-0000-0600-0000A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9" authorId="0" shapeId="0" xr:uid="{00000000-0006-0000-0600-0000A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9" authorId="0" shapeId="0" xr:uid="{00000000-0006-0000-0600-0000B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9" authorId="0" shapeId="0" xr:uid="{00000000-0006-0000-0600-0000B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9" authorId="0" shapeId="0" xr:uid="{00000000-0006-0000-0600-0000B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9" authorId="0" shapeId="0" xr:uid="{00000000-0006-0000-0600-0000B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9" authorId="0" shapeId="0" xr:uid="{00000000-0006-0000-0600-0000B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9" authorId="0" shapeId="0" xr:uid="{00000000-0006-0000-0600-0000B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9" authorId="0" shapeId="0" xr:uid="{00000000-0006-0000-0600-0000B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0" authorId="0" shapeId="0" xr:uid="{00000000-0006-0000-0600-0000B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0" authorId="0" shapeId="0" xr:uid="{00000000-0006-0000-0600-0000B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0" authorId="0" shapeId="0" xr:uid="{00000000-0006-0000-0600-0000B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0" authorId="0" shapeId="0" xr:uid="{00000000-0006-0000-0600-0000B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0" authorId="0" shapeId="0" xr:uid="{00000000-0006-0000-0600-0000B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0" authorId="0" shapeId="0" xr:uid="{00000000-0006-0000-0600-0000B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0" authorId="0" shapeId="0" xr:uid="{00000000-0006-0000-0600-0000B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0" authorId="0" shapeId="0" xr:uid="{00000000-0006-0000-0600-0000B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0" authorId="0" shapeId="0" xr:uid="{00000000-0006-0000-0600-0000B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0" authorId="0" shapeId="0" xr:uid="{00000000-0006-0000-0600-0000C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0" authorId="0" shapeId="0" xr:uid="{00000000-0006-0000-0600-0000C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0" authorId="0" shapeId="0" xr:uid="{00000000-0006-0000-0600-0000C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2" authorId="0" shapeId="0" xr:uid="{00000000-0006-0000-0600-0000C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2" authorId="0" shapeId="0" xr:uid="{00000000-0006-0000-0600-0000C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2" authorId="0" shapeId="0" xr:uid="{00000000-0006-0000-0600-0000C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2" authorId="0" shapeId="0" xr:uid="{00000000-0006-0000-0600-0000C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2" authorId="0" shapeId="0" xr:uid="{00000000-0006-0000-0600-0000C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2" authorId="0" shapeId="0" xr:uid="{00000000-0006-0000-0600-0000C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2" authorId="0" shapeId="0" xr:uid="{00000000-0006-0000-0600-0000C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2" authorId="0" shapeId="0" xr:uid="{00000000-0006-0000-0600-0000C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2" authorId="0" shapeId="0" xr:uid="{00000000-0006-0000-0600-0000C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2" authorId="0" shapeId="0" xr:uid="{00000000-0006-0000-0600-0000C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2" authorId="0" shapeId="0" xr:uid="{00000000-0006-0000-0600-0000C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2" authorId="0" shapeId="0" xr:uid="{00000000-0006-0000-0600-0000C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7" authorId="0" shapeId="0" xr:uid="{00000000-0006-0000-0600-0000C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7" authorId="0" shapeId="0" xr:uid="{00000000-0006-0000-0600-0000D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7" authorId="0" shapeId="0" xr:uid="{00000000-0006-0000-0600-0000D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7" authorId="0" shapeId="0" xr:uid="{00000000-0006-0000-0600-0000D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7" authorId="0" shapeId="0" xr:uid="{00000000-0006-0000-0600-0000D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7" authorId="0" shapeId="0" xr:uid="{00000000-0006-0000-0600-0000D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7" authorId="0" shapeId="0" xr:uid="{00000000-0006-0000-0600-0000D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7" authorId="0" shapeId="0" xr:uid="{00000000-0006-0000-0600-0000D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7" authorId="0" shapeId="0" xr:uid="{00000000-0006-0000-0600-0000D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7" authorId="0" shapeId="0" xr:uid="{00000000-0006-0000-0600-0000D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7" authorId="0" shapeId="0" xr:uid="{00000000-0006-0000-0600-0000D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7" authorId="0" shapeId="0" xr:uid="{00000000-0006-0000-0600-0000D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8" authorId="0" shapeId="0" xr:uid="{00000000-0006-0000-0600-0000D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8" authorId="0" shapeId="0" xr:uid="{00000000-0006-0000-0600-0000D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8" authorId="0" shapeId="0" xr:uid="{00000000-0006-0000-0600-0000D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8" authorId="0" shapeId="0" xr:uid="{00000000-0006-0000-0600-0000D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8" authorId="0" shapeId="0" xr:uid="{00000000-0006-0000-0600-0000D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8" authorId="0" shapeId="0" xr:uid="{00000000-0006-0000-0600-0000E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8" authorId="0" shapeId="0" xr:uid="{00000000-0006-0000-0600-0000E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8" authorId="0" shapeId="0" xr:uid="{00000000-0006-0000-0600-0000E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8" authorId="0" shapeId="0" xr:uid="{00000000-0006-0000-0600-0000E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8" authorId="0" shapeId="0" xr:uid="{00000000-0006-0000-0600-0000E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8" authorId="0" shapeId="0" xr:uid="{00000000-0006-0000-0600-0000E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8" authorId="0" shapeId="0" xr:uid="{00000000-0006-0000-0600-0000E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2" authorId="0" shapeId="0" xr:uid="{00000000-0006-0000-0600-0000E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2" authorId="0" shapeId="0" xr:uid="{00000000-0006-0000-0600-0000E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2" authorId="0" shapeId="0" xr:uid="{00000000-0006-0000-0600-0000E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2" authorId="0" shapeId="0" xr:uid="{00000000-0006-0000-0600-0000E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2" authorId="0" shapeId="0" xr:uid="{00000000-0006-0000-0600-0000E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2" authorId="0" shapeId="0" xr:uid="{00000000-0006-0000-0600-0000E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2" authorId="0" shapeId="0" xr:uid="{00000000-0006-0000-0600-0000E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2" authorId="0" shapeId="0" xr:uid="{00000000-0006-0000-0600-0000E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2" authorId="0" shapeId="0" xr:uid="{00000000-0006-0000-0600-0000E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2" authorId="0" shapeId="0" xr:uid="{00000000-0006-0000-0600-0000F0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2" authorId="0" shapeId="0" xr:uid="{00000000-0006-0000-0600-0000F1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2" authorId="0" shapeId="0" xr:uid="{00000000-0006-0000-0600-0000F2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4" authorId="0" shapeId="0" xr:uid="{00000000-0006-0000-0600-0000F3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4" authorId="0" shapeId="0" xr:uid="{00000000-0006-0000-0600-0000F4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4" authorId="0" shapeId="0" xr:uid="{00000000-0006-0000-0600-0000F5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4" authorId="0" shapeId="0" xr:uid="{00000000-0006-0000-0600-0000F6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4" authorId="0" shapeId="0" xr:uid="{00000000-0006-0000-0600-0000F7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4" authorId="0" shapeId="0" xr:uid="{00000000-0006-0000-0600-0000F8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4" authorId="0" shapeId="0" xr:uid="{00000000-0006-0000-0600-0000F9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4" authorId="0" shapeId="0" xr:uid="{00000000-0006-0000-0600-0000FA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4" authorId="0" shapeId="0" xr:uid="{00000000-0006-0000-0600-0000FB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4" authorId="0" shapeId="0" xr:uid="{00000000-0006-0000-0600-0000FC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4" authorId="0" shapeId="0" xr:uid="{00000000-0006-0000-0600-0000FD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4" authorId="0" shapeId="0" xr:uid="{00000000-0006-0000-0600-0000FE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7" authorId="0" shapeId="0" xr:uid="{00000000-0006-0000-0600-0000FF03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7" authorId="0" shapeId="0" xr:uid="{00000000-0006-0000-0600-000000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7" authorId="0" shapeId="0" xr:uid="{00000000-0006-0000-0600-000001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7" authorId="0" shapeId="0" xr:uid="{00000000-0006-0000-0600-000002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7" authorId="0" shapeId="0" xr:uid="{00000000-0006-0000-0600-000003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7" authorId="0" shapeId="0" xr:uid="{00000000-0006-0000-0600-000004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7" authorId="0" shapeId="0" xr:uid="{00000000-0006-0000-0600-000005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7" authorId="0" shapeId="0" xr:uid="{00000000-0006-0000-0600-000006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7" authorId="0" shapeId="0" xr:uid="{00000000-0006-0000-0600-000007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7" authorId="0" shapeId="0" xr:uid="{00000000-0006-0000-0600-000008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7" authorId="0" shapeId="0" xr:uid="{00000000-0006-0000-0600-000009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7" authorId="0" shapeId="0" xr:uid="{00000000-0006-0000-0600-00000A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74" authorId="0" shapeId="0" xr:uid="{00000000-0006-0000-0600-00000B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74" authorId="0" shapeId="0" xr:uid="{00000000-0006-0000-0600-00000C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74" authorId="0" shapeId="0" xr:uid="{00000000-0006-0000-0600-00000D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74" authorId="0" shapeId="0" xr:uid="{00000000-0006-0000-0600-00000E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74" authorId="0" shapeId="0" xr:uid="{00000000-0006-0000-0600-00000F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74" authorId="0" shapeId="0" xr:uid="{00000000-0006-0000-0600-000010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74" authorId="0" shapeId="0" xr:uid="{00000000-0006-0000-0600-000011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74" authorId="0" shapeId="0" xr:uid="{00000000-0006-0000-0600-000012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74" authorId="0" shapeId="0" xr:uid="{00000000-0006-0000-0600-000013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74" authorId="0" shapeId="0" xr:uid="{00000000-0006-0000-0600-000014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74" authorId="0" shapeId="0" xr:uid="{00000000-0006-0000-0600-000015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74" authorId="0" shapeId="0" xr:uid="{00000000-0006-0000-0600-000016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79" authorId="0" shapeId="0" xr:uid="{00000000-0006-0000-0600-000017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79" authorId="0" shapeId="0" xr:uid="{00000000-0006-0000-0600-000018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79" authorId="0" shapeId="0" xr:uid="{00000000-0006-0000-0600-000019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79" authorId="0" shapeId="0" xr:uid="{00000000-0006-0000-0600-00001A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79" authorId="0" shapeId="0" xr:uid="{00000000-0006-0000-0600-00001B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79" authorId="0" shapeId="0" xr:uid="{00000000-0006-0000-0600-00001C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79" authorId="0" shapeId="0" xr:uid="{00000000-0006-0000-0600-00001D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79" authorId="0" shapeId="0" xr:uid="{00000000-0006-0000-0600-00001E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79" authorId="0" shapeId="0" xr:uid="{00000000-0006-0000-0600-00001F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79" authorId="0" shapeId="0" xr:uid="{00000000-0006-0000-0600-000020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79" authorId="0" shapeId="0" xr:uid="{00000000-0006-0000-0600-000021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79" authorId="0" shapeId="0" xr:uid="{00000000-0006-0000-0600-000022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80" authorId="0" shapeId="0" xr:uid="{00000000-0006-0000-0600-000023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80" authorId="0" shapeId="0" xr:uid="{00000000-0006-0000-0600-000024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80" authorId="0" shapeId="0" xr:uid="{00000000-0006-0000-0600-000025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80" authorId="0" shapeId="0" xr:uid="{00000000-0006-0000-0600-000026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80" authorId="0" shapeId="0" xr:uid="{00000000-0006-0000-0600-000027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80" authorId="0" shapeId="0" xr:uid="{00000000-0006-0000-0600-000028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80" authorId="0" shapeId="0" xr:uid="{00000000-0006-0000-0600-000029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80" authorId="0" shapeId="0" xr:uid="{00000000-0006-0000-0600-00002A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80" authorId="0" shapeId="0" xr:uid="{00000000-0006-0000-0600-00002B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80" authorId="0" shapeId="0" xr:uid="{00000000-0006-0000-0600-00002C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80" authorId="0" shapeId="0" xr:uid="{00000000-0006-0000-0600-00002D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80" authorId="0" shapeId="0" xr:uid="{00000000-0006-0000-0600-00002E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6" authorId="0" shapeId="0" xr:uid="{00000000-0006-0000-0600-00002F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6" authorId="0" shapeId="0" xr:uid="{00000000-0006-0000-0600-000030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6" authorId="0" shapeId="0" xr:uid="{00000000-0006-0000-0600-000031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6" authorId="0" shapeId="0" xr:uid="{00000000-0006-0000-0600-000032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6" authorId="0" shapeId="0" xr:uid="{00000000-0006-0000-0600-000033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6" authorId="0" shapeId="0" xr:uid="{00000000-0006-0000-0600-000034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6" authorId="0" shapeId="0" xr:uid="{00000000-0006-0000-0600-000035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6" authorId="0" shapeId="0" xr:uid="{00000000-0006-0000-0600-000036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6" authorId="0" shapeId="0" xr:uid="{00000000-0006-0000-0600-000037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6" authorId="0" shapeId="0" xr:uid="{00000000-0006-0000-0600-000038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6" authorId="0" shapeId="0" xr:uid="{00000000-0006-0000-0600-000039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6" authorId="0" shapeId="0" xr:uid="{00000000-0006-0000-0600-00003A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7" authorId="0" shapeId="0" xr:uid="{00000000-0006-0000-0600-00003B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7" authorId="0" shapeId="0" xr:uid="{00000000-0006-0000-0600-00003C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7" authorId="0" shapeId="0" xr:uid="{00000000-0006-0000-0600-00003D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7" authorId="0" shapeId="0" xr:uid="{00000000-0006-0000-0600-00003E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7" authorId="0" shapeId="0" xr:uid="{00000000-0006-0000-0600-00003F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7" authorId="0" shapeId="0" xr:uid="{00000000-0006-0000-0600-000040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7" authorId="0" shapeId="0" xr:uid="{00000000-0006-0000-0600-000041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7" authorId="0" shapeId="0" xr:uid="{00000000-0006-0000-0600-000042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7" authorId="0" shapeId="0" xr:uid="{00000000-0006-0000-0600-000043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7" authorId="0" shapeId="0" xr:uid="{00000000-0006-0000-0600-000044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7" authorId="0" shapeId="0" xr:uid="{00000000-0006-0000-0600-000045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7" authorId="0" shapeId="0" xr:uid="{00000000-0006-0000-0600-000046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8" authorId="0" shapeId="0" xr:uid="{00000000-0006-0000-0600-000047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8" authorId="0" shapeId="0" xr:uid="{00000000-0006-0000-0600-000048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8" authorId="0" shapeId="0" xr:uid="{00000000-0006-0000-0600-000049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8" authorId="0" shapeId="0" xr:uid="{00000000-0006-0000-0600-00004A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8" authorId="0" shapeId="0" xr:uid="{00000000-0006-0000-0600-00004B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8" authorId="0" shapeId="0" xr:uid="{00000000-0006-0000-0600-00004C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8" authorId="0" shapeId="0" xr:uid="{00000000-0006-0000-0600-00004D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8" authorId="0" shapeId="0" xr:uid="{00000000-0006-0000-0600-00004E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8" authorId="0" shapeId="0" xr:uid="{00000000-0006-0000-0600-00004F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8" authorId="0" shapeId="0" xr:uid="{00000000-0006-0000-0600-000050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8" authorId="0" shapeId="0" xr:uid="{00000000-0006-0000-0600-000051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8" authorId="0" shapeId="0" xr:uid="{00000000-0006-0000-0600-000052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680" authorId="0" shapeId="0" xr:uid="{00000000-0006-0000-0600-000053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680" authorId="0" shapeId="0" xr:uid="{00000000-0006-0000-0600-000054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680" authorId="0" shapeId="0" xr:uid="{00000000-0006-0000-0600-000055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680" authorId="0" shapeId="0" xr:uid="{00000000-0006-0000-0600-000056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680" authorId="0" shapeId="0" xr:uid="{00000000-0006-0000-0600-000057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680" authorId="0" shapeId="0" xr:uid="{00000000-0006-0000-0600-000058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680" authorId="0" shapeId="0" xr:uid="{00000000-0006-0000-0600-000059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680" authorId="0" shapeId="0" xr:uid="{00000000-0006-0000-0600-00005A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680" authorId="0" shapeId="0" xr:uid="{00000000-0006-0000-0600-00005B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680" authorId="0" shapeId="0" xr:uid="{00000000-0006-0000-0600-00005C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680" authorId="0" shapeId="0" xr:uid="{00000000-0006-0000-0600-00005D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680" authorId="0" shapeId="0" xr:uid="{00000000-0006-0000-0600-00005E0400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bloombergx</author>
  </authors>
  <commentList>
    <comment ref="C17" authorId="0" shapeId="0" xr:uid="{D1E60320-092C-4FAB-A3FB-7398C726582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18" authorId="0" shapeId="0" xr:uid="{E9A9C758-0B20-430D-8D55-ADCD23345D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19" authorId="0" shapeId="0" xr:uid="{C6527573-85E5-47C4-BA38-C27F509087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19" authorId="0" shapeId="0" xr:uid="{D5ED4EC7-3120-4C8A-9FC8-5D5BBF1468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19" authorId="0" shapeId="0" xr:uid="{01FCB311-8FA1-4BA6-BF57-D9F8FAA3ED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19" authorId="0" shapeId="0" xr:uid="{1E22425D-8750-415F-8BF6-BDDB8803D5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19" authorId="0" shapeId="0" xr:uid="{AD0DC766-8B2B-4811-805F-8321D7BE99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19" authorId="0" shapeId="0" xr:uid="{D59ECEF0-2321-4F22-9B85-A2E40B9737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19" authorId="0" shapeId="0" xr:uid="{981F5FFB-7934-406A-8535-52F04263DB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0" authorId="0" shapeId="0" xr:uid="{3C752613-89B0-4E37-8B69-A01ADC85F5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0" authorId="0" shapeId="0" xr:uid="{1EC9B62F-7932-498B-9BE0-AD8A58727B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0" authorId="0" shapeId="0" xr:uid="{017D77A2-A834-4C42-B21E-0212AB9730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0" authorId="0" shapeId="0" xr:uid="{0703679F-4DD7-41D6-9736-4203B5BCE3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0" authorId="0" shapeId="0" xr:uid="{ACFF609F-66CF-477E-B7AB-121046A69E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0" authorId="0" shapeId="0" xr:uid="{DB3AB8CA-0191-4030-ACC9-1D8C9DD89C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0" authorId="0" shapeId="0" xr:uid="{1570DD30-8FCC-4BF7-978C-18738F68EE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1" authorId="0" shapeId="0" xr:uid="{13FC6C38-A31E-4F54-856C-B5A74F8463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1" authorId="0" shapeId="0" xr:uid="{5A782CD5-ECF8-445A-8702-3A4FF8531C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1" authorId="0" shapeId="0" xr:uid="{84C7F621-73A3-4794-BE38-EE83E3BE55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1" authorId="0" shapeId="0" xr:uid="{86AA2B9D-4E7F-4183-85B0-2EA33FEE59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1" authorId="0" shapeId="0" xr:uid="{F1A52912-D5AC-4DC8-A21F-BB91D3C6585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1" authorId="0" shapeId="0" xr:uid="{89DBA799-1A66-4283-A27C-214AFB3FE6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1" authorId="0" shapeId="0" xr:uid="{FDF34767-CFD9-47D9-9E78-1543527A97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2" authorId="0" shapeId="0" xr:uid="{7AD938F8-D729-47B3-A790-2ADFC8AC4C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2" authorId="0" shapeId="0" xr:uid="{F44E6542-B88E-4636-ADE5-8D08F89192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2" authorId="0" shapeId="0" xr:uid="{FD00FEAD-44AE-4BDC-9082-20C68BB851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2" authorId="0" shapeId="0" xr:uid="{88D01149-434E-4CEC-91C5-1D9FE7AF26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2" authorId="0" shapeId="0" xr:uid="{27DD9D5B-F57C-4EE8-8CC2-EADA8EF7F8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2" authorId="0" shapeId="0" xr:uid="{AF1474E1-E185-4206-B3CB-E4BB9A59B7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2" authorId="0" shapeId="0" xr:uid="{504617B2-6806-4F4A-B1D1-A54FEDA24DC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3" authorId="0" shapeId="0" xr:uid="{3BB1D44D-E2F8-431B-A116-4F5F2C8F6A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3" authorId="0" shapeId="0" xr:uid="{ED3FC0AD-74FA-47EF-BB39-47A0147A16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3" authorId="0" shapeId="0" xr:uid="{2E373456-58C8-43B6-8C08-C48E6C87C3F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3" authorId="0" shapeId="0" xr:uid="{AF30110A-FE7E-4443-891C-80EF3DF630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3" authorId="0" shapeId="0" xr:uid="{1838BFE0-9F36-4176-BC22-B9B85B964F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3" authorId="0" shapeId="0" xr:uid="{EBE04EBF-0EED-4A55-96F8-C4AF843F78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3" authorId="0" shapeId="0" xr:uid="{74D2BA56-0FD5-4BEF-B79C-FD4B590B0F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4" authorId="0" shapeId="0" xr:uid="{6C99CC70-7DB6-4D33-8227-19B782EB8C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4" authorId="0" shapeId="0" xr:uid="{E10775B9-D3C8-47DB-B34C-695A397789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4" authorId="0" shapeId="0" xr:uid="{6D2AC0E1-23BD-42E7-8EB7-178166F1CE4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4" authorId="0" shapeId="0" xr:uid="{5D8D6CDF-A5AD-44CA-8CC2-4433F1D7372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4" authorId="0" shapeId="0" xr:uid="{3AFBA2C3-DE45-4512-AE4E-10C9045B36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4" authorId="0" shapeId="0" xr:uid="{CA3150C7-1799-4A94-BD57-FBD1878896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4" authorId="0" shapeId="0" xr:uid="{858832E8-7196-4222-8BC6-FACCD0D481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5" authorId="0" shapeId="0" xr:uid="{F285791B-3333-4759-9E2F-4A8D893FE2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5" authorId="0" shapeId="0" xr:uid="{92DC7FFB-2B5F-45B7-A88A-25A469E702F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5" authorId="0" shapeId="0" xr:uid="{28CADAD2-6B53-4678-85FE-4F3FD561C6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5" authorId="0" shapeId="0" xr:uid="{F5040BD2-CBA5-406D-A965-90CF6E863BA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5" authorId="0" shapeId="0" xr:uid="{6E6A23F5-772D-4533-834F-B6806F87ED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5" authorId="0" shapeId="0" xr:uid="{E360BD87-2CB1-4406-83AC-66C7B4F97C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2" authorId="0" shapeId="0" xr:uid="{CB0921F7-BAC5-4D96-B061-CC83BCAAF9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2" authorId="0" shapeId="0" xr:uid="{9DB485CC-D102-47FB-983F-D2731882F99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2" authorId="0" shapeId="0" xr:uid="{A9B45504-AB2D-474A-B4A2-5EFF64E204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2" authorId="0" shapeId="0" xr:uid="{DDED1B5A-50DF-4310-BF12-3A789DA54B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2" authorId="0" shapeId="0" xr:uid="{4AFC9D2D-6BE5-4906-AAD3-AAEFFABFBB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2" authorId="0" shapeId="0" xr:uid="{33B37E4E-DAD2-46CD-B86A-AA2AF3F6EA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2" authorId="0" shapeId="0" xr:uid="{F9A2D527-CA42-4CCD-895D-C72719F51F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2" authorId="0" shapeId="0" xr:uid="{52576B9E-17D2-43B9-8531-BB8CB38D25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2" authorId="0" shapeId="0" xr:uid="{1442F9E9-1090-45B7-8992-8640C2C3DB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2" authorId="0" shapeId="0" xr:uid="{A2B802E0-5C11-4087-9364-FB54D28381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2" authorId="0" shapeId="0" xr:uid="{9EC5829A-03A6-4552-8E2B-6537B03908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2" authorId="0" shapeId="0" xr:uid="{1A6BDE41-A8F4-4842-A5FE-73B2B870F5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3" authorId="0" shapeId="0" xr:uid="{F247D398-C764-49E5-923A-2CBCD9F510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3" authorId="0" shapeId="0" xr:uid="{674D1CB6-D2D8-4270-97FD-EDF646F285B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3" authorId="0" shapeId="0" xr:uid="{C1EB206B-1A53-4202-BC81-9A1780CD05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3" authorId="0" shapeId="0" xr:uid="{D6A957EF-E54F-42B0-ABB5-879024B30EB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3" authorId="0" shapeId="0" xr:uid="{C6B52B7B-10DA-4BB2-8BC4-643118F1D6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3" authorId="0" shapeId="0" xr:uid="{77729B92-E02E-4B73-8F03-EBB5527302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3" authorId="0" shapeId="0" xr:uid="{ABAEE58C-9D01-4B9C-9B9B-7355A17CC9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3" authorId="0" shapeId="0" xr:uid="{DC5CF801-A6E6-45FB-9DC1-5DE8D7A191C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3" authorId="0" shapeId="0" xr:uid="{7846ABA5-6770-442F-BBDC-0FCEEBF46B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3" authorId="0" shapeId="0" xr:uid="{DF88677D-91F9-4D47-9881-95F34D83ED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3" authorId="0" shapeId="0" xr:uid="{1BB28480-CFBC-4B6B-8C6D-4E76463FBF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3" authorId="0" shapeId="0" xr:uid="{09692815-E1A4-47EF-857F-8A05C99990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4" authorId="0" shapeId="0" xr:uid="{F32FCD44-8126-46D3-AF84-5E73E40BDE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4" authorId="0" shapeId="0" xr:uid="{38CD44F3-C0A1-4677-ACB7-7442128E85A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4" authorId="0" shapeId="0" xr:uid="{6527C7F4-6CC0-4EBA-87AA-638F1B7F71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4" authorId="0" shapeId="0" xr:uid="{D1CD863A-7CC8-4A68-94E6-7F53803979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4" authorId="0" shapeId="0" xr:uid="{77DA57E5-69EE-4320-8854-B512A99B76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4" authorId="0" shapeId="0" xr:uid="{1A491EA9-8195-43A4-9631-2BAA4AF443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4" authorId="0" shapeId="0" xr:uid="{652243AB-AA5C-4914-AD88-AE65DCC540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4" authorId="0" shapeId="0" xr:uid="{D1EC6A7B-718F-4303-8782-D7FAD367D1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4" authorId="0" shapeId="0" xr:uid="{6B7D34E9-6BE7-400B-AB51-0749E7EA83D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4" authorId="0" shapeId="0" xr:uid="{6A8B9B42-3B7F-4919-B8B1-2D049B22B4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4" authorId="0" shapeId="0" xr:uid="{42C12772-6AB1-4A4D-98BF-4802618F9B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4" authorId="0" shapeId="0" xr:uid="{3604282C-6014-4465-96BE-6F511839EB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5" authorId="0" shapeId="0" xr:uid="{F7FA3A65-8C9D-4752-9D81-B61F4DDBD1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5" authorId="0" shapeId="0" xr:uid="{391F0813-2CB9-47E5-AF33-EB20C4443D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5" authorId="0" shapeId="0" xr:uid="{65BCD4A6-C595-4CA5-8B81-7839E9A785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5" authorId="0" shapeId="0" xr:uid="{CF386561-5A89-4EB8-A9CC-85F49A6A1AC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5" authorId="0" shapeId="0" xr:uid="{F23A26B0-0C25-4BD9-BD45-6BA4B5C0B6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5" authorId="0" shapeId="0" xr:uid="{152A7068-A653-4B28-9FFD-E18B8BB40BA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5" authorId="0" shapeId="0" xr:uid="{45B26B5D-0963-4DD9-AF1B-9E14C85E0F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5" authorId="0" shapeId="0" xr:uid="{36A0FB7C-FE5E-45B2-AD55-CB4E2EA827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5" authorId="0" shapeId="0" xr:uid="{874CE65C-9C76-44AC-BBB6-F0952F9344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5" authorId="0" shapeId="0" xr:uid="{599B8251-EBD0-4551-A621-2BD624C8AB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5" authorId="0" shapeId="0" xr:uid="{5F037FB6-E6EE-4D78-A524-42132FE971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5" authorId="0" shapeId="0" xr:uid="{68BC9085-8960-44E3-ADE3-57DF5A2E02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6" authorId="0" shapeId="0" xr:uid="{43276E6B-4C30-46D4-BE87-969CCD0E84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6" authorId="0" shapeId="0" xr:uid="{C77482BB-4D16-4935-8AA7-07E1AD7E1F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6" authorId="0" shapeId="0" xr:uid="{763DC592-B9D7-43F4-AD81-5274FAE1DE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6" authorId="0" shapeId="0" xr:uid="{15076F38-83D6-4B34-9D39-4A5D33087F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6" authorId="0" shapeId="0" xr:uid="{95BDB6E2-11B1-47A2-92C5-945D3EF6CD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6" authorId="0" shapeId="0" xr:uid="{FD8D1B99-1602-4224-8581-06B9C52BD1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6" authorId="0" shapeId="0" xr:uid="{1C90DE0A-C40E-4D00-9008-A83CAB1F31D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6" authorId="0" shapeId="0" xr:uid="{D0A51337-8F61-4018-AEE3-06692D6D88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6" authorId="0" shapeId="0" xr:uid="{020CF2BB-AF78-4762-99E5-9021992948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6" authorId="0" shapeId="0" xr:uid="{63137B8B-B468-478E-AF88-3857A33B07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6" authorId="0" shapeId="0" xr:uid="{F72E1969-50B4-453E-B712-04E1CFD1E9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6" authorId="0" shapeId="0" xr:uid="{6A879ECD-360E-4B1D-92FC-53C384E2A7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7" authorId="0" shapeId="0" xr:uid="{32069EFC-FC0E-4E11-86CA-800CB9BAEA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7" authorId="0" shapeId="0" xr:uid="{73AE0382-FC80-4D63-9760-F429097411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7" authorId="0" shapeId="0" xr:uid="{67B376B5-BA4E-40CD-99C1-B0D05FB78BD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7" authorId="0" shapeId="0" xr:uid="{77A66EF8-9852-4BAE-B4C0-9CB9FB6BCB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7" authorId="0" shapeId="0" xr:uid="{AA12F2F4-10F0-4D77-8C14-D7B25C2A06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7" authorId="0" shapeId="0" xr:uid="{875A8903-3B3F-4E83-A26E-52E7517E25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7" authorId="0" shapeId="0" xr:uid="{2644CD87-84D8-4BEE-8CED-CE1687ED07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7" authorId="0" shapeId="0" xr:uid="{815FAD42-06CE-4C4F-B3A6-359F4C52E0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7" authorId="0" shapeId="0" xr:uid="{8105DB39-734E-4A28-A7DB-6AEFF13B62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7" authorId="0" shapeId="0" xr:uid="{84AC0B03-8806-4E87-A5B0-67DB51EE59A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7" authorId="0" shapeId="0" xr:uid="{EC36E50C-21B2-47C0-B081-57574DE8638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7" authorId="0" shapeId="0" xr:uid="{F13C8B2D-EDCA-420E-8D7E-B0CB9AC6B3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8" authorId="0" shapeId="0" xr:uid="{29FB92EA-E593-4E9E-A096-261C7ACB97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8" authorId="0" shapeId="0" xr:uid="{6FBC79AB-CD56-4D2A-A6ED-2948BD50EF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8" authorId="0" shapeId="0" xr:uid="{4C16FBFC-43DF-4CC8-88DF-E5DB6143B6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8" authorId="0" shapeId="0" xr:uid="{B2FB11C1-967E-46EE-A3B8-37642F5F7F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8" authorId="0" shapeId="0" xr:uid="{D40472CA-C73F-4976-A803-01AA6EB718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8" authorId="0" shapeId="0" xr:uid="{1B02F568-4DC3-4CF2-B6C6-7BE49C5DA7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8" authorId="0" shapeId="0" xr:uid="{1D204347-E9A6-4692-87A8-15FFE8F2A1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8" authorId="0" shapeId="0" xr:uid="{E7338962-2EBF-4D9A-AC0B-745D29DB5F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8" authorId="0" shapeId="0" xr:uid="{FE5198F6-8F8B-4F73-BBB2-C79B3F8F67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8" authorId="0" shapeId="0" xr:uid="{6F3FAAB1-13E8-470D-A7F0-F5284833A2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8" authorId="0" shapeId="0" xr:uid="{DE3A4FC9-FA6D-43E3-88C5-6C6075DC960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8" authorId="0" shapeId="0" xr:uid="{C15199BC-5668-4081-AC38-24B4DBBA3F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6" authorId="0" shapeId="0" xr:uid="{77DA1557-671D-4E68-A020-C0A56FE6CC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6" authorId="0" shapeId="0" xr:uid="{3C5BD6CA-688A-4BAA-9CEC-C6E214188AD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6" authorId="0" shapeId="0" xr:uid="{43F839D8-E1C0-43AE-85FF-0F9A668D40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6" authorId="0" shapeId="0" xr:uid="{E92A16B2-DF4E-4FB5-8742-7459A891B91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6" authorId="0" shapeId="0" xr:uid="{5BCD161C-7DA1-43CF-A62C-95B55D773F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6" authorId="0" shapeId="0" xr:uid="{0275F5BA-73AD-47C5-93E7-A129CB00B7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6" authorId="0" shapeId="0" xr:uid="{6A4B1E1C-89AB-49AC-BDB4-F024A97EB1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6" authorId="0" shapeId="0" xr:uid="{737415AE-B4FA-430C-8873-009C906D55D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6" authorId="0" shapeId="0" xr:uid="{B0513237-9578-4B9A-94C9-07ED1F1C36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6" authorId="0" shapeId="0" xr:uid="{566CC6F6-2F61-483C-BCE6-16094E5041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6" authorId="0" shapeId="0" xr:uid="{00129222-7F3B-497A-89D0-0C81CC6B22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6" authorId="0" shapeId="0" xr:uid="{24E95D31-9B13-4AA6-A5C9-01C52C33F1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7" authorId="0" shapeId="0" xr:uid="{75074939-0D49-448C-AB19-592AAFEF23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7" authorId="0" shapeId="0" xr:uid="{618645E1-BADA-4749-8FD3-C8C0314E00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7" authorId="0" shapeId="0" xr:uid="{BD6614F3-B01C-47C6-BA14-C8D3151FB7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7" authorId="0" shapeId="0" xr:uid="{0614432A-707E-4C96-8B5A-C83A40363B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7" authorId="0" shapeId="0" xr:uid="{DA4F4BE9-D4FB-4288-A585-B396D9B3A0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7" authorId="0" shapeId="0" xr:uid="{C8668489-9F98-4A06-A3F8-EF8FCC7DBA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7" authorId="0" shapeId="0" xr:uid="{927A6EE3-5260-43F6-96B6-1D32AC5BFB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7" authorId="0" shapeId="0" xr:uid="{26492387-1E0C-44A7-87CD-56AEFB41A8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7" authorId="0" shapeId="0" xr:uid="{ECA1DACE-D766-456F-89F6-F934CCF39A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7" authorId="0" shapeId="0" xr:uid="{09280239-AFD6-4EE1-BEDC-8C14AA801C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7" authorId="0" shapeId="0" xr:uid="{D2F43169-263F-4B3D-A0C7-E8B3D60F33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7" authorId="0" shapeId="0" xr:uid="{88B466FD-97EF-48C2-8D10-B4DEC58FA4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8" authorId="0" shapeId="0" xr:uid="{3883E44D-9FF8-4AF1-B90F-CBCECAA836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8" authorId="0" shapeId="0" xr:uid="{D97F0CF6-693D-44BA-83C9-9548A848ECA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8" authorId="0" shapeId="0" xr:uid="{BD67D49B-1F8C-443E-A79C-4B3E5B77091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8" authorId="0" shapeId="0" xr:uid="{D98EFA3C-8399-4765-A7B1-E103200F3FF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8" authorId="0" shapeId="0" xr:uid="{C7ACA32F-3BAB-4981-97B4-C38425D5C8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8" authorId="0" shapeId="0" xr:uid="{60763012-FEB4-4C44-95FB-4A1702BBD2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8" authorId="0" shapeId="0" xr:uid="{99848905-94C2-41F5-B1C5-4FC138999E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8" authorId="0" shapeId="0" xr:uid="{B1F76B13-2AA8-48DB-8886-BADB6B2B91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8" authorId="0" shapeId="0" xr:uid="{539E910E-1852-4666-970A-B3D3A4D5EA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8" authorId="0" shapeId="0" xr:uid="{8F2421F9-4E52-4838-A88C-608CB6D2EA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8" authorId="0" shapeId="0" xr:uid="{785C56E2-7BC5-4D4A-A6A8-38811D42D01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8" authorId="0" shapeId="0" xr:uid="{28906051-C9D0-4894-9232-394B40353F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1" authorId="0" shapeId="0" xr:uid="{36F441DE-571C-4D2A-9F5D-B7F17FC19C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1" authorId="0" shapeId="0" xr:uid="{29A727C9-0422-4291-902B-B30DA3941E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1" authorId="0" shapeId="0" xr:uid="{DA1B403D-CBBB-4BC2-BE82-3FF92AC2B9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1" authorId="0" shapeId="0" xr:uid="{2551C132-8292-4B0B-876F-4EFD6D2560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1" authorId="0" shapeId="0" xr:uid="{3984F797-B505-4708-874E-ECBABFFBD7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1" authorId="0" shapeId="0" xr:uid="{A62042A9-5D6B-4668-AFF1-ACFB66F907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1" authorId="0" shapeId="0" xr:uid="{D9C0B882-2A46-4230-B5E8-4E8D92D27C8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1" authorId="0" shapeId="0" xr:uid="{B525A692-528A-4DE5-B89F-0C6A6C0AE5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1" authorId="0" shapeId="0" xr:uid="{12F41D4F-A500-45E7-8762-1EB1E68A84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1" authorId="0" shapeId="0" xr:uid="{F31A651E-7D84-45F3-A2A3-90D40288FB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1" authorId="0" shapeId="0" xr:uid="{4A243875-46C2-43AF-B944-24EC6D3228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1" authorId="0" shapeId="0" xr:uid="{2B651988-33FE-4063-8C9B-1962F8BAD04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2" authorId="0" shapeId="0" xr:uid="{93AB61C4-9363-4D2C-8727-EC8A94E5AD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2" authorId="0" shapeId="0" xr:uid="{E573267C-8645-4D3E-BEE6-E84883F9B0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2" authorId="0" shapeId="0" xr:uid="{CE9D54D2-FCC3-4C0B-BCBB-921596B1A4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2" authorId="0" shapeId="0" xr:uid="{83C0A65B-EE96-4B4E-ACF5-353A9E8ADC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2" authorId="0" shapeId="0" xr:uid="{C3836B17-8411-4E33-8188-0A87F3E6E2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2" authorId="0" shapeId="0" xr:uid="{0B4DF66B-E0C4-4920-BB51-E5DF67180F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2" authorId="0" shapeId="0" xr:uid="{633467F9-B75A-40D3-808D-365C870BFC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2" authorId="0" shapeId="0" xr:uid="{4410337E-C229-4B15-8AE4-CC17837567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2" authorId="0" shapeId="0" xr:uid="{B658F86B-4086-4BE1-B2D5-A808A7F905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2" authorId="0" shapeId="0" xr:uid="{37B7C5DE-8C69-4E6E-B10D-A85C2E079B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2" authorId="0" shapeId="0" xr:uid="{04C1807B-22AA-4798-AC37-FDA03D45AE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2" authorId="0" shapeId="0" xr:uid="{0CB9F985-6340-438F-986A-A32998F139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7" authorId="0" shapeId="0" xr:uid="{DD4BAD1C-1CE3-47F1-ACA7-5BD00E1946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7" authorId="0" shapeId="0" xr:uid="{8E3D3948-13E0-4826-B8C4-37E09C8465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7" authorId="0" shapeId="0" xr:uid="{456435DD-1725-4290-8F78-EE0103F97C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7" authorId="0" shapeId="0" xr:uid="{29BE5527-B551-4EBE-B11E-14B178D4A9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7" authorId="0" shapeId="0" xr:uid="{8D7BBE81-8652-4956-B674-4E162F00C0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7" authorId="0" shapeId="0" xr:uid="{370C548C-489E-425B-9FFD-4D433B84268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7" authorId="0" shapeId="0" xr:uid="{A78DEC80-71A5-42F9-BA9D-205A2940A9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7" authorId="0" shapeId="0" xr:uid="{E7A4C3FB-2371-451D-9686-262ADAD33A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7" authorId="0" shapeId="0" xr:uid="{E6B4B990-8C3B-462D-B189-D2CB134E15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7" authorId="0" shapeId="0" xr:uid="{448E935B-3D11-46ED-9D34-3BDA1DD5F9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7" authorId="0" shapeId="0" xr:uid="{BEEEE6A3-23C1-4567-9F65-572A35CD88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7" authorId="0" shapeId="0" xr:uid="{8379A140-67B7-4B13-BD2B-7CFC69C5A8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3" authorId="0" shapeId="0" xr:uid="{BEFA1B49-9A83-498F-A998-73508CF510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3" authorId="0" shapeId="0" xr:uid="{0EEACB10-BF47-415A-A194-E647A74231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3" authorId="0" shapeId="0" xr:uid="{2E4D889C-6166-4970-B1D8-D4C341E736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3" authorId="0" shapeId="0" xr:uid="{67A2AACF-9123-4829-B439-7E7B67D227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3" authorId="0" shapeId="0" xr:uid="{CFF5C5E4-6115-49D9-AC7F-B01B958AD9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3" authorId="0" shapeId="0" xr:uid="{6E17E93D-3347-4207-A26C-7ADEB24BAA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3" authorId="0" shapeId="0" xr:uid="{651A81F0-3CE2-4B57-B29C-8E721A620A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3" authorId="0" shapeId="0" xr:uid="{42BD2B34-66C6-45B4-8CA5-21F1E98DFF5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3" authorId="0" shapeId="0" xr:uid="{2939EAA4-BC2D-4124-88DC-BD35F64C56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3" authorId="0" shapeId="0" xr:uid="{2822EB52-CE6C-4BB0-B63B-016726CC2C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3" authorId="0" shapeId="0" xr:uid="{5BA57B71-AC27-4C7D-8073-B5F95929D6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3" authorId="0" shapeId="0" xr:uid="{CB91B97F-AAC5-4C2F-948F-225D59073C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4" authorId="0" shapeId="0" xr:uid="{808F7824-9CD5-4596-A579-C64DBFE9C9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4" authorId="0" shapeId="0" xr:uid="{AFC25BDA-19B0-44F6-80FC-7EF8723B37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4" authorId="0" shapeId="0" xr:uid="{77B84FEC-6BC5-49AD-925A-142244206E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4" authorId="0" shapeId="0" xr:uid="{9FE983A6-1F71-4152-BED2-43E9904782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4" authorId="0" shapeId="0" xr:uid="{667BC5CD-4E72-4F76-9DF1-2A77831983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4" authorId="0" shapeId="0" xr:uid="{B87092EF-9D5C-4170-B495-AC91AF06AD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4" authorId="0" shapeId="0" xr:uid="{F93D8B3A-7787-4877-87DE-FA3CE3D2D7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4" authorId="0" shapeId="0" xr:uid="{E1AD37E2-6444-4AAB-B17B-6C11CE435C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4" authorId="0" shapeId="0" xr:uid="{F22D2138-642C-40E8-A4E3-F2AB7C4260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4" authorId="0" shapeId="0" xr:uid="{9A4A026B-5960-4751-87BF-1B33AD3E26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4" authorId="0" shapeId="0" xr:uid="{8DBEB7B2-4E95-4B8A-AFD0-D14741D8CE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4" authorId="0" shapeId="0" xr:uid="{787D510C-02E0-406B-B56F-98DBD80571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5" authorId="0" shapeId="0" xr:uid="{BE5E5075-B378-45B7-9897-40DD52A4C7E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5" authorId="0" shapeId="0" xr:uid="{0B215E1A-83AD-4B45-B9D1-217F70977B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5" authorId="0" shapeId="0" xr:uid="{FB10E278-3B03-4BA2-8B02-C30ED93368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5" authorId="0" shapeId="0" xr:uid="{D290E8FF-27B8-4B39-B5FD-6B2C4B884B2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5" authorId="0" shapeId="0" xr:uid="{24901CC7-C8FF-45D5-9347-F974B9010D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5" authorId="0" shapeId="0" xr:uid="{84068282-88CF-46C5-912E-47D290ABA9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5" authorId="0" shapeId="0" xr:uid="{097B06C7-6E6A-4B3D-BBE3-41417FD790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5" authorId="0" shapeId="0" xr:uid="{A6157DDE-D605-4372-A339-8993566B96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5" authorId="0" shapeId="0" xr:uid="{8B997D91-B321-40BA-98FC-5F642AFFB6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5" authorId="0" shapeId="0" xr:uid="{34739A4A-4B98-48FF-A19F-AFC9C639CC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5" authorId="0" shapeId="0" xr:uid="{DDD10FE3-55BB-4F52-9B9D-59DCDA207F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5" authorId="0" shapeId="0" xr:uid="{D6BC3401-371F-44A4-8D58-0A508F4349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6" authorId="0" shapeId="0" xr:uid="{91094173-3459-4696-92B0-D3AEA99B4E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6" authorId="0" shapeId="0" xr:uid="{530C3D77-8DCD-4339-9332-CC74114528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6" authorId="0" shapeId="0" xr:uid="{7F901A42-3CA1-4400-9F61-95F50E7B86A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6" authorId="0" shapeId="0" xr:uid="{6A7EE76D-1A1D-42C6-8C9E-07822154E9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6" authorId="0" shapeId="0" xr:uid="{EEACD921-A59F-4FD1-BAD4-1539C12D19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6" authorId="0" shapeId="0" xr:uid="{D834D8B9-A17C-47AE-9BC5-70FE01AFB0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6" authorId="0" shapeId="0" xr:uid="{29067CD8-6BED-4E59-BC43-32C4C0EDD9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6" authorId="0" shapeId="0" xr:uid="{4E98909C-A863-4B9D-B219-5716ABCEE7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6" authorId="0" shapeId="0" xr:uid="{E5D4BB46-834A-41A2-9B3D-F9E965F678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6" authorId="0" shapeId="0" xr:uid="{A3488448-73DB-411E-9D1F-C63D2ADA3A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6" authorId="0" shapeId="0" xr:uid="{45FC3558-39C8-48F5-94CE-65152E537E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6" authorId="0" shapeId="0" xr:uid="{D2354427-9AB6-46F7-8D64-B0C1744F845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7" authorId="0" shapeId="0" xr:uid="{879DB47E-1C07-425B-9A99-C6547849F9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7" authorId="0" shapeId="0" xr:uid="{D8821BF0-1537-4D7A-80F1-2A98B4D2D1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7" authorId="0" shapeId="0" xr:uid="{E22CC72B-7456-4559-AC73-A3DD1055BF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7" authorId="0" shapeId="0" xr:uid="{8478D637-0F57-415E-8492-DF16D8B306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7" authorId="0" shapeId="0" xr:uid="{7ED9FC07-8467-4E0A-9F11-162F89875A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7" authorId="0" shapeId="0" xr:uid="{52E3F946-2A2F-45FE-AE9F-01AEDA094D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7" authorId="0" shapeId="0" xr:uid="{50098861-B5D9-484B-9C55-A36D027737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7" authorId="0" shapeId="0" xr:uid="{AA1BDA7B-3447-4F64-ABE4-C90CC7F0C7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7" authorId="0" shapeId="0" xr:uid="{DD3CEEFF-600F-4156-A5A2-C98E87C1008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7" authorId="0" shapeId="0" xr:uid="{B85ED6A8-F32C-4D5A-8D55-216C13F387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7" authorId="0" shapeId="0" xr:uid="{0F97392A-BE57-42CF-B75F-E45650586B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7" authorId="0" shapeId="0" xr:uid="{6A67E20B-AE5E-4062-B7F7-801250351A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0" authorId="0" shapeId="0" xr:uid="{DB3B5A36-D6FF-49C3-A4C5-D9F6E9C54D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0" authorId="0" shapeId="0" xr:uid="{BA907F59-1D1F-4085-855C-30D5ECCD3D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0" authorId="0" shapeId="0" xr:uid="{ACC5DAC7-EC6C-4658-AB81-228EF2C8A6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0" authorId="0" shapeId="0" xr:uid="{D5620065-C960-45F1-B7B2-7D8AD69AEB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0" authorId="0" shapeId="0" xr:uid="{364E6EE9-9184-4EA2-A00C-00ECD6CBC6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0" authorId="0" shapeId="0" xr:uid="{1BC5237D-E0F9-4AE1-AA41-7B3B6DF998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0" authorId="0" shapeId="0" xr:uid="{06327AA9-CC59-47B8-9DCE-ECBCA67E25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0" authorId="0" shapeId="0" xr:uid="{E8F64049-1076-4419-B813-9568572C83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0" authorId="0" shapeId="0" xr:uid="{DB36BE46-090B-49A4-9F87-3B78A181E4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0" authorId="0" shapeId="0" xr:uid="{C1BFA9E5-F06C-4708-A87E-9EB6F12BAE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0" authorId="0" shapeId="0" xr:uid="{6D412B1A-D555-46DA-811E-0AC5B04FED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0" authorId="0" shapeId="0" xr:uid="{AD822574-C816-4618-BCA4-F703CC9563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1" authorId="0" shapeId="0" xr:uid="{4AA4AEA1-3185-4DC0-BFD2-FFEED3849E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1" authorId="0" shapeId="0" xr:uid="{D7D0B914-917D-4ABE-9FD7-D60021562E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1" authorId="0" shapeId="0" xr:uid="{3A98720D-B0E1-408D-8A76-F6FF73A82D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1" authorId="0" shapeId="0" xr:uid="{97EFCEC0-EEB2-4CB1-A14C-EE28292DF8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1" authorId="0" shapeId="0" xr:uid="{4830BD41-1CA1-40BB-A989-B33917DF89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1" authorId="0" shapeId="0" xr:uid="{0B8C61AD-8DE6-496D-9AA3-C406663576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1" authorId="0" shapeId="0" xr:uid="{9FCDD9A6-5617-4A96-ABEE-80E540B4F4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1" authorId="0" shapeId="0" xr:uid="{9A372758-5565-499E-85B6-325FCFB3A1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1" authorId="0" shapeId="0" xr:uid="{5222CC08-6B99-4329-93D0-314E16A5021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1" authorId="0" shapeId="0" xr:uid="{D3A93DB3-822B-4D03-B9B4-A3EB15D85D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1" authorId="0" shapeId="0" xr:uid="{B8AC6F7D-23AC-46CD-B192-A6D30F1BD1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1" authorId="0" shapeId="0" xr:uid="{9F5EA5E5-DADB-4EFA-B483-27EFF63F69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2" authorId="0" shapeId="0" xr:uid="{ED3FEBB5-38D6-44EE-833F-FBA8AB70F4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2" authorId="0" shapeId="0" xr:uid="{281D1E88-8088-4352-B718-19305FD385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2" authorId="0" shapeId="0" xr:uid="{55BFF7D6-B21C-4377-BBE1-0A633FE2E9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2" authorId="0" shapeId="0" xr:uid="{FF07BF15-9008-4D3C-9546-114B0CA582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2" authorId="0" shapeId="0" xr:uid="{98AB7608-EFC7-442A-8326-98397DDA77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2" authorId="0" shapeId="0" xr:uid="{52811456-AF31-428C-92F8-2F7B9C3885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2" authorId="0" shapeId="0" xr:uid="{7010FB94-A455-4054-BE7E-F06057E31D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2" authorId="0" shapeId="0" xr:uid="{D409D995-2F6A-434C-9D62-4E5FB179E3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2" authorId="0" shapeId="0" xr:uid="{0EC828FB-5163-4809-B190-EFC9EF4CB7B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2" authorId="0" shapeId="0" xr:uid="{9F069295-B4CD-4277-9BC0-66F48C841C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2" authorId="0" shapeId="0" xr:uid="{C4AB9FD9-96E9-436A-B6CE-81F937C8806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2" authorId="0" shapeId="0" xr:uid="{AF11FA82-B561-4CC5-9C8D-D5F54ED422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9" authorId="0" shapeId="0" xr:uid="{88732F3D-6ADE-4F58-AB5A-8CF4C0D2E3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9" authorId="0" shapeId="0" xr:uid="{D4E5AD72-5219-4384-BC9C-A566E85D9D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9" authorId="0" shapeId="0" xr:uid="{E577D1DB-43BF-449E-A074-8B6D76A960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9" authorId="0" shapeId="0" xr:uid="{8E34608F-F97A-4309-A94D-47D5C71C4F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9" authorId="0" shapeId="0" xr:uid="{A961417F-86AA-4F9C-A0A9-54B96A7CE9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9" authorId="0" shapeId="0" xr:uid="{8DA8C48E-7AE2-4A9C-8674-CC5FEE75E5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9" authorId="0" shapeId="0" xr:uid="{E5443EAA-795B-4ACB-AF2A-70A3DF8BFA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9" authorId="0" shapeId="0" xr:uid="{0ACF2733-BB9B-4E3C-9E19-9FB3EB1FC9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9" authorId="0" shapeId="0" xr:uid="{6E4E6AEF-8947-43A1-BC4D-D18E65C464D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9" authorId="0" shapeId="0" xr:uid="{197B7836-2E5F-46A8-AC67-8DB1945A16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9" authorId="0" shapeId="0" xr:uid="{3DC2983F-349B-49F9-B0DA-477D95EEDBD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9" authorId="0" shapeId="0" xr:uid="{ADC66DAC-75CF-4DE6-A55D-03F1160EF2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0" authorId="0" shapeId="0" xr:uid="{FD359065-1216-442A-8E08-1313456CD94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0" authorId="0" shapeId="0" xr:uid="{27707A19-CF50-4650-AECF-5292E814FE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0" authorId="0" shapeId="0" xr:uid="{BAB28F6B-288C-4C3D-A5AD-09BB4D0CD0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0" authorId="0" shapeId="0" xr:uid="{5E887859-4DB4-4F22-A6B1-3E62B5908A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0" authorId="0" shapeId="0" xr:uid="{690D37F0-5C9F-4CCB-B4F1-739ECC77AE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0" authorId="0" shapeId="0" xr:uid="{BAE5185A-CD2A-4D95-934A-51317DCAF33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0" authorId="0" shapeId="0" xr:uid="{D51AA1D9-F8D7-4A9B-843C-48C5A205B5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0" authorId="0" shapeId="0" xr:uid="{ACBA783C-BE6F-4846-9AB4-CF39A06973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0" authorId="0" shapeId="0" xr:uid="{EB10FD63-CFB2-4D3E-B6CE-046E620BE8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0" authorId="0" shapeId="0" xr:uid="{E51FB804-067B-410D-BD7C-DEB98E0A80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0" authorId="0" shapeId="0" xr:uid="{43383490-11E3-438A-B4D4-676CF663E7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0" authorId="0" shapeId="0" xr:uid="{21864387-FCE2-4E83-86CF-FBE470FECB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2" authorId="0" shapeId="0" xr:uid="{27710BEE-48D8-4C01-9E42-9B95FDFFCB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2" authorId="0" shapeId="0" xr:uid="{72AFA7CA-5F4D-4EB0-81E7-17F3F522B8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2" authorId="0" shapeId="0" xr:uid="{603BF0E1-6C4A-4B4B-999C-BEDB282C95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2" authorId="0" shapeId="0" xr:uid="{D3CC1B6E-E4BC-4D13-8257-483D17B1751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2" authorId="0" shapeId="0" xr:uid="{0F8F7997-4E40-4FB0-B035-B6CCDF7E80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2" authorId="0" shapeId="0" xr:uid="{A96FF9C8-3DBF-49A3-89C3-DB3306D33E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2" authorId="0" shapeId="0" xr:uid="{9F955438-D0D5-40AF-BF16-49956C4735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2" authorId="0" shapeId="0" xr:uid="{EEAE8CE8-969D-427C-BDB5-B8E2CF75D7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2" authorId="0" shapeId="0" xr:uid="{D66CA23F-A04A-4700-9081-9D18837F77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2" authorId="0" shapeId="0" xr:uid="{12F34BD5-4660-4DAD-A545-CCC99202BB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2" authorId="0" shapeId="0" xr:uid="{000B31EF-EA6C-4738-87DD-209A371BDD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2" authorId="0" shapeId="0" xr:uid="{B6F28823-E9AF-4C71-890A-6DE49295342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3" authorId="0" shapeId="0" xr:uid="{965FA154-2283-4DCD-A257-BFB47165F4B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3" authorId="0" shapeId="0" xr:uid="{F45F9630-DCFA-46CA-988E-0D301F3D91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3" authorId="0" shapeId="0" xr:uid="{05A34515-481A-436C-89D1-CD6190E1C5A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3" authorId="0" shapeId="0" xr:uid="{12FE8874-9623-4A02-AD09-8395B1EF9D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3" authorId="0" shapeId="0" xr:uid="{FE6C81DC-185F-412B-BE52-8B419BD819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3" authorId="0" shapeId="0" xr:uid="{1C6336F5-5C37-4D79-9E5B-A5B4E732A52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3" authorId="0" shapeId="0" xr:uid="{96BC32E3-32FA-4ACD-A0B2-911698D13E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3" authorId="0" shapeId="0" xr:uid="{DBA797BB-9C64-4266-B7AB-3DCE3D9412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3" authorId="0" shapeId="0" xr:uid="{557A8598-0147-45E6-8A89-B1787E2777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3" authorId="0" shapeId="0" xr:uid="{02653F02-AA87-4348-8D85-8F1153FBF8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3" authorId="0" shapeId="0" xr:uid="{562AE922-7A0A-4914-8708-BEA29CAB0C4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3" authorId="0" shapeId="0" xr:uid="{A507A8CF-A2CC-45E3-AE60-DED405AF4A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4" authorId="0" shapeId="0" xr:uid="{31CCC929-F06C-4A9F-B8E4-88F56AFDED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4" authorId="0" shapeId="0" xr:uid="{249FCE44-FD1A-42C8-8F4C-7039F9297F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4" authorId="0" shapeId="0" xr:uid="{6AD780A9-307B-40FD-8459-4D53DF1E73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4" authorId="0" shapeId="0" xr:uid="{1428A153-0AA6-45BE-872F-5953AA0604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4" authorId="0" shapeId="0" xr:uid="{399DEF77-B79C-48C7-AA6D-94BC3864B2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4" authorId="0" shapeId="0" xr:uid="{DF706F20-5981-445A-93FC-FB90B2B781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4" authorId="0" shapeId="0" xr:uid="{302D2E2D-AFE6-436F-A2D5-6A4367042C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4" authorId="0" shapeId="0" xr:uid="{B0AFD2DD-2B43-4B74-950F-DA083397DD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4" authorId="0" shapeId="0" xr:uid="{EAB862FC-BED3-4AA4-AA30-15D3E40DA9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4" authorId="0" shapeId="0" xr:uid="{59C11F06-4209-4D4C-BD66-A4F8AAB4B9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4" authorId="0" shapeId="0" xr:uid="{8B306D30-7C53-4036-9AE1-26C7967312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4" authorId="0" shapeId="0" xr:uid="{BE280611-CDEB-49B5-860B-64ADBF8CAB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5" authorId="0" shapeId="0" xr:uid="{095B5BBF-012A-4646-A081-827DE63E49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5" authorId="0" shapeId="0" xr:uid="{137AFE4B-C1BB-44E2-A95A-7FA4891FB8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5" authorId="0" shapeId="0" xr:uid="{BB8B9CE3-6F13-4AEC-AE89-EB4710938C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5" authorId="0" shapeId="0" xr:uid="{EA3F1B1F-AF84-4201-A2B4-E91DD591FA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5" authorId="0" shapeId="0" xr:uid="{B421D975-376C-483D-B76B-9E672EE811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5" authorId="0" shapeId="0" xr:uid="{F0A828F6-7099-4214-8D7E-E1C18B4F0B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5" authorId="0" shapeId="0" xr:uid="{AEFEB645-BE5A-4B78-8705-87D51EACB1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5" authorId="0" shapeId="0" xr:uid="{3D8773CC-6B63-44C8-8843-01E938D9D0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5" authorId="0" shapeId="0" xr:uid="{9EFBDAD1-BD2C-4DB5-A2A9-CD0D66773E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5" authorId="0" shapeId="0" xr:uid="{F3C89F26-FC97-4B40-B335-69CCF9C709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5" authorId="0" shapeId="0" xr:uid="{49C0E9C6-BED5-4C32-AD47-4CCEB5BE0C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5" authorId="0" shapeId="0" xr:uid="{588DFF9E-CB17-4906-8B27-94F401F456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9" authorId="0" shapeId="0" xr:uid="{A7E6A781-9A95-4B18-9DE9-251712054B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9" authorId="0" shapeId="0" xr:uid="{16572EE1-96CC-4852-9E27-6AF0341E92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9" authorId="0" shapeId="0" xr:uid="{F5E6C6E2-DF68-4D31-BAEB-6866F97EB6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9" authorId="0" shapeId="0" xr:uid="{D7B3611D-D4A7-4083-A9C2-7A47BC54F8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9" authorId="0" shapeId="0" xr:uid="{CB1CCD04-7C75-4F55-898D-FE7C353BF2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9" authorId="0" shapeId="0" xr:uid="{AB0A61C3-46D1-4FF6-B9FB-9209D521BB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9" authorId="0" shapeId="0" xr:uid="{32B07F13-F23E-411F-9D02-4F69284C63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9" authorId="0" shapeId="0" xr:uid="{D215D0E2-9F6C-4B53-91FA-E5FF34C164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9" authorId="0" shapeId="0" xr:uid="{4197E469-73FD-4F19-A708-5E5A72AC39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9" authorId="0" shapeId="0" xr:uid="{7C3B673A-A3CE-4B13-907F-43E7689A6D9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9" authorId="0" shapeId="0" xr:uid="{AC956DD9-5ECB-4EA6-8BAC-8F9BA02FD5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9" authorId="0" shapeId="0" xr:uid="{65D37092-399F-4BAE-A069-33AA4EA73D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0" authorId="0" shapeId="0" xr:uid="{14D71E1E-01BB-4AAD-99C7-6E68C9710B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0" authorId="0" shapeId="0" xr:uid="{2FD7A1E9-68B4-4B36-A3F4-B7366C75B2B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0" authorId="0" shapeId="0" xr:uid="{F657BDC8-1FBC-4B1C-9933-24512E644C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0" authorId="0" shapeId="0" xr:uid="{05889637-8012-4B9A-A807-0D4EEEE0E8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0" authorId="0" shapeId="0" xr:uid="{E10855A6-888D-474C-A3B7-5DC6D96AA6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0" authorId="0" shapeId="0" xr:uid="{23E8C9AB-4F11-4D7D-A2CD-0D101BDEC0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0" authorId="0" shapeId="0" xr:uid="{598C28B7-FC0E-4C1E-8298-A3028BD4BA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0" authorId="0" shapeId="0" xr:uid="{B95F8752-6C73-4C6C-A621-5F39A0C003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0" authorId="0" shapeId="0" xr:uid="{5E57AC21-CC6D-4308-BFFB-B9E2D13CBF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0" authorId="0" shapeId="0" xr:uid="{251208D4-DEBB-4F23-894A-21E24C8ACF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0" authorId="0" shapeId="0" xr:uid="{FBD19A4D-91D3-41DA-BB0B-AAED867BC9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0" authorId="0" shapeId="0" xr:uid="{8755C164-076E-4CFA-A759-9DAC8DF4E64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4" authorId="0" shapeId="0" xr:uid="{597436A8-8970-44F5-A098-F8FADF10A9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4" authorId="0" shapeId="0" xr:uid="{CABF8578-1393-45BA-9828-3944D20896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4" authorId="0" shapeId="0" xr:uid="{66B9C6E6-51A8-4DE4-8829-F2BB4D19B4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4" authorId="0" shapeId="0" xr:uid="{062042CC-D396-4070-AE19-1ADB03F15A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4" authorId="0" shapeId="0" xr:uid="{C07E094F-582D-45EC-87D2-97BDF8A5A3D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4" authorId="0" shapeId="0" xr:uid="{DC2A512C-9A4A-4C22-99BB-0010BA78C1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4" authorId="0" shapeId="0" xr:uid="{10E42509-0DD3-4FE4-AE8B-A74D6FFC15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4" authorId="0" shapeId="0" xr:uid="{2DFCDC44-EC26-4063-BAF7-0658D89294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4" authorId="0" shapeId="0" xr:uid="{611D4246-6911-4DBC-8CC4-A35E40DA8D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4" authorId="0" shapeId="0" xr:uid="{6C175CF2-927E-4BCF-A5D7-494412883D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4" authorId="0" shapeId="0" xr:uid="{3C83BEF3-3510-49C2-A033-0890FABD24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4" authorId="0" shapeId="0" xr:uid="{ABA79881-8C24-4CD6-B1F2-CAC2F63469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5" authorId="0" shapeId="0" xr:uid="{8A6514A5-77CF-4EEC-BEBF-D39B32B977F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5" authorId="0" shapeId="0" xr:uid="{E509AAE7-B980-4CD9-A437-D488B06CDA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5" authorId="0" shapeId="0" xr:uid="{C4DB2CDF-99CB-44AB-85D0-331F385B52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5" authorId="0" shapeId="0" xr:uid="{A6DE9B66-DD97-4CFD-9539-ECE4830B2E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5" authorId="0" shapeId="0" xr:uid="{AD52D850-C74D-4E35-AE82-E1D7F20317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5" authorId="0" shapeId="0" xr:uid="{50775384-A9BE-4E15-9D01-2285A63C3A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5" authorId="0" shapeId="0" xr:uid="{25060883-F322-4386-8175-73974B0D4B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5" authorId="0" shapeId="0" xr:uid="{E610B51F-2224-4A64-87E0-1D16736CD0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5" authorId="0" shapeId="0" xr:uid="{3DACFFD2-AAC9-4613-88DF-9427289745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5" authorId="0" shapeId="0" xr:uid="{BAA92E08-FD7E-4A86-9202-3D7A7DA656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5" authorId="0" shapeId="0" xr:uid="{3FA22B3E-42D2-4C52-A411-686E9EE09F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5" authorId="0" shapeId="0" xr:uid="{6DAC2976-95CB-453E-A650-5F41BEEB88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9" authorId="0" shapeId="0" xr:uid="{1DD773AE-7F62-4068-8560-FCF3468394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9" authorId="0" shapeId="0" xr:uid="{5E72A201-C310-4494-A49D-7DDA37FD60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9" authorId="0" shapeId="0" xr:uid="{848C0594-F224-46E0-B59A-EA54839D10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9" authorId="0" shapeId="0" xr:uid="{7F4F9A36-1DA7-4C87-A8E3-52B14E2407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9" authorId="0" shapeId="0" xr:uid="{7C103AF1-A86C-4C2F-B372-B1CABD0E2E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9" authorId="0" shapeId="0" xr:uid="{981EB493-AC06-4045-80A0-CC0931F968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9" authorId="0" shapeId="0" xr:uid="{353AD0EB-42C8-437D-8638-8606D8CFE8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9" authorId="0" shapeId="0" xr:uid="{AC1C24D3-BFFC-44BF-B66E-F60B22A556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9" authorId="0" shapeId="0" xr:uid="{4159304C-14CA-4D18-BE2D-AB4626F5D2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9" authorId="0" shapeId="0" xr:uid="{B8133FAA-5266-4D65-9201-4D2A56FCE03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9" authorId="0" shapeId="0" xr:uid="{0E084317-8D68-49D7-8880-CA43ED1038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9" authorId="0" shapeId="0" xr:uid="{DB7AF15E-A731-48A6-A761-CAC5BB03F4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0" authorId="0" shapeId="0" xr:uid="{83AF1AB0-E414-4C6F-A4EB-7EA6CF39801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0" authorId="0" shapeId="0" xr:uid="{F0FC293E-5FAC-485C-969D-FC89BC1D3C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0" authorId="0" shapeId="0" xr:uid="{1914B4D2-21B2-4606-89A4-AFCEDFC2E1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0" authorId="0" shapeId="0" xr:uid="{1957DD6A-00B0-4773-B218-E35BE39AA7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0" authorId="0" shapeId="0" xr:uid="{129CEAF1-2146-40EF-94CE-376AC4E8E8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0" authorId="0" shapeId="0" xr:uid="{E8D79C89-4AC6-4BA3-B1B6-6DB84EBDA6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0" authorId="0" shapeId="0" xr:uid="{FE5707CE-DE9E-4CBA-ABF6-84593BA958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0" authorId="0" shapeId="0" xr:uid="{C6171EBC-F079-45F8-A989-BD594C2640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0" authorId="0" shapeId="0" xr:uid="{FC5AE56C-438A-4AB6-AFE0-5320227510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0" authorId="0" shapeId="0" xr:uid="{A701366C-8E92-47C5-873B-1E0CA70116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0" authorId="0" shapeId="0" xr:uid="{856CD4BD-75BF-4835-B22D-B8AC86ACF6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0" authorId="0" shapeId="0" xr:uid="{62860698-8DF2-4F29-B07A-104E964307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2" authorId="0" shapeId="0" xr:uid="{6F95A57D-6C3B-4921-93AA-BCCBECEC7F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2" authorId="0" shapeId="0" xr:uid="{C584B611-7657-4FA7-BD15-C8161856EFF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2" authorId="0" shapeId="0" xr:uid="{27167DEF-1F29-4434-A536-D864BFA865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2" authorId="0" shapeId="0" xr:uid="{0D27F82B-B523-4EF6-B050-B2CD4F5ACA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2" authorId="0" shapeId="0" xr:uid="{FD522C0C-8AA6-49D6-B620-E2ECF3DCCF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2" authorId="0" shapeId="0" xr:uid="{3EFA432F-0AD0-4468-97DC-5A768EFD50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2" authorId="0" shapeId="0" xr:uid="{EC6F3761-F27A-423E-9DE5-23FF0DF7C2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2" authorId="0" shapeId="0" xr:uid="{B8120AC1-38C0-4E00-98DE-3160D48134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2" authorId="0" shapeId="0" xr:uid="{1A384C28-1E28-4615-97B3-9C54763557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2" authorId="0" shapeId="0" xr:uid="{5941EA26-D0C7-4451-BC48-99488D8E60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2" authorId="0" shapeId="0" xr:uid="{C3C244BB-7A97-483F-A698-41AC83D5AB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2" authorId="0" shapeId="0" xr:uid="{C770C3BB-1E00-43F5-B671-A635F7D995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3" authorId="0" shapeId="0" xr:uid="{C9EC424A-8205-4771-A7CD-C2DA970182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3" authorId="0" shapeId="0" xr:uid="{8B01FE6C-21C6-4327-AECD-AF54DDFC74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3" authorId="0" shapeId="0" xr:uid="{E01B1422-EBBB-4EB5-AB9E-F1C5A46EA7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3" authorId="0" shapeId="0" xr:uid="{B18143C0-A89A-429A-AD86-35BD01EE57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3" authorId="0" shapeId="0" xr:uid="{980143DD-B997-4A0B-AAEB-94FD81946C5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3" authorId="0" shapeId="0" xr:uid="{FD136D88-3BE7-4653-B3F5-F7441456A9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3" authorId="0" shapeId="0" xr:uid="{E32DB60B-1F58-430D-8822-6CD5792498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3" authorId="0" shapeId="0" xr:uid="{33E91C66-6262-49E4-9A47-26734B5316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3" authorId="0" shapeId="0" xr:uid="{B3E2BC6C-0BC5-4029-BF2B-4C727E9F3A4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3" authorId="0" shapeId="0" xr:uid="{7DBAE81B-AC60-42D7-AF2A-FBF28326F8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3" authorId="0" shapeId="0" xr:uid="{42AD631A-C5CC-4441-B431-66638F7562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3" authorId="0" shapeId="0" xr:uid="{417B0E0E-2BD7-49C3-A2CC-08AE49EEEA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7" authorId="0" shapeId="0" xr:uid="{757EC632-94A8-4DDF-88F5-E5352D7CB3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7" authorId="0" shapeId="0" xr:uid="{BED089B7-4A10-4BB0-90C8-8EF04D6B783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7" authorId="0" shapeId="0" xr:uid="{49EDF4C5-9F36-4C29-9D29-8B4B428D9D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7" authorId="0" shapeId="0" xr:uid="{D4E4B0C4-4AE2-4ED3-9EC5-DED6D1CDD7F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7" authorId="0" shapeId="0" xr:uid="{68844A36-6FD7-4310-9DFA-EEFB8C78FF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7" authorId="0" shapeId="0" xr:uid="{5E24F89E-81E3-4573-AAC2-0ADFAF2863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7" authorId="0" shapeId="0" xr:uid="{7D54892B-3E42-44E4-99A6-7C10F34D422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7" authorId="0" shapeId="0" xr:uid="{E85F2E3C-2233-4E90-8026-B3BBC90849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7" authorId="0" shapeId="0" xr:uid="{CBB56CE1-421F-4811-BA3E-0C75268BD2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7" authorId="0" shapeId="0" xr:uid="{9A4275CA-BCE2-4AE1-B2CC-890A7098108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7" authorId="0" shapeId="0" xr:uid="{3B8262D6-6FBE-4CB3-A052-D3BAF3629A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7" authorId="0" shapeId="0" xr:uid="{FD6A9988-FB4D-4FAF-B927-8F194CC72E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0" authorId="0" shapeId="0" xr:uid="{C1D0B23D-5898-4028-9E8C-0352569DC8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0" authorId="0" shapeId="0" xr:uid="{12D2B1BF-1835-413E-BA65-F23DF64D19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0" authorId="0" shapeId="0" xr:uid="{DED0DEB1-CAFB-47F0-B658-2BF85BE92C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0" authorId="0" shapeId="0" xr:uid="{93B59EC5-27D0-4735-952D-3509A491D1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0" authorId="0" shapeId="0" xr:uid="{1D7C4BE6-07DB-4315-985C-3BC7F21D11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0" authorId="0" shapeId="0" xr:uid="{5243E54F-8565-4876-ACB4-F1B403C02C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0" authorId="0" shapeId="0" xr:uid="{C7B6FCB7-8620-4D1F-A984-A8EED6976E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0" authorId="0" shapeId="0" xr:uid="{BCCF6FA3-3327-4FEE-BEC4-F6A6FF9AA0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0" authorId="0" shapeId="0" xr:uid="{D3FA3AA2-D62B-4FD7-BDE5-4A345B683B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0" authorId="0" shapeId="0" xr:uid="{4F139FD0-4B37-4840-9A44-0DA4434637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0" authorId="0" shapeId="0" xr:uid="{1CFE7050-5710-4E56-A140-7EF40A4DC8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0" authorId="0" shapeId="0" xr:uid="{CD0F92F6-EB39-400D-9A8B-9695B0E721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1" authorId="0" shapeId="0" xr:uid="{9DAB7397-747D-45F9-AB9B-FA1A958951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1" authorId="0" shapeId="0" xr:uid="{45443119-E71E-4951-A273-5C7E496E46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1" authorId="0" shapeId="0" xr:uid="{7141D064-C79C-4B50-841E-C0FC5DB7BC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1" authorId="0" shapeId="0" xr:uid="{A3AAFF35-6375-4F7A-A91E-4EE6E104B78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1" authorId="0" shapeId="0" xr:uid="{674FAD47-00B2-405B-BF09-5C73CF8775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1" authorId="0" shapeId="0" xr:uid="{65B739C4-C218-494E-B73E-154774162E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1" authorId="0" shapeId="0" xr:uid="{6295E6F3-BF70-43E2-AB54-E57EF84C38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1" authorId="0" shapeId="0" xr:uid="{CC5A5519-097A-420C-9B03-6B93EB47BF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1" authorId="0" shapeId="0" xr:uid="{654657A3-FEF0-4116-ADA1-49731AC9CA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1" authorId="0" shapeId="0" xr:uid="{C6C34B1E-650F-431C-A768-19A4EBAC6D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1" authorId="0" shapeId="0" xr:uid="{C2DDAECE-2E2B-4203-9959-278BE0364E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1" authorId="0" shapeId="0" xr:uid="{C63674F6-A101-4370-A410-BEB5BE38E0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2" authorId="0" shapeId="0" xr:uid="{AF429DE6-3ABB-49CF-80A7-F9D0E72507C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2" authorId="0" shapeId="0" xr:uid="{F990F382-0A85-4DCE-B9FD-3FDEE6DF2E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2" authorId="0" shapeId="0" xr:uid="{342FF796-3DF7-4094-B9DA-DF5495E586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2" authorId="0" shapeId="0" xr:uid="{7BA9C9CF-092F-4E44-B3CB-7CB728F4F7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2" authorId="0" shapeId="0" xr:uid="{0F7B71BE-F1F4-40F2-9E78-189244C1794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2" authorId="0" shapeId="0" xr:uid="{A28A46AC-3DED-420B-8E00-1EFDC83431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2" authorId="0" shapeId="0" xr:uid="{F482F092-B7DE-4BD7-98DF-B390379ED5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2" authorId="0" shapeId="0" xr:uid="{889EE730-CF72-4DF1-80FE-43045D7006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2" authorId="0" shapeId="0" xr:uid="{2B2C65EA-E36A-48A8-B829-4F9B1C2E69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2" authorId="0" shapeId="0" xr:uid="{81B4EF5F-D2E8-4437-AF51-481B55F7C0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2" authorId="0" shapeId="0" xr:uid="{14B0D789-AE10-47DC-A271-22DD6DDA8A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2" authorId="0" shapeId="0" xr:uid="{F59C5FDD-9D23-4377-A28F-64F29AD639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4" authorId="0" shapeId="0" xr:uid="{06B448A7-5315-4C78-8F10-154EDDE3BC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4" authorId="0" shapeId="0" xr:uid="{D1BC83F2-60D3-41F8-8C01-E14BE1C6AD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4" authorId="0" shapeId="0" xr:uid="{6A78E142-E81D-4F55-8193-B76FF7A9B6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4" authorId="0" shapeId="0" xr:uid="{0DDE9A12-62BF-443A-809E-EF8534FFB0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4" authorId="0" shapeId="0" xr:uid="{D589125A-93CD-433C-A510-6A346EFDEAF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4" authorId="0" shapeId="0" xr:uid="{2827D222-BBED-4F9A-969A-1E4BA06020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4" authorId="0" shapeId="0" xr:uid="{86E2C26B-6F00-4CD4-9DA3-353B2941C4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4" authorId="0" shapeId="0" xr:uid="{B08B861C-52B2-4BAA-B33A-3818886BA3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4" authorId="0" shapeId="0" xr:uid="{494EFFF7-4848-4689-8F44-8158FED50E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4" authorId="0" shapeId="0" xr:uid="{EC008F28-7B94-480A-B67B-B618D3654F8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4" authorId="0" shapeId="0" xr:uid="{C34A2864-278A-4EF4-8C04-5CD9689695F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4" authorId="0" shapeId="0" xr:uid="{2BC0B19D-F54C-4933-8F41-39A3E65590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7" authorId="0" shapeId="0" xr:uid="{764E11C9-1D61-4425-9570-A611A24FF0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7" authorId="0" shapeId="0" xr:uid="{BAB269FC-2949-4BF2-8B64-EAD6E66BA3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7" authorId="0" shapeId="0" xr:uid="{77A34062-A75F-4962-9F13-8B11D280BC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7" authorId="0" shapeId="0" xr:uid="{7ED9647B-FED7-4546-ACE5-A2AF0C5645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7" authorId="0" shapeId="0" xr:uid="{7DB98580-60AA-4BFB-A679-7DDB5BA85C8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7" authorId="0" shapeId="0" xr:uid="{EBC4CBDD-E1A9-4949-90A8-D7DDE24D65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7" authorId="0" shapeId="0" xr:uid="{C6349191-7CC5-457F-AF3D-9C8154D655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7" authorId="0" shapeId="0" xr:uid="{997A3AF4-0331-4AA9-AA73-6A530DDE3F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7" authorId="0" shapeId="0" xr:uid="{62644D80-8B04-4D54-82AA-2B52337E2A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7" authorId="0" shapeId="0" xr:uid="{5C5DDBDE-E50F-4E1F-A242-7B0631BC91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7" authorId="0" shapeId="0" xr:uid="{25DCD931-A90B-4BA1-8FCB-58A180731E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7" authorId="0" shapeId="0" xr:uid="{C131A69A-CFBE-494C-AA6D-2EA0D55B2C8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8" authorId="0" shapeId="0" xr:uid="{2CAF735D-37C0-4588-A4F8-E1D972CDB8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8" authorId="0" shapeId="0" xr:uid="{B6FE4245-5FED-4748-B5E0-1D8EBC31EA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8" authorId="0" shapeId="0" xr:uid="{8B2A5C5F-64D0-466E-83E3-A0BFF7F20E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8" authorId="0" shapeId="0" xr:uid="{49D81EAA-CC9A-47EE-8954-ECE8418B1B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8" authorId="0" shapeId="0" xr:uid="{A1A758F2-C69F-4E3F-A96E-B104C5A5F6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8" authorId="0" shapeId="0" xr:uid="{1C4FB111-9EC6-491F-917B-E74E24318E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8" authorId="0" shapeId="0" xr:uid="{5E88C35A-2D0A-4FD9-8868-389E3FF0CE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8" authorId="0" shapeId="0" xr:uid="{A50521EA-45C6-4AD3-85EB-FCBBFAF532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8" authorId="0" shapeId="0" xr:uid="{7F518BAF-E798-480E-9554-7C16D449A4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8" authorId="0" shapeId="0" xr:uid="{EA518E73-534D-4F03-9278-9227094759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8" authorId="0" shapeId="0" xr:uid="{595CDF8B-B8F9-4454-8FB4-020D81E0E5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8" authorId="0" shapeId="0" xr:uid="{075D90AC-D302-4D4E-BD93-BD67001F34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1" authorId="0" shapeId="0" xr:uid="{22943911-6E4D-4F8F-964A-67E0E6875C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1" authorId="0" shapeId="0" xr:uid="{D24A3113-734E-47A1-A13A-A13AA966AA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1" authorId="0" shapeId="0" xr:uid="{93A30901-8DD7-41FA-AEB7-F0E8AF6A68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1" authorId="0" shapeId="0" xr:uid="{D66882F9-003E-4CCB-9FB4-7B7884D347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1" authorId="0" shapeId="0" xr:uid="{B3E0882F-1AA8-4D4C-B6B3-2FF93F6F2BC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1" authorId="0" shapeId="0" xr:uid="{802C515B-4C50-4D32-9ABB-CE9BB6A1FE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1" authorId="0" shapeId="0" xr:uid="{15875B87-266D-4C92-872E-F19472C18E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1" authorId="0" shapeId="0" xr:uid="{48FE3626-8B4E-4BD6-8F32-BC54A938FB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1" authorId="0" shapeId="0" xr:uid="{986EF13F-2558-42E0-BC86-3F6FD9074E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1" authorId="0" shapeId="0" xr:uid="{A8FDB491-BB7A-4E0A-B965-39B02F69A9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1" authorId="0" shapeId="0" xr:uid="{94780EC8-1D2E-4BCD-85C7-44E70040D80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1" authorId="0" shapeId="0" xr:uid="{0426B605-E464-4C04-AD83-231B4C547E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2" authorId="0" shapeId="0" xr:uid="{8DD5A78D-EC59-466C-B749-F18102E3EF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2" authorId="0" shapeId="0" xr:uid="{7D94A8AD-46A1-45A8-B528-E6F58FE2AC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2" authorId="0" shapeId="0" xr:uid="{8E738168-4796-43A7-B246-C214A678A2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2" authorId="0" shapeId="0" xr:uid="{9A9FDFEF-DA10-4026-B3C9-B85DD9FF68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2" authorId="0" shapeId="0" xr:uid="{1987E87C-9D14-414A-A41F-B8E0F3C8C5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2" authorId="0" shapeId="0" xr:uid="{C8915855-A6DC-440C-84E1-6974674A9E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2" authorId="0" shapeId="0" xr:uid="{47891EE6-2814-485E-B4B6-D5BE55BAA9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2" authorId="0" shapeId="0" xr:uid="{12637545-D4DE-43A5-8FA4-CD8E79DE82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2" authorId="0" shapeId="0" xr:uid="{C66E69D7-B331-4D3C-A6F2-BF98031E601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2" authorId="0" shapeId="0" xr:uid="{6715141F-C057-4FFC-B9D3-21CD67DE01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2" authorId="0" shapeId="0" xr:uid="{160496F5-DDA5-48B5-A998-B850B43B45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2" authorId="0" shapeId="0" xr:uid="{29639E1D-0CF0-4811-A9B1-C8FD33C562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5" authorId="0" shapeId="0" xr:uid="{32BE6D60-FE11-491A-B1A4-2CC5B6CF17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5" authorId="0" shapeId="0" xr:uid="{36398B77-76CF-42F5-A7B5-6BB2CC6F13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5" authorId="0" shapeId="0" xr:uid="{1FC51C6B-7648-40A3-8247-9414ADD044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5" authorId="0" shapeId="0" xr:uid="{F7C08542-0223-4252-8145-61112807EC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5" authorId="0" shapeId="0" xr:uid="{919B6D58-0808-4C5D-818A-B9B11BF598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5" authorId="0" shapeId="0" xr:uid="{65557CBB-0CD3-43C5-AF11-987FC26423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5" authorId="0" shapeId="0" xr:uid="{F27440B6-548F-470F-805C-78C5C7305A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5" authorId="0" shapeId="0" xr:uid="{22B22C3C-FA3B-422B-904F-8912D3831A4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5" authorId="0" shapeId="0" xr:uid="{780028A4-0BDC-45CD-B762-8130CCD2E03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5" authorId="0" shapeId="0" xr:uid="{7C4B2818-687C-4CA2-BDDA-C86F133AD5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5" authorId="0" shapeId="0" xr:uid="{0D1F3988-BF02-492F-B91C-45AE399AD7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5" authorId="0" shapeId="0" xr:uid="{337C9C5D-CAC7-4E2C-982A-082FFF1F5E0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6" authorId="0" shapeId="0" xr:uid="{D7EE1E5E-9C99-4360-90E7-ECF5B11AB3A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6" authorId="0" shapeId="0" xr:uid="{4858FD7C-FCFB-4202-A20E-A868A89580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6" authorId="0" shapeId="0" xr:uid="{8CCD6801-7A4A-494E-B52A-96AB968A8B1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6" authorId="0" shapeId="0" xr:uid="{57535F33-ACAC-419B-A2C2-569D61FEAE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6" authorId="0" shapeId="0" xr:uid="{DE24E9DE-4A1E-4E62-9AB5-08898E735E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6" authorId="0" shapeId="0" xr:uid="{DFAD73DD-B32F-4B14-9AC2-61E3214E7B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6" authorId="0" shapeId="0" xr:uid="{BB14FCED-ADBE-479C-B121-30D96C4EE0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6" authorId="0" shapeId="0" xr:uid="{1B93913E-44B4-4F54-85BE-8D1FF38E2ED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6" authorId="0" shapeId="0" xr:uid="{681505AE-A58C-40BA-B5B9-CFED2F7A03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6" authorId="0" shapeId="0" xr:uid="{66CDAF56-FF88-4920-9643-7E8A2EE1FD1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6" authorId="0" shapeId="0" xr:uid="{F03C00AD-84F2-4BF6-9BF5-BDB5FEFDD4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6" authorId="0" shapeId="0" xr:uid="{0FAD051F-CDCA-4DF8-9CEA-52BC102694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7" authorId="0" shapeId="0" xr:uid="{5B49F9D7-EA59-4043-804C-925941F15A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7" authorId="0" shapeId="0" xr:uid="{269B1777-5C61-47A0-886F-2DAF78F8AFF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7" authorId="0" shapeId="0" xr:uid="{09CEDFE1-55C1-4ECE-B953-BAB6DCA166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7" authorId="0" shapeId="0" xr:uid="{52C1C39C-FD4C-44BA-8B98-AC2A744C67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7" authorId="0" shapeId="0" xr:uid="{13ACDA02-EF38-4150-9036-F7F702CA25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7" authorId="0" shapeId="0" xr:uid="{C991A4DD-400D-490A-B49C-E2A9A8251E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7" authorId="0" shapeId="0" xr:uid="{A499044F-FD28-444D-AD4F-AADBC65184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7" authorId="0" shapeId="0" xr:uid="{1DB6DFAB-C9A2-4C02-98A3-5FD93DFFCA8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7" authorId="0" shapeId="0" xr:uid="{9FBB63B0-4BEA-4E0B-825A-3076BEFD0B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7" authorId="0" shapeId="0" xr:uid="{5AB76DF6-7A1A-4D24-BD50-45E59680EF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7" authorId="0" shapeId="0" xr:uid="{F206E658-10F1-4BD8-A518-1A03FE9A5A1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7" authorId="0" shapeId="0" xr:uid="{0C99A1D7-DDBA-4CBA-A411-0436EDDCDDB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0" authorId="0" shapeId="0" xr:uid="{2B4D3A5D-6AA8-4C71-A948-C310FB8E06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0" authorId="0" shapeId="0" xr:uid="{1A9F0D9A-6AD2-4065-8434-096DC5456F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0" authorId="0" shapeId="0" xr:uid="{6B43EF66-1D22-4A48-BCB7-039BEE7582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0" authorId="0" shapeId="0" xr:uid="{A02AE27C-B921-4FF9-BEA1-4035EAF0AA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0" authorId="0" shapeId="0" xr:uid="{3E16E082-6B4C-486E-96FB-73FF2E435F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0" authorId="0" shapeId="0" xr:uid="{7CF2D831-205D-4532-BA56-DCECAB12E6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0" authorId="0" shapeId="0" xr:uid="{3EDF57FB-FCD2-4EB1-B77A-7332DDCF4A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0" authorId="0" shapeId="0" xr:uid="{C6AD806B-DFDE-4D06-8358-E82B507774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0" authorId="0" shapeId="0" xr:uid="{223F0F11-DB30-424D-A7B0-9589F4BA97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0" authorId="0" shapeId="0" xr:uid="{3D4B5F13-645F-468D-B356-2BDA6AF60D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0" authorId="0" shapeId="0" xr:uid="{AE6A4A59-B748-4437-B200-6D9CEE1AC5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0" authorId="0" shapeId="0" xr:uid="{7F3E49F2-8B36-415C-BD91-72576CBD72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1" authorId="0" shapeId="0" xr:uid="{950542C1-BB61-4EAA-B2F3-1EF008C573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1" authorId="0" shapeId="0" xr:uid="{0BF75D9E-5E6C-4641-9951-B95A639361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1" authorId="0" shapeId="0" xr:uid="{33316FCB-99D1-4142-90D6-5AC4D7A045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1" authorId="0" shapeId="0" xr:uid="{FDA0DC7A-6022-4FD0-A145-F416B91D68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1" authorId="0" shapeId="0" xr:uid="{A7FF9221-AC28-4228-8194-83610153EE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1" authorId="0" shapeId="0" xr:uid="{AB7A3C9C-967D-40A9-87C9-79124907913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1" authorId="0" shapeId="0" xr:uid="{99013728-0D41-4B68-932C-5B08887053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1" authorId="0" shapeId="0" xr:uid="{7A08E512-694F-40F9-BB4B-A95AB21831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1" authorId="0" shapeId="0" xr:uid="{11D8ACDC-24AF-4230-B02A-68C99552A1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1" authorId="0" shapeId="0" xr:uid="{F5D14269-3A02-480B-98F6-ACA31EB8C2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1" authorId="0" shapeId="0" xr:uid="{2975F8D6-1654-48AB-BFC8-0F216A3031F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1" authorId="0" shapeId="0" xr:uid="{5F17BA3A-A5AC-44AC-9664-7F89B31723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2" authorId="0" shapeId="0" xr:uid="{4C115DED-86AD-488F-B03D-FCC6130EDF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2" authorId="0" shapeId="0" xr:uid="{B911817A-65EF-4A8D-8580-2F59A2BA1EB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2" authorId="0" shapeId="0" xr:uid="{2A83513B-3E35-450B-84B1-8CE0E270C3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2" authorId="0" shapeId="0" xr:uid="{BFDF84C4-D7F2-4BD4-B0D4-BAD8A058BB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2" authorId="0" shapeId="0" xr:uid="{40BE15DF-4DAB-434F-A725-80CA7936F6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2" authorId="0" shapeId="0" xr:uid="{1DA4483A-7C3B-4350-9344-DC53A244D0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2" authorId="0" shapeId="0" xr:uid="{6CF91696-B917-479F-ACEE-DFA42C8AE0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2" authorId="0" shapeId="0" xr:uid="{249DEFC9-DED6-4BCC-A31D-546619E3BB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2" authorId="0" shapeId="0" xr:uid="{254CF4A7-12AB-40DB-AB6C-9CA083B1BE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2" authorId="0" shapeId="0" xr:uid="{D318CCBD-0CF9-4EBB-92F7-7F0717FE1A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2" authorId="0" shapeId="0" xr:uid="{10AC01D6-3A2A-4621-A5A9-D88865381D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2" authorId="0" shapeId="0" xr:uid="{F6735726-A4E8-447A-BDD8-FBEB37E462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3" authorId="0" shapeId="0" xr:uid="{84F12CDE-D842-4BB8-A3E6-94762A7187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3" authorId="0" shapeId="0" xr:uid="{41B0F082-E1B5-489D-B752-2A961E7201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3" authorId="0" shapeId="0" xr:uid="{0F115AC3-32E3-4BDA-8501-082FCD51FD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3" authorId="0" shapeId="0" xr:uid="{19E4673D-101F-4E52-A9B2-3725EF547B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3" authorId="0" shapeId="0" xr:uid="{F8050E6F-3317-4C32-8E71-98BD50A632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3" authorId="0" shapeId="0" xr:uid="{BF526813-E599-4559-977D-F3DE3D76FE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3" authorId="0" shapeId="0" xr:uid="{BE2EBD16-B07C-4657-89AB-7BD9A8F26A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3" authorId="0" shapeId="0" xr:uid="{3C0538EA-47B2-4F8C-AEB9-D0981A4818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3" authorId="0" shapeId="0" xr:uid="{1DD67C41-CCCF-47F3-9B71-C143CB002B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3" authorId="0" shapeId="0" xr:uid="{37D6F9A2-991B-477A-9498-56D9B18CE0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3" authorId="0" shapeId="0" xr:uid="{A26EC73F-EDB9-4C71-A76C-D26831CA9A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3" authorId="0" shapeId="0" xr:uid="{79A59E23-2E39-49C6-88F0-3E488BC5B8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4" authorId="0" shapeId="0" xr:uid="{707827C1-9312-4C20-A8A6-95EC6509D6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4" authorId="0" shapeId="0" xr:uid="{AEE44E5D-55AA-4792-AC6B-EC54687021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4" authorId="0" shapeId="0" xr:uid="{83A6705B-593B-4BBB-94F2-07D11823E7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4" authorId="0" shapeId="0" xr:uid="{0507E9E0-D32B-46C6-9CE1-E779A7A536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4" authorId="0" shapeId="0" xr:uid="{10C70950-0F68-40C2-AEEB-7C7A4C4D42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4" authorId="0" shapeId="0" xr:uid="{2D72A529-F2EF-4A79-AD4C-B509143D36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4" authorId="0" shapeId="0" xr:uid="{F8105DA6-6524-4BCC-BB98-D35F1041EF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4" authorId="0" shapeId="0" xr:uid="{33F3E4B7-A1FA-49D1-8B68-4BC554F021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4" authorId="0" shapeId="0" xr:uid="{6E0EC117-53EA-404F-BA7D-1224700D5A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4" authorId="0" shapeId="0" xr:uid="{E7804443-C48E-4E8F-B665-CF2491D715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4" authorId="0" shapeId="0" xr:uid="{7E4E3F64-EDB8-4FEE-9CDC-152D87B214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4" authorId="0" shapeId="0" xr:uid="{1272EACD-1C79-453F-A28E-4BE190B53C3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5" authorId="0" shapeId="0" xr:uid="{AFD7A342-4BEB-4CCF-9857-8EE0BD810D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5" authorId="0" shapeId="0" xr:uid="{6E5EE399-98AD-4248-BC11-D62B12F8240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5" authorId="0" shapeId="0" xr:uid="{5D6ECBE0-ACDA-490F-A986-D8672BF2CC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5" authorId="0" shapeId="0" xr:uid="{F786A03C-3ECA-4BE0-9F2B-5F8E9DD183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5" authorId="0" shapeId="0" xr:uid="{B3E111B9-4FFB-452F-91EA-6527FC45C3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5" authorId="0" shapeId="0" xr:uid="{7C1B338D-C13E-46C0-876E-F7C696A79D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5" authorId="0" shapeId="0" xr:uid="{5D6B6690-6779-4A7B-A9D1-B4DB403FCD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5" authorId="0" shapeId="0" xr:uid="{05C46175-F11C-45C2-A24B-A81EF6EDBE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5" authorId="0" shapeId="0" xr:uid="{5BC1B042-744D-498D-B7AA-BF9AFE4115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5" authorId="0" shapeId="0" xr:uid="{6DB9BB9E-752E-4784-8182-A205202DF2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5" authorId="0" shapeId="0" xr:uid="{9B2AC2A1-FAF9-45F3-9DA6-E17E1D988C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5" authorId="0" shapeId="0" xr:uid="{FE718CD7-3CC1-48D0-B8F9-F589C18E7A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6" authorId="0" shapeId="0" xr:uid="{A8A863E5-0536-471A-B64C-B0E422CABB8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6" authorId="0" shapeId="0" xr:uid="{644A53BB-3159-43C9-94A0-2F2B913287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6" authorId="0" shapeId="0" xr:uid="{27810EE6-D4C8-4B17-89D0-E5A087A1B9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6" authorId="0" shapeId="0" xr:uid="{E11171AC-0AEA-437F-8911-3DA3DC029A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6" authorId="0" shapeId="0" xr:uid="{253D80C4-7E1C-4F22-B206-9F6F3EC529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6" authorId="0" shapeId="0" xr:uid="{ED69AAB1-1EB7-41A2-95D3-5F9AE40BD3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6" authorId="0" shapeId="0" xr:uid="{9F7CF89C-0378-49EE-AFD1-FAADE3D8F6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6" authorId="0" shapeId="0" xr:uid="{F905D2C0-E238-4C0F-84FF-D5CBBB1BC2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6" authorId="0" shapeId="0" xr:uid="{B6483112-E1CA-4783-8A89-D7981A8573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6" authorId="0" shapeId="0" xr:uid="{03144210-324A-400D-A622-63276F9000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6" authorId="0" shapeId="0" xr:uid="{682ED27A-C385-4891-9E21-B075089F2D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6" authorId="0" shapeId="0" xr:uid="{90C5AD1C-70F9-4D30-A48C-65669393D2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7" authorId="0" shapeId="0" xr:uid="{74FE21A1-B05F-44D4-B2EC-B62489C010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7" authorId="0" shapeId="0" xr:uid="{2B15577E-36FB-4312-92D9-1B75CABCFF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7" authorId="0" shapeId="0" xr:uid="{AF895BE0-C375-412B-88F5-90CA212120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7" authorId="0" shapeId="0" xr:uid="{D5905C64-ADEA-48BB-9425-34CC4558FC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7" authorId="0" shapeId="0" xr:uid="{FD073104-40DA-4B93-9AD5-47271D5357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7" authorId="0" shapeId="0" xr:uid="{9D767DE7-CECC-4A2E-979C-C64D4E2A2E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7" authorId="0" shapeId="0" xr:uid="{A71600AC-2647-4E63-A0A8-04977DEFDD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7" authorId="0" shapeId="0" xr:uid="{8F572D82-CE86-4D4E-9E4F-6F2EB1E5DE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7" authorId="0" shapeId="0" xr:uid="{0F8E6E70-2EDB-4C35-B078-82FCA48F68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7" authorId="0" shapeId="0" xr:uid="{6D0F1574-B878-4666-8ECE-3934899B14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7" authorId="0" shapeId="0" xr:uid="{D27B9304-39A5-4E8A-908F-0E0F82720A4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7" authorId="0" shapeId="0" xr:uid="{D612DB37-7151-4FF0-A801-D676D4CB9B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0" authorId="0" shapeId="0" xr:uid="{D1AE8A03-4729-4513-9DBF-5E407D9500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0" authorId="0" shapeId="0" xr:uid="{B7B6EC8A-BD71-4F10-96BE-EBAFCB3C7C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0" authorId="0" shapeId="0" xr:uid="{C32E932F-89AB-434D-A281-D7206E385C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0" authorId="0" shapeId="0" xr:uid="{5CDF303C-AFAE-4FCF-91B3-981F40A446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0" authorId="0" shapeId="0" xr:uid="{F84074BC-6FC7-4C8A-8762-BCE3FE68D7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0" authorId="0" shapeId="0" xr:uid="{6A3B5855-2438-4316-9677-C8FC27FEE7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0" authorId="0" shapeId="0" xr:uid="{B321E4A4-47FF-4FB0-A2C8-9727607C01D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0" authorId="0" shapeId="0" xr:uid="{7CB34E5B-2228-45F9-AF48-6DE19D5877B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0" authorId="0" shapeId="0" xr:uid="{575EEA41-4E10-4348-BAA8-FAAE729121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0" authorId="0" shapeId="0" xr:uid="{5EFFFE75-3BF2-4573-B9F1-53BB493E3A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0" authorId="0" shapeId="0" xr:uid="{AFE36619-0A92-4E14-B028-F6AB1C91C2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0" authorId="0" shapeId="0" xr:uid="{069FF510-8AF8-4037-8431-46F9F51A72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1" authorId="0" shapeId="0" xr:uid="{02F64298-93E1-4D21-9C60-2B5C7C636D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1" authorId="0" shapeId="0" xr:uid="{7CAEA074-2F9D-4E86-8EC5-0C0E905F000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1" authorId="0" shapeId="0" xr:uid="{C23DE6B1-C539-48C4-8D03-A2A94E425E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1" authorId="0" shapeId="0" xr:uid="{40775632-4BE1-4CAF-A9BD-A6151C929A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1" authorId="0" shapeId="0" xr:uid="{D01131BD-1540-4A79-A53E-978F2DC36B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1" authorId="0" shapeId="0" xr:uid="{A111941A-7A8F-42E7-93E5-3B281AC9B1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1" authorId="0" shapeId="0" xr:uid="{F7CBB00C-52DC-417F-BFF0-29C197FD95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1" authorId="0" shapeId="0" xr:uid="{1EFA8DB1-CB6E-4DD1-8804-34D3C6FAC6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1" authorId="0" shapeId="0" xr:uid="{6E45256B-93E5-4E48-8830-B2C1C45A63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1" authorId="0" shapeId="0" xr:uid="{8DA7441D-6832-436A-9964-6965FBC900F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1" authorId="0" shapeId="0" xr:uid="{5EF033CD-49CB-4D9D-99E4-7302D44EAE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1" authorId="0" shapeId="0" xr:uid="{1C0D523F-F7EA-4DE6-AECD-4722A75092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3" authorId="0" shapeId="0" xr:uid="{0D1B4145-A1D0-4DFE-82ED-802AC6FB96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3" authorId="0" shapeId="0" xr:uid="{4B9ED6E1-F8F0-4A8D-B0F5-BBD0D9A8AA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3" authorId="0" shapeId="0" xr:uid="{61F245B6-B554-41B1-8757-F3D26C0B0F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3" authorId="0" shapeId="0" xr:uid="{C9ADF131-621E-4ABA-95B3-BBB4B5B0C1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3" authorId="0" shapeId="0" xr:uid="{2633A261-0890-4F2C-9587-E24615E9E40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3" authorId="0" shapeId="0" xr:uid="{02917C7D-1FD8-4D6A-81EC-6766233CBC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3" authorId="0" shapeId="0" xr:uid="{5AC9E630-E99E-4B81-B17B-C720AE95D0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3" authorId="0" shapeId="0" xr:uid="{5F1DFEE2-AD90-4AA4-969B-733B6BC7F7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3" authorId="0" shapeId="0" xr:uid="{246DB78C-6219-4C3A-8683-509607C4B2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3" authorId="0" shapeId="0" xr:uid="{037422B5-9028-4851-AE60-9FAB2E2D16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3" authorId="0" shapeId="0" xr:uid="{9BA4E5D8-D5E1-4ADA-BB57-6575EE20FF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3" authorId="0" shapeId="0" xr:uid="{759BE2EB-1520-407F-9A35-68187AF009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4" authorId="0" shapeId="0" xr:uid="{EC67D8B3-C452-4E16-946A-8E75CA18D4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4" authorId="0" shapeId="0" xr:uid="{E3D21492-090C-4963-B6F3-16B8716051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4" authorId="0" shapeId="0" xr:uid="{FC9B7768-030D-4EBE-B00F-BB6ECA1353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4" authorId="0" shapeId="0" xr:uid="{34DE7A76-42E9-48AB-9F62-79074762FB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4" authorId="0" shapeId="0" xr:uid="{A2413147-6469-4CAB-B665-7B5360AD4BA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4" authorId="0" shapeId="0" xr:uid="{3142E0EF-1E3B-4D94-9CC2-01DBAB7507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4" authorId="0" shapeId="0" xr:uid="{C5AA024D-FC59-4A01-A84D-2E85CC8E0C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4" authorId="0" shapeId="0" xr:uid="{E0527883-0194-4C63-AC63-5CC7EAF93F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4" authorId="0" shapeId="0" xr:uid="{CE6A0457-AE18-45A2-B830-2010D2ED61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4" authorId="0" shapeId="0" xr:uid="{75DCAC4F-8D40-4664-A410-D41FDE60A1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4" authorId="0" shapeId="0" xr:uid="{1A353D4D-AC67-47E6-AB7F-393BDB1CBD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4" authorId="0" shapeId="0" xr:uid="{3F7FC61C-8565-4504-9A85-FBF4CB3D62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5" authorId="0" shapeId="0" xr:uid="{F5AA7A95-B59E-4315-B7F2-C21B3A1244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5" authorId="0" shapeId="0" xr:uid="{7D141859-9386-4BD9-B0DA-F9A53DF5A2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5" authorId="0" shapeId="0" xr:uid="{0FB82449-CD97-41B2-B8CE-DDBB14ACB4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5" authorId="0" shapeId="0" xr:uid="{4668ACBA-6C6C-4F81-8FC1-80CC3607A7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5" authorId="0" shapeId="0" xr:uid="{9B6B8586-C77F-4E2B-B75E-AF9288A3E7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5" authorId="0" shapeId="0" xr:uid="{761E6B78-10C9-4BAE-A2DB-2F85E4960F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5" authorId="0" shapeId="0" xr:uid="{8C3E4165-DC83-4180-A481-2DD4B1C912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5" authorId="0" shapeId="0" xr:uid="{0D039764-4ADE-426A-9932-250BE6075E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5" authorId="0" shapeId="0" xr:uid="{022D00D0-0636-45A4-8E35-44C9AEC19F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5" authorId="0" shapeId="0" xr:uid="{52935290-5A09-4804-99AC-25A362F61C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5" authorId="0" shapeId="0" xr:uid="{7D2587E5-0617-4AB2-901C-B7CC56E2B0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5" authorId="0" shapeId="0" xr:uid="{869E86F3-EBD1-4956-A428-1331615D18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6" authorId="0" shapeId="0" xr:uid="{C72E8727-1472-4188-A11F-595E093402F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6" authorId="0" shapeId="0" xr:uid="{16E95DB3-2D57-4143-A627-78332DECEA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6" authorId="0" shapeId="0" xr:uid="{CDCC0734-05C8-4D1F-B588-CCBAC16F97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6" authorId="0" shapeId="0" xr:uid="{35379C96-2F91-4088-8289-58962C89EB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6" authorId="0" shapeId="0" xr:uid="{FF8582B0-3D77-4DB6-A0A4-B8FC0A7F39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6" authorId="0" shapeId="0" xr:uid="{748A44F0-E240-473D-99ED-25C76B0E70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6" authorId="0" shapeId="0" xr:uid="{F8FF212D-F160-4E48-BB46-7F7176DB1D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6" authorId="0" shapeId="0" xr:uid="{F6C8B70A-0CAE-4E9F-8F6B-A0A83696C8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6" authorId="0" shapeId="0" xr:uid="{CE6C8F3D-1248-4A00-A378-5A192D4CDB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6" authorId="0" shapeId="0" xr:uid="{AC401A93-0134-4E92-A23B-5B8E9B37EF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6" authorId="0" shapeId="0" xr:uid="{1330C99C-1362-46D4-B3EC-BF18AC8A56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6" authorId="0" shapeId="0" xr:uid="{DC91CC48-75E8-4B94-AEA9-F811EBB68F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8" authorId="0" shapeId="0" xr:uid="{21104687-167F-4EF9-AE40-74C9EACD78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8" authorId="0" shapeId="0" xr:uid="{17E1DF2F-CFEC-45C7-9BE5-B1C5F793D2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8" authorId="0" shapeId="0" xr:uid="{8E96B0A9-B941-4BF5-A1C2-01B336DC62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8" authorId="0" shapeId="0" xr:uid="{7D170440-99B8-4594-A412-AAFE15A8ED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8" authorId="0" shapeId="0" xr:uid="{A83A9F29-7C56-4ABB-908B-E848C4AE2C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8" authorId="0" shapeId="0" xr:uid="{CE8EA60D-36AC-457D-8A3E-1B4412682D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8" authorId="0" shapeId="0" xr:uid="{65A372BA-E6A9-486C-8653-6344CB54D6F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8" authorId="0" shapeId="0" xr:uid="{0E562FD6-D3BA-48A4-AF14-AF6C68A4CF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8" authorId="0" shapeId="0" xr:uid="{006BB41C-FE52-438E-BD4F-D35EE2BE95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8" authorId="0" shapeId="0" xr:uid="{57592BF7-1B78-4D58-A63B-ED5096D27E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8" authorId="0" shapeId="0" xr:uid="{38A320E0-3FA4-48AE-B074-0E22D65870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8" authorId="0" shapeId="0" xr:uid="{080093CF-65C9-4B56-88F8-2C60711CF5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1" authorId="0" shapeId="0" xr:uid="{0534BA21-F75D-4BB1-80DE-9D967AE0D10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1" authorId="0" shapeId="0" xr:uid="{180E2FCB-2DB3-4060-8538-624A5742F0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1" authorId="0" shapeId="0" xr:uid="{E62FC793-172B-4E3B-8E0F-D2989AA1F8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1" authorId="0" shapeId="0" xr:uid="{1A02A1B0-3038-46C4-B2E1-7D73715A96F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1" authorId="0" shapeId="0" xr:uid="{D719FD76-B0BA-4810-89F1-B6927D6C9DF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1" authorId="0" shapeId="0" xr:uid="{A9AD0786-82F4-43B2-BECD-63AB4FA207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1" authorId="0" shapeId="0" xr:uid="{D03B220D-9D7C-4D2F-8F22-27BF58607B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1" authorId="0" shapeId="0" xr:uid="{130AB707-0270-4FE5-A0B2-34481034A1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1" authorId="0" shapeId="0" xr:uid="{00602EAC-FC1C-41B5-A151-55A41A1582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1" authorId="0" shapeId="0" xr:uid="{B4DD6258-61D0-446D-BA64-31778A4831B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1" authorId="0" shapeId="0" xr:uid="{9F05E2FE-FBBC-4CF9-B391-52A9B66F9E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1" authorId="0" shapeId="0" xr:uid="{334171CC-F542-4936-B623-A4184434AEB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2" authorId="0" shapeId="0" xr:uid="{DDCAF506-FC93-41B6-9A8B-C251944409C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2" authorId="0" shapeId="0" xr:uid="{462EA972-A8C5-410F-AA3B-508753B501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2" authorId="0" shapeId="0" xr:uid="{B75BCE4A-3D93-400F-93CB-B858A54290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2" authorId="0" shapeId="0" xr:uid="{C526369A-E03C-4286-9107-A1C3D9C2C4B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2" authorId="0" shapeId="0" xr:uid="{241EA700-4D83-48F6-A3FE-97AAB6D5E9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2" authorId="0" shapeId="0" xr:uid="{C4BB4755-FDBA-4D7B-B347-9E9ACBCF49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2" authorId="0" shapeId="0" xr:uid="{6DCDB997-A96D-4662-99C5-330A8088A1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2" authorId="0" shapeId="0" xr:uid="{D9BC1CD8-7BDA-4D6C-BBAD-3CCEFFD962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2" authorId="0" shapeId="0" xr:uid="{F628D841-7D48-4867-A175-03C6F7C87C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2" authorId="0" shapeId="0" xr:uid="{670F4AD4-7128-4C4D-B47B-8E22FE4462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2" authorId="0" shapeId="0" xr:uid="{5BE66D4E-9C82-4C7B-8B2E-9DA45D8F4A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2" authorId="0" shapeId="0" xr:uid="{30566054-7C63-40EA-8CEC-8302CE0751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4" authorId="0" shapeId="0" xr:uid="{38152F6C-B054-4908-953C-8C96AA1166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4" authorId="0" shapeId="0" xr:uid="{E5CB257E-FF41-4E67-8FCB-729D97D740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4" authorId="0" shapeId="0" xr:uid="{8CC14A43-8A49-408E-A4E2-00DDB397D56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4" authorId="0" shapeId="0" xr:uid="{6DA485B7-08D5-477B-BF7C-AF03428160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4" authorId="0" shapeId="0" xr:uid="{4474CDC2-F7BB-4B36-9FF0-35BD179BE8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4" authorId="0" shapeId="0" xr:uid="{7E8597C1-CF04-4B0D-A536-1135E03CB0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4" authorId="0" shapeId="0" xr:uid="{98B67FC4-CB2E-403C-A7C6-2DA2B67A0D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4" authorId="0" shapeId="0" xr:uid="{065314E5-322B-4A3C-B0DE-FE19EBA4D1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4" authorId="0" shapeId="0" xr:uid="{6DED7454-5D2A-4D52-AD93-AE47961081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4" authorId="0" shapeId="0" xr:uid="{BB60EA3F-56D7-4C4C-910E-2A3D44DC2B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4" authorId="0" shapeId="0" xr:uid="{EBD996BD-9667-4972-BA03-C428C31E27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4" authorId="0" shapeId="0" xr:uid="{F9DCD1F1-55ED-426D-B4DD-D49DABD420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5" authorId="0" shapeId="0" xr:uid="{1A221FFA-53ED-4FA2-BCAD-3AC9672467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5" authorId="0" shapeId="0" xr:uid="{1EF280FD-903F-43AD-A4CE-772D82A0D8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5" authorId="0" shapeId="0" xr:uid="{B1A2D130-4DD5-474D-996B-1072687D271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5" authorId="0" shapeId="0" xr:uid="{DC676236-C380-48A6-817C-2B7E7393114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5" authorId="0" shapeId="0" xr:uid="{3824CF92-9AD0-4E70-AF01-FEB4C436A6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5" authorId="0" shapeId="0" xr:uid="{DC203859-CDB0-4D77-BB6E-8F2A7E57FF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5" authorId="0" shapeId="0" xr:uid="{7795D170-E0B6-4922-A608-EB288E76CB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5" authorId="0" shapeId="0" xr:uid="{2D0A6327-6E47-4D7A-A1D1-1B8E2EA984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5" authorId="0" shapeId="0" xr:uid="{CA2AE0F0-E0B1-4FBA-BF55-2A9E771B74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5" authorId="0" shapeId="0" xr:uid="{E34A5790-8422-4269-8E12-2BC30146AE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5" authorId="0" shapeId="0" xr:uid="{BE13EB3C-7371-4048-AACF-65120931F20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5" authorId="0" shapeId="0" xr:uid="{45D87556-A5D2-445C-A952-BF2AA78F9F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6" authorId="0" shapeId="0" xr:uid="{4C3BB166-54D1-4F16-81B2-F2CA77ABBE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6" authorId="0" shapeId="0" xr:uid="{B3450548-298C-4A98-8DD4-E2DD13C17B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6" authorId="0" shapeId="0" xr:uid="{509ADFDC-7475-444A-8A49-D43C855220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6" authorId="0" shapeId="0" xr:uid="{B48DBA8B-8A48-455F-881D-2BDB81F0D7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6" authorId="0" shapeId="0" xr:uid="{0DDC6831-C93F-4578-96E0-881D95306F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6" authorId="0" shapeId="0" xr:uid="{6D55A9D4-FC51-4E31-AD3A-CC775D2A2D1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6" authorId="0" shapeId="0" xr:uid="{2D381723-04EF-4D21-B12F-2A5E86849B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6" authorId="0" shapeId="0" xr:uid="{016CCB81-927A-48A4-A777-FFD5AA4AEBA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6" authorId="0" shapeId="0" xr:uid="{81C38556-59C2-4BC2-9095-2A49F1FBAF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6" authorId="0" shapeId="0" xr:uid="{23900D8E-46FC-45A5-B9DD-21BC7E70DF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6" authorId="0" shapeId="0" xr:uid="{DFA630DA-6BE3-4445-91B2-82378FBD9B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6" authorId="0" shapeId="0" xr:uid="{548BD83F-EA58-42D5-AD51-7FD3DF5E2EB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9" authorId="0" shapeId="0" xr:uid="{72D0A9A8-C691-4F9D-838C-DAE83E793B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9" authorId="0" shapeId="0" xr:uid="{F619349B-40E6-4A3A-8C08-2E84CD3226E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9" authorId="0" shapeId="0" xr:uid="{46BFEFCA-3095-48EF-A7D5-EBE5668D9B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9" authorId="0" shapeId="0" xr:uid="{60531FBC-1202-471F-A53C-7F587A8407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9" authorId="0" shapeId="0" xr:uid="{DC261596-7D47-4A93-B4C8-16F5231737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9" authorId="0" shapeId="0" xr:uid="{942491B1-FEAA-4C76-A212-02CECB7E84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9" authorId="0" shapeId="0" xr:uid="{FE1EC8D2-4FAB-4B97-97A8-0A7EE27577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9" authorId="0" shapeId="0" xr:uid="{911018B6-F2DF-47C9-AAF9-4F666288684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9" authorId="0" shapeId="0" xr:uid="{C3A43179-1428-4DA3-B982-DDEA1336FD1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9" authorId="0" shapeId="0" xr:uid="{56589C69-B248-4878-8308-0C8D793159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9" authorId="0" shapeId="0" xr:uid="{02752420-0503-4AF8-B596-10B60EB8E0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9" authorId="0" shapeId="0" xr:uid="{8E6ABA4E-D7F7-49F4-AB46-6CDDEB86A6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0" authorId="0" shapeId="0" xr:uid="{B7635CD3-908B-44FA-B421-636464C27D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0" authorId="0" shapeId="0" xr:uid="{E89AE65F-A912-4133-896E-1D06F2B279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0" authorId="0" shapeId="0" xr:uid="{A8B0B1AD-5F24-42D4-9A7F-0075C9009C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0" authorId="0" shapeId="0" xr:uid="{69487DD6-69FC-4F2D-A1A9-B8759EE38A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0" authorId="0" shapeId="0" xr:uid="{EA3C3D7A-312B-45FB-89FD-628A0D4E96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0" authorId="0" shapeId="0" xr:uid="{8556031B-2469-4E6D-A1D4-9E93BE81CA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0" authorId="0" shapeId="0" xr:uid="{341BBDE9-DCD5-4DC8-85E1-0CFFD69874C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0" authorId="0" shapeId="0" xr:uid="{31A109F9-D80B-42CA-A1E3-6994F2FBC8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0" authorId="0" shapeId="0" xr:uid="{0BB5C98D-9A64-4E65-95F1-6B7B4C8186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0" authorId="0" shapeId="0" xr:uid="{27D07EB4-09AB-4E78-8646-BF7B1A4392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0" authorId="0" shapeId="0" xr:uid="{FB521803-37B4-4983-8010-51ED4B171D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0" authorId="0" shapeId="0" xr:uid="{E5F6BC27-2847-4FF5-B7A1-7213B2A446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1" authorId="0" shapeId="0" xr:uid="{E28115CE-3856-4C1B-8E02-8129671AD9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1" authorId="0" shapeId="0" xr:uid="{4FF87BED-9478-410B-8F17-E8FF3F9CA7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1" authorId="0" shapeId="0" xr:uid="{AAF4C95B-452D-413E-9176-C9A28D2160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1" authorId="0" shapeId="0" xr:uid="{A97A95E6-695D-47C8-9202-8760391EE1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1" authorId="0" shapeId="0" xr:uid="{A5D49D5B-9052-47E8-9E47-3FB03C1B64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1" authorId="0" shapeId="0" xr:uid="{9FA563DB-FF35-47E4-B2FD-6AE5B47C64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1" authorId="0" shapeId="0" xr:uid="{9353C3DB-88DA-41BA-8C6B-0FC72F1DCF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1" authorId="0" shapeId="0" xr:uid="{E84CEF67-E98E-4E6D-92FE-02C91508C8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1" authorId="0" shapeId="0" xr:uid="{A83ECA42-D9E6-45F3-9C26-710EF3DD06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1" authorId="0" shapeId="0" xr:uid="{F9450B3D-6C20-4942-8C6A-A84ABAB028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1" authorId="0" shapeId="0" xr:uid="{DFB9BB1A-E93B-42BD-9ADB-D1B0E31630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1" authorId="0" shapeId="0" xr:uid="{323FE5BD-65CF-4E8B-BEC2-4445B0656B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5" authorId="0" shapeId="0" xr:uid="{E3442672-74E3-48A3-AB27-D41C9C582B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5" authorId="0" shapeId="0" xr:uid="{08418B93-B671-4428-A654-8D479198AD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5" authorId="0" shapeId="0" xr:uid="{7A609B9B-8B12-4D05-8E79-3C75D32D30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5" authorId="0" shapeId="0" xr:uid="{A4FDE2C2-6A6F-4C11-BD40-260D085529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5" authorId="0" shapeId="0" xr:uid="{90330F8C-E2D8-4F28-9418-EA8DC169F91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5" authorId="0" shapeId="0" xr:uid="{64A87ADE-FA62-4006-AEF6-8CF2CA8416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5" authorId="0" shapeId="0" xr:uid="{97C2F32D-C455-4DC8-9617-B9DEA88AA0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5" authorId="0" shapeId="0" xr:uid="{648AE52F-BC8E-45D7-ADD3-B2A5F29FFC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5" authorId="0" shapeId="0" xr:uid="{91B2C935-7BC7-450E-80D3-E95731BFB6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5" authorId="0" shapeId="0" xr:uid="{8B421E01-3848-49F4-A124-C65468277A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5" authorId="0" shapeId="0" xr:uid="{AF264C33-0E72-4D31-BF2C-A034034D5C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5" authorId="0" shapeId="0" xr:uid="{691B2185-C8EB-456D-BAAF-5E4338F4B1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6" authorId="0" shapeId="0" xr:uid="{9C3B423F-60A0-4DC2-B9E9-D9BB3EC86C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6" authorId="0" shapeId="0" xr:uid="{49DE1A7D-71AD-4DE7-BB80-2ADA84E548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6" authorId="0" shapeId="0" xr:uid="{B5768832-FBC9-48CC-9AE5-240D080D9C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6" authorId="0" shapeId="0" xr:uid="{68DDA506-FA28-43C8-A27D-D7049A890D4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6" authorId="0" shapeId="0" xr:uid="{BD99B3CC-4A34-457D-A90B-B988AB136D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6" authorId="0" shapeId="0" xr:uid="{80BEE29B-566E-4AB2-9A8C-18BF173EE1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6" authorId="0" shapeId="0" xr:uid="{8B2AB7D5-18CE-4931-8918-D413B83E76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6" authorId="0" shapeId="0" xr:uid="{53290EA9-D88B-45C3-A825-0AF56EE234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6" authorId="0" shapeId="0" xr:uid="{A50E7B18-A8BC-40C6-A4EC-F22DCCCA71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6" authorId="0" shapeId="0" xr:uid="{C1ED4CD7-DF77-40E3-AA73-FECE426C43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6" authorId="0" shapeId="0" xr:uid="{B60E9733-3D3C-4579-AE3E-3A6A2A30DC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6" authorId="0" shapeId="0" xr:uid="{FC51E9D4-CBC0-4123-8D05-6DFA456350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7" authorId="0" shapeId="0" xr:uid="{B58CE484-A5AD-4AC8-8622-E59766F500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7" authorId="0" shapeId="0" xr:uid="{16D91F97-368D-49CB-8062-68EE31E912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7" authorId="0" shapeId="0" xr:uid="{112AC56D-2510-4FA8-9C24-183A25B7AE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7" authorId="0" shapeId="0" xr:uid="{0083B328-9F79-4374-A351-15B45CE039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7" authorId="0" shapeId="0" xr:uid="{37E0EAE4-5F22-4540-912E-C8696674A8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7" authorId="0" shapeId="0" xr:uid="{8EF3DE5F-E823-4256-85E1-78AF9C25AC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7" authorId="0" shapeId="0" xr:uid="{137C86AD-6571-4CB7-9997-37E0695A39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7" authorId="0" shapeId="0" xr:uid="{6AE0F1A1-6670-4190-84E8-7A428CBD19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7" authorId="0" shapeId="0" xr:uid="{1CB48BA0-2E02-42C3-8714-D6D94ABF42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7" authorId="0" shapeId="0" xr:uid="{A26EF1CF-0A56-429E-AE4F-9EE43EC15E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7" authorId="0" shapeId="0" xr:uid="{7EA4FBD1-36CD-412C-9AFD-6F59EB80098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7" authorId="0" shapeId="0" xr:uid="{06E00DCF-ED57-4CF4-A624-EAD6182760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8" authorId="0" shapeId="0" xr:uid="{42902311-AA4D-46AA-A379-8CA82CEDEB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8" authorId="0" shapeId="0" xr:uid="{5AEFC72E-55BE-43A7-8D4E-A9D5024371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8" authorId="0" shapeId="0" xr:uid="{E921DB58-3FD1-4EDE-940A-25DA89C1AD0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8" authorId="0" shapeId="0" xr:uid="{2F1A4716-7048-40FE-8799-A9574BFC36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8" authorId="0" shapeId="0" xr:uid="{E4E939EE-3D98-4121-A869-15E14CFA2A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8" authorId="0" shapeId="0" xr:uid="{66B7F8B8-3C2E-4D2A-A4CA-EE645171D65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8" authorId="0" shapeId="0" xr:uid="{A7CB0901-D40A-4B28-BD1E-DD275D1B53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8" authorId="0" shapeId="0" xr:uid="{FFFECEB3-4BC3-44F0-8160-53A0E2F231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8" authorId="0" shapeId="0" xr:uid="{05487E08-42C7-4A0C-944B-0B86B13EE3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8" authorId="0" shapeId="0" xr:uid="{004CBBEB-0FDE-41A8-84EA-508135E8FB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8" authorId="0" shapeId="0" xr:uid="{3B2E5417-1FCB-4028-94B4-BBEC8E9D0F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8" authorId="0" shapeId="0" xr:uid="{F68854E5-E68B-4CA9-A234-03A0B9F65D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9" authorId="0" shapeId="0" xr:uid="{9018A1BC-8882-4CB1-9605-7E8D2A47AD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9" authorId="0" shapeId="0" xr:uid="{6522DF23-9350-4448-86F5-94B1E09C25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9" authorId="0" shapeId="0" xr:uid="{E3B7EAF7-5363-4025-A539-8A61254B61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9" authorId="0" shapeId="0" xr:uid="{923F9C06-9195-4EF9-B22D-2266F46081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9" authorId="0" shapeId="0" xr:uid="{F1645460-408F-4391-988F-86FAF32609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9" authorId="0" shapeId="0" xr:uid="{498496E5-EA5A-43ED-AF54-D748238FA9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9" authorId="0" shapeId="0" xr:uid="{092BEFF4-A3FE-4271-92D6-E2D5AF2018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9" authorId="0" shapeId="0" xr:uid="{6F5CE334-C246-4035-BAFC-E4AB665BA8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9" authorId="0" shapeId="0" xr:uid="{08D3092B-D487-41D7-815D-239E0391D5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9" authorId="0" shapeId="0" xr:uid="{3962E79E-12B2-4603-BD6F-41FABE856A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9" authorId="0" shapeId="0" xr:uid="{F83D0376-F0AE-4980-86E3-404C46F7BD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9" authorId="0" shapeId="0" xr:uid="{0AB891B3-1BC6-49B2-9571-B3F0BEBAE1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0" authorId="0" shapeId="0" xr:uid="{A0CE29A8-1F2A-438B-8026-77F86863C4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0" authorId="0" shapeId="0" xr:uid="{C2FB992E-E31F-4226-AAB1-9ECBD0C2BC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0" authorId="0" shapeId="0" xr:uid="{CFB9CB44-BC1A-4F38-B83F-56D5B6217D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0" authorId="0" shapeId="0" xr:uid="{C8C28166-0307-4562-A10F-948A73C859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0" authorId="0" shapeId="0" xr:uid="{CE0C18FE-7A1E-4B22-B4FB-712F2B1C29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0" authorId="0" shapeId="0" xr:uid="{660EA1B8-CAE0-433F-AA3B-A284D17BE2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0" authorId="0" shapeId="0" xr:uid="{E5CB5E44-FF55-4F5E-8F20-9DE23365D8B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0" authorId="0" shapeId="0" xr:uid="{108778C7-A5F2-44A2-97AF-DF03D5A539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0" authorId="0" shapeId="0" xr:uid="{26E22D6D-53D7-4C08-9C2B-77E3AEAAF8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0" authorId="0" shapeId="0" xr:uid="{D8B73ACE-2B4E-44E2-92BB-55A4C36FF4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0" authorId="0" shapeId="0" xr:uid="{0A25EDFE-270A-4E54-8C1A-463062A35E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0" authorId="0" shapeId="0" xr:uid="{73BC2F4A-3A84-46D6-86E2-7ED75EAA7B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2" authorId="0" shapeId="0" xr:uid="{36E06DCE-31FB-496D-8849-2FE49BA0F4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2" authorId="0" shapeId="0" xr:uid="{AB87F62D-2851-44F9-B179-6DDFC55B56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2" authorId="0" shapeId="0" xr:uid="{1A44308E-05B2-4569-8316-EF37DDF2E7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2" authorId="0" shapeId="0" xr:uid="{7381C002-486F-4A37-9EAF-56786C2459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2" authorId="0" shapeId="0" xr:uid="{FC5F0FF7-12FD-4D59-B54A-4DC606A4A8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2" authorId="0" shapeId="0" xr:uid="{FF52AD9A-4767-49F0-8672-982BBFD35A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2" authorId="0" shapeId="0" xr:uid="{27DB3017-82E5-481F-95E7-A3DCDD607AB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2" authorId="0" shapeId="0" xr:uid="{733DF84C-1B61-4D04-A24B-984BD3CA10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2" authorId="0" shapeId="0" xr:uid="{A5B80B68-59B2-4DAA-A8F4-7886B53D1F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2" authorId="0" shapeId="0" xr:uid="{8F963D1B-B7ED-456E-8A8C-7D3C99ED35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2" authorId="0" shapeId="0" xr:uid="{7655644E-53FD-4A4B-9ABA-6752E389B2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2" authorId="0" shapeId="0" xr:uid="{4406B936-F391-4A8D-858C-47FAF691DA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7" authorId="0" shapeId="0" xr:uid="{8AD1B595-9FD3-4E6E-A86C-AD208AA5EB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7" authorId="0" shapeId="0" xr:uid="{7E9227BA-548F-4CF7-A9AF-C18B005A08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7" authorId="0" shapeId="0" xr:uid="{A9DCFB2E-03F9-4536-B18C-BA5E458D71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7" authorId="0" shapeId="0" xr:uid="{FD4A0067-9EBB-43F4-BF9A-56756BDFE3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7" authorId="0" shapeId="0" xr:uid="{824D79ED-DE28-4F7A-9BD5-D3D9661DBD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7" authorId="0" shapeId="0" xr:uid="{B05341F2-0CF4-4FB1-88E8-C2F5888D9A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7" authorId="0" shapeId="0" xr:uid="{07600149-0641-42E5-8763-65FBF1C7EA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7" authorId="0" shapeId="0" xr:uid="{9C31963D-2EA4-4CFA-A522-AB4D1176E4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7" authorId="0" shapeId="0" xr:uid="{CC05607D-1F78-40FE-9468-D7E334D6EF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7" authorId="0" shapeId="0" xr:uid="{7CEF8A88-8DB9-4463-BDEB-5A8BE4CCEA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7" authorId="0" shapeId="0" xr:uid="{9F7DC839-A5A8-4A70-BAA5-1DD5CAFA61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7" authorId="0" shapeId="0" xr:uid="{D0286023-051E-4E84-A334-4A47482BE9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8" authorId="0" shapeId="0" xr:uid="{06BCC93D-2B41-4975-B3D1-E82EBD9873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8" authorId="0" shapeId="0" xr:uid="{02F4DC32-CC13-4A31-900B-111C254C38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8" authorId="0" shapeId="0" xr:uid="{63EDAD49-28E0-49D9-8639-F518C61D14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8" authorId="0" shapeId="0" xr:uid="{5BE41B72-DE21-47BC-98AE-CA1424FE69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8" authorId="0" shapeId="0" xr:uid="{54AC745A-C345-40E2-A934-CC4AF539CA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8" authorId="0" shapeId="0" xr:uid="{C8966393-4CDF-4760-A80F-FEF795284C1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8" authorId="0" shapeId="0" xr:uid="{C2CB12F8-19ED-498D-9334-8DF6C275D0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8" authorId="0" shapeId="0" xr:uid="{2B297CF1-3519-4A8A-8F3B-7D5B422A684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8" authorId="0" shapeId="0" xr:uid="{992BDE52-52BC-49B6-A6F4-BE2C91F7AB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8" authorId="0" shapeId="0" xr:uid="{0F92AE2D-5B6F-4B9D-BAE6-407DF63098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8" authorId="0" shapeId="0" xr:uid="{E485D28E-7C6B-48FF-9BF7-EAF9C9019C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8" authorId="0" shapeId="0" xr:uid="{1899DB0E-EE6C-44AE-9CA7-124D38C29F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2" authorId="0" shapeId="0" xr:uid="{CBF97D0E-C3B5-43AD-9BB4-04238DE46D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2" authorId="0" shapeId="0" xr:uid="{8E129334-CF36-4CD8-8E77-C564CDFACB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2" authorId="0" shapeId="0" xr:uid="{B1E5C041-567B-4D81-9759-C8372FEE63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2" authorId="0" shapeId="0" xr:uid="{5A6EBA78-98B0-4C00-8A1D-EEE22F6215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2" authorId="0" shapeId="0" xr:uid="{9DE24648-2124-4639-BD75-82F6E97AB2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2" authorId="0" shapeId="0" xr:uid="{2FFDA0ED-63D9-46CE-AADF-485636C035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2" authorId="0" shapeId="0" xr:uid="{63B8A5C6-A6DF-4F9A-BAF2-B4904149203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2" authorId="0" shapeId="0" xr:uid="{45B57587-4255-421A-A2D8-2F21187C90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2" authorId="0" shapeId="0" xr:uid="{DF3B9A79-B961-41E2-8D05-7B4DB01AF53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2" authorId="0" shapeId="0" xr:uid="{09B83891-3677-4BBB-9950-3A62D2D294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2" authorId="0" shapeId="0" xr:uid="{1EFACB10-4D33-4A22-AAEA-D2517FB282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2" authorId="0" shapeId="0" xr:uid="{C450BCC6-7E92-4327-9E9E-8F63415963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4" authorId="0" shapeId="0" xr:uid="{D449C0E4-1C69-4295-A3B2-FB64D6D76B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4" authorId="0" shapeId="0" xr:uid="{F7411704-43BE-4306-9904-124B1B9E8E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4" authorId="0" shapeId="0" xr:uid="{4CF3340A-1B4B-41BF-918C-35D9583116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4" authorId="0" shapeId="0" xr:uid="{ECC3B106-5BA0-48F3-B58F-9C3F185D42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4" authorId="0" shapeId="0" xr:uid="{7DA7E70E-758D-4426-A9AE-733163ED84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4" authorId="0" shapeId="0" xr:uid="{89D2BCFC-A4E2-4A5A-A8FA-3CA3C2FBD3C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4" authorId="0" shapeId="0" xr:uid="{9D412763-2AB1-4BAA-92C8-3A2C69B66C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4" authorId="0" shapeId="0" xr:uid="{CF7A1425-C6B1-4511-AA40-E740A29018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4" authorId="0" shapeId="0" xr:uid="{AC695BA6-0B0B-406B-AE7F-0C18FBA5BC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4" authorId="0" shapeId="0" xr:uid="{9D58C405-A1A8-4B3D-A4F0-D372E51805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4" authorId="0" shapeId="0" xr:uid="{31D2E5D4-38D1-4808-A7F9-EB34323E35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4" authorId="0" shapeId="0" xr:uid="{A7B705B3-9714-456B-B26E-00C54A4FB23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7" authorId="0" shapeId="0" xr:uid="{C7F6E8DB-A3FC-4318-BC36-13CBF73218F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7" authorId="0" shapeId="0" xr:uid="{401D2EAB-5BF0-45CE-B01E-58AB1AF950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7" authorId="0" shapeId="0" xr:uid="{75670A64-DE9D-422A-85DD-DCF4B9B450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7" authorId="0" shapeId="0" xr:uid="{822CF450-6641-48C8-B0AE-48BE58A5C7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7" authorId="0" shapeId="0" xr:uid="{9F3F6D4B-6B80-43ED-AD9B-F0FE50965D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7" authorId="0" shapeId="0" xr:uid="{07BB800D-4E7E-4126-A060-26FCB10A9F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7" authorId="0" shapeId="0" xr:uid="{123F3830-1AF9-4339-AF84-0C81BB17F3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7" authorId="0" shapeId="0" xr:uid="{F94DDFF2-AC2C-476E-B107-79FEEB1A7D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7" authorId="0" shapeId="0" xr:uid="{162A6A1B-0BF7-42EF-9F14-59E0617129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7" authorId="0" shapeId="0" xr:uid="{7448386F-E385-4942-A111-CFC762415B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7" authorId="0" shapeId="0" xr:uid="{69BA9E49-F10B-4A96-9EFF-5DFA42DBE53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7" authorId="0" shapeId="0" xr:uid="{483C67D3-B6F1-4F2E-A5F1-2CA28A269A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74" authorId="0" shapeId="0" xr:uid="{9DB9AD38-C882-4533-995E-F39E5EE688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74" authorId="0" shapeId="0" xr:uid="{350C7E9F-BB15-4E88-94AC-5AA2950AD4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74" authorId="0" shapeId="0" xr:uid="{6F803EEB-22C2-4BE1-981E-EBE71B21B4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74" authorId="0" shapeId="0" xr:uid="{0010857A-29FA-4138-A010-FFA22032B3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74" authorId="0" shapeId="0" xr:uid="{3B8D6E6E-D3CE-470F-92CA-BF997D6478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74" authorId="0" shapeId="0" xr:uid="{4FA0DAAD-70D3-41C7-9C2F-46388F9634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74" authorId="0" shapeId="0" xr:uid="{10555AB9-8D1B-4133-80B8-C57E668023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74" authorId="0" shapeId="0" xr:uid="{738F9AF6-1675-4913-A0B0-AA77A3B21F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74" authorId="0" shapeId="0" xr:uid="{C7F7E2F2-9576-4F8F-9B99-C403EC1028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74" authorId="0" shapeId="0" xr:uid="{BCFCD78F-8914-41C2-97CD-DA1346368D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74" authorId="0" shapeId="0" xr:uid="{A2F0969D-C232-4050-97B8-E60043139D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74" authorId="0" shapeId="0" xr:uid="{AF036261-5FEA-47FF-98CA-A894B84DA8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79" authorId="0" shapeId="0" xr:uid="{BBB1F2F4-2D43-41E2-A79C-F8A7EA15F0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79" authorId="0" shapeId="0" xr:uid="{8AA956A4-251A-43C3-8704-6CB34A6B64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79" authorId="0" shapeId="0" xr:uid="{57CB949B-9269-454E-BF54-BDA4252A96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79" authorId="0" shapeId="0" xr:uid="{053C6E34-0187-46B6-84D6-828C81A2CC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79" authorId="0" shapeId="0" xr:uid="{A6D425DC-E274-4785-B1A7-E70A9154BE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79" authorId="0" shapeId="0" xr:uid="{1F01C5B0-47AE-45C2-9BE6-6D391BB4FC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79" authorId="0" shapeId="0" xr:uid="{1C970A1B-1B42-4329-878F-EC33BDB1E7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79" authorId="0" shapeId="0" xr:uid="{7736128A-099D-4420-8EE7-1A58E5ED55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79" authorId="0" shapeId="0" xr:uid="{ACD0B9D9-9F42-4905-A80F-42257B0B9D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79" authorId="0" shapeId="0" xr:uid="{19B58B93-DE81-4D30-9DEB-4FFE22848A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79" authorId="0" shapeId="0" xr:uid="{AA418836-4C69-4A0D-B94A-94657DBFE0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79" authorId="0" shapeId="0" xr:uid="{1155C5B4-6063-4BB7-8019-5EA4A626A9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80" authorId="0" shapeId="0" xr:uid="{EC6EB337-52D4-420B-88E2-DF670C6044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80" authorId="0" shapeId="0" xr:uid="{FA93A902-FBBD-4D55-8827-6482800FB25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80" authorId="0" shapeId="0" xr:uid="{01124CFC-CEA3-45E7-B8A0-DA16E157AB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80" authorId="0" shapeId="0" xr:uid="{0AF504B6-FE73-4BF3-8A67-372BCE2088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80" authorId="0" shapeId="0" xr:uid="{2D3A3780-D717-4016-8B96-FC7675DC23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80" authorId="0" shapeId="0" xr:uid="{52B44516-A494-4CD5-9591-3DD8BE90BB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80" authorId="0" shapeId="0" xr:uid="{13B2ED7A-F3F6-41B4-B4BB-190AC8957D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80" authorId="0" shapeId="0" xr:uid="{1B7177B2-BE4F-4D8C-9C14-FAE53FAEFC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80" authorId="0" shapeId="0" xr:uid="{FECABA7E-B236-4DD8-B6CD-070583272A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80" authorId="0" shapeId="0" xr:uid="{7238BFDD-65BE-4B8A-8851-251A68D1B4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80" authorId="0" shapeId="0" xr:uid="{FF27BAEC-183F-411B-B2E9-0BF102933E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80" authorId="0" shapeId="0" xr:uid="{9FCF03C5-29BB-4FDF-880B-CC19561CB0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6" authorId="0" shapeId="0" xr:uid="{69DAD161-44DA-420C-990B-03B76E3DECC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6" authorId="0" shapeId="0" xr:uid="{BB6F4BBE-DAAE-4A65-8D56-F3A01386F4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6" authorId="0" shapeId="0" xr:uid="{B9EDE188-14EC-4625-A7E8-D79C941EDC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6" authorId="0" shapeId="0" xr:uid="{3CCC95D4-0840-4C3D-B0E1-1C94324CBB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6" authorId="0" shapeId="0" xr:uid="{8BDC6BAF-28AE-4D0D-9C62-FC0CCC6049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6" authorId="0" shapeId="0" xr:uid="{2A208E48-822F-481C-ABDE-FFF8D31AFA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6" authorId="0" shapeId="0" xr:uid="{FF68595E-4BC8-4B9E-9987-E3C10C47AA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6" authorId="0" shapeId="0" xr:uid="{5DF11F51-40CC-4297-9058-151936E13C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6" authorId="0" shapeId="0" xr:uid="{0D68D9D4-920F-404E-98D6-DE926D60B4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6" authorId="0" shapeId="0" xr:uid="{922DB72E-E3FF-47E0-A4D2-A4F6D78F41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6" authorId="0" shapeId="0" xr:uid="{4189D5CD-94F2-4668-9C2E-F03F2243C9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6" authorId="0" shapeId="0" xr:uid="{2226113B-8734-44B9-B646-FECB68DB37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7" authorId="0" shapeId="0" xr:uid="{4F469E51-ACFD-44F1-A8ED-B678E726163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7" authorId="0" shapeId="0" xr:uid="{1265F8AA-23CD-4BD5-9257-065C51B0E9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7" authorId="0" shapeId="0" xr:uid="{8FD249BD-8218-4FFE-BB9A-7AAFA759A2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7" authorId="0" shapeId="0" xr:uid="{72F18AB2-D4F4-4251-BD9C-F9D5A14D60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7" authorId="0" shapeId="0" xr:uid="{EA5345B5-C3C1-4D53-8032-469FF82AB4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7" authorId="0" shapeId="0" xr:uid="{3D2166B1-5ADF-4C72-B2AB-0101A8EEB42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7" authorId="0" shapeId="0" xr:uid="{5237BCA2-B946-4A5F-B0D8-2ABD784030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7" authorId="0" shapeId="0" xr:uid="{2D7710F6-96C9-46B3-8734-56DC0D1829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7" authorId="0" shapeId="0" xr:uid="{5131A96E-ADC3-4DB7-A1BC-85ABF38369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7" authorId="0" shapeId="0" xr:uid="{A86D8ADE-7319-4FB4-98D2-1A4836DC798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7" authorId="0" shapeId="0" xr:uid="{D852C618-D739-44BA-9885-A58B303B3BC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7" authorId="0" shapeId="0" xr:uid="{16F9895E-AC21-4CB5-A512-7967283254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8" authorId="0" shapeId="0" xr:uid="{1F81C5A9-D692-4C0A-A8EC-86E9449743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8" authorId="0" shapeId="0" xr:uid="{2B316639-7DC4-444A-8AFD-8EE770A3D1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8" authorId="0" shapeId="0" xr:uid="{3C965442-2E51-4F04-9847-26D147D8FDA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8" authorId="0" shapeId="0" xr:uid="{5FAA9CBE-A457-4920-9B69-41917905BC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8" authorId="0" shapeId="0" xr:uid="{EBA797EE-B900-4D4C-BDFC-1DD0FAAE3F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8" authorId="0" shapeId="0" xr:uid="{5AE328F7-2E58-4971-B6E5-07166C10A1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8" authorId="0" shapeId="0" xr:uid="{2522C14A-14E0-4E4B-9BA6-D387B8241B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8" authorId="0" shapeId="0" xr:uid="{EA4038A7-8379-431B-A373-0C7E4294E0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8" authorId="0" shapeId="0" xr:uid="{D0F1CE2E-0070-4A0C-9ED7-7810F09CAC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8" authorId="0" shapeId="0" xr:uid="{4A3B735E-1825-4AC5-B82B-FD5B82D503F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8" authorId="0" shapeId="0" xr:uid="{929E4106-07CB-4A24-8314-7C6614AC73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8" authorId="0" shapeId="0" xr:uid="{E40B066C-7BFB-42FF-896B-91820C23BF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680" authorId="0" shapeId="0" xr:uid="{7FCC707A-37D3-47D2-8BDA-EF2B86C84E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680" authorId="0" shapeId="0" xr:uid="{D29F3129-AEF7-4B58-865D-34A8AE1ED7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680" authorId="0" shapeId="0" xr:uid="{5AEF4E01-C912-4705-8F04-BC35080C8E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680" authorId="0" shapeId="0" xr:uid="{99700D64-1FFD-4EB8-A57E-241000052E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680" authorId="0" shapeId="0" xr:uid="{905D0DC5-CC18-4F03-9606-EE973B5B76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680" authorId="0" shapeId="0" xr:uid="{21FEFBAB-9B6B-4E2B-809F-1B10877AA7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680" authorId="0" shapeId="0" xr:uid="{38B07EDC-9E85-4C0C-86DC-96C6E2CFA3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680" authorId="0" shapeId="0" xr:uid="{7769AFC9-33A3-4932-A921-7816BF7819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680" authorId="0" shapeId="0" xr:uid="{E49D96FF-22F6-4A86-A9E7-2A3AC453C4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680" authorId="0" shapeId="0" xr:uid="{D3B20FA4-DC22-4C94-9AF3-38509BD22E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680" authorId="0" shapeId="0" xr:uid="{97051CB9-A1B2-41C2-A040-3B4BD99D8A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680" authorId="0" shapeId="0" xr:uid="{C94ACBE6-F892-49BA-B6EE-C2C299CD8B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bloombergx</author>
  </authors>
  <commentList>
    <comment ref="C17" authorId="0" shapeId="0" xr:uid="{0111B17C-2C31-4400-B6BB-A642E6820A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18" authorId="0" shapeId="0" xr:uid="{FE30212F-0453-4B1F-AE79-087D4470AA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19" authorId="0" shapeId="0" xr:uid="{F2618657-DAF9-45CD-9CFB-ABAE4AD579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19" authorId="0" shapeId="0" xr:uid="{5E83F82A-6024-41E7-87A0-5D2CF55272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19" authorId="0" shapeId="0" xr:uid="{1A70ACA3-D22C-4870-8AFC-86D2C65A20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19" authorId="0" shapeId="0" xr:uid="{589E892B-40AC-4DE4-828B-F2D064CF5A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19" authorId="0" shapeId="0" xr:uid="{9890D584-7A13-4BA2-B572-B5557AA2126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19" authorId="0" shapeId="0" xr:uid="{6582052D-516B-452C-B12F-860ECF06DC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19" authorId="0" shapeId="0" xr:uid="{72D055B0-2C9D-4BD9-90B9-17E78FD0ED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0" authorId="0" shapeId="0" xr:uid="{1CDC883E-6C86-42CF-BFDD-2D58249BB6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0" authorId="0" shapeId="0" xr:uid="{46DCD8E5-7288-4207-8C6F-B74AFC1C7C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0" authorId="0" shapeId="0" xr:uid="{7B690DA7-DCE7-4200-8321-F30C0F6D9B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0" authorId="0" shapeId="0" xr:uid="{8D6BF21B-95C7-4857-A33E-46A6CD88F8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0" authorId="0" shapeId="0" xr:uid="{76831A85-84C8-49DA-8021-6D97A1A05A1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0" authorId="0" shapeId="0" xr:uid="{F85A807E-8693-403A-AC1F-FBF7D40BDA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0" authorId="0" shapeId="0" xr:uid="{A09F409D-A07F-4C50-BE89-EA883EE6C9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1" authorId="0" shapeId="0" xr:uid="{73B94EA9-810B-401A-BFC3-81E076D5BD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1" authorId="0" shapeId="0" xr:uid="{0BB4352F-0D1A-4962-A7EF-4AF6604450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1" authorId="0" shapeId="0" xr:uid="{34409804-ED6E-4629-A472-F423945954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1" authorId="0" shapeId="0" xr:uid="{1A8CC7AA-F976-461C-B8CD-8CDA473CD50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1" authorId="0" shapeId="0" xr:uid="{290FA8AD-A0FF-415B-B8FB-FAA531EAF5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1" authorId="0" shapeId="0" xr:uid="{ED48CDE0-9432-4A2D-A0E4-76F731BC9D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1" authorId="0" shapeId="0" xr:uid="{D39D9841-31FE-4C9D-9048-8731741785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2" authorId="0" shapeId="0" xr:uid="{A0AEA2D4-CFEC-48E1-AB4D-6C59019341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2" authorId="0" shapeId="0" xr:uid="{2AB818B8-B277-4683-BFE6-066BB2F4EE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2" authorId="0" shapeId="0" xr:uid="{10907E2E-D707-4506-8909-0A73DEC702F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2" authorId="0" shapeId="0" xr:uid="{A373FDA3-1BDC-411F-AD5F-3500EEC963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2" authorId="0" shapeId="0" xr:uid="{1BA4576D-621C-4B9E-97D9-0CE3854483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2" authorId="0" shapeId="0" xr:uid="{B904801B-1B75-497F-AB0A-FF4383D13C5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2" authorId="0" shapeId="0" xr:uid="{9A539617-0325-4463-ADAA-6BC1773EFB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3" authorId="0" shapeId="0" xr:uid="{838AF9C3-5EC4-4EA5-A51D-45ABDDA98D9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3" authorId="0" shapeId="0" xr:uid="{08954852-FE3E-4A35-AE64-0445143C36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3" authorId="0" shapeId="0" xr:uid="{230F1988-58A4-4E4F-8434-E61A7F569A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3" authorId="0" shapeId="0" xr:uid="{4A52D8AA-16F8-4790-89D0-59AC6730E7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3" authorId="0" shapeId="0" xr:uid="{5EB55279-3D76-476F-A83D-D7C71B5C9E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3" authorId="0" shapeId="0" xr:uid="{4230B340-2953-4CFE-9179-24F07D181C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3" authorId="0" shapeId="0" xr:uid="{50D4EC50-0BF5-4A6E-AA16-4ABA80C0AF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C24" authorId="0" shapeId="0" xr:uid="{FFE341AC-8EDC-4EF3-9762-36F3B29DD6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4" authorId="0" shapeId="0" xr:uid="{5EF5BFD8-8E52-47E8-8E4A-3112A5DD75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4" authorId="0" shapeId="0" xr:uid="{FEE0D348-58D3-486D-90D1-8AB7631A21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4" authorId="0" shapeId="0" xr:uid="{9D274323-2B7C-42BB-A1B4-A69B5529C8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4" authorId="0" shapeId="0" xr:uid="{71BF4A92-3CB6-49F8-B3D0-94572F9BEA4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4" authorId="0" shapeId="0" xr:uid="{E3D5ED8D-2FD0-4B14-B127-A3AAC8FBDF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4" authorId="0" shapeId="0" xr:uid="{9901FA23-9C6E-498E-ACFD-DC82293032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K25" authorId="0" shapeId="0" xr:uid="{F6FCC9D9-50F3-48BA-8073-41B3FF6F0D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L25" authorId="0" shapeId="0" xr:uid="{9AFEAFC4-118B-4E9C-AA17-A6651E08EC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M25" authorId="0" shapeId="0" xr:uid="{49103F00-82E7-42C5-895C-5B1566AC13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N25" authorId="0" shapeId="0" xr:uid="{853496F4-9943-4CF4-9014-A6999F6FAF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O25" authorId="0" shapeId="0" xr:uid="{02AC7134-BBB3-47F8-875F-A7186DF8D8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AP25" authorId="0" shapeId="0" xr:uid="{2377DCCE-F274-498D-A385-9D5429EAE3D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2" authorId="0" shapeId="0" xr:uid="{AD3ABE4A-DC2C-4861-949D-6F24405800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2" authorId="0" shapeId="0" xr:uid="{DE16D768-9C46-43A7-BFAD-802512B03E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2" authorId="0" shapeId="0" xr:uid="{52446926-7A66-4AF2-A41E-6B32CFCEAD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2" authorId="0" shapeId="0" xr:uid="{CBDDADC3-2D0E-495D-BD61-CAB4A357E0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2" authorId="0" shapeId="0" xr:uid="{6341CC50-AED4-4E87-B617-194E13A209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2" authorId="0" shapeId="0" xr:uid="{2501FE46-F705-4A68-8B54-94E82053C7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2" authorId="0" shapeId="0" xr:uid="{2643E7FD-EFB9-4B0A-BA53-B09F66C0E0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2" authorId="0" shapeId="0" xr:uid="{16ED69B4-5EC8-43ED-B3C4-0BEB160BBA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2" authorId="0" shapeId="0" xr:uid="{D3B7C088-AEA4-4464-A1EB-BD9280CD54A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2" authorId="0" shapeId="0" xr:uid="{BB3F3B73-0B07-4A52-AC0D-043C5D693D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2" authorId="0" shapeId="0" xr:uid="{EA9003E7-8F17-4041-B8AA-3F7C97C761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2" authorId="0" shapeId="0" xr:uid="{824511D7-302D-423C-BDD1-60B87FF532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3" authorId="0" shapeId="0" xr:uid="{80AAE9E3-9B72-47A0-B03F-431A6920F5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3" authorId="0" shapeId="0" xr:uid="{710BF972-A194-4524-B8C5-B8A52BF57A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3" authorId="0" shapeId="0" xr:uid="{A63413AF-145C-4FB8-A719-2AB835CCA53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3" authorId="0" shapeId="0" xr:uid="{EC1051FE-5CFB-4FC8-93DE-3459805C79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3" authorId="0" shapeId="0" xr:uid="{61FC137F-4DDF-4077-BE9B-F7D8835A52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3" authorId="0" shapeId="0" xr:uid="{770CE69A-F4BA-4989-A1D5-2DDAE4D17C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3" authorId="0" shapeId="0" xr:uid="{03A1558E-CF20-4B49-A5B7-5CCCD4F133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3" authorId="0" shapeId="0" xr:uid="{4A6B0BD8-E857-4715-9437-93C4000873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3" authorId="0" shapeId="0" xr:uid="{9346AFB6-797E-4153-9D4C-04669D0C1C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3" authorId="0" shapeId="0" xr:uid="{5A1E6C00-8646-498A-B4F2-C14EA2B22C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3" authorId="0" shapeId="0" xr:uid="{470EA0B8-B937-4685-8097-6E7CA1E265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3" authorId="0" shapeId="0" xr:uid="{4EB6E616-6042-42EC-B371-6B91CC605B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4" authorId="0" shapeId="0" xr:uid="{F90DDFD0-56E9-4A7A-A321-02CC329082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4" authorId="0" shapeId="0" xr:uid="{E1744F60-0715-4D3C-989F-84C1DD911A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4" authorId="0" shapeId="0" xr:uid="{37DDB514-E866-4BCA-ADC3-382C8BE56B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4" authorId="0" shapeId="0" xr:uid="{86671D60-8C91-49DD-A0A6-307D32B53A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4" authorId="0" shapeId="0" xr:uid="{D6319426-5A16-4022-96E1-807AD1A593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4" authorId="0" shapeId="0" xr:uid="{8E8FDE56-C733-4266-AA7C-A52D74B62B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4" authorId="0" shapeId="0" xr:uid="{EFCD9753-07BC-463F-AAC9-E25073D455F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4" authorId="0" shapeId="0" xr:uid="{CFCA56F9-E4F0-40EC-B5BD-80B06070E5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4" authorId="0" shapeId="0" xr:uid="{E6EF25CC-DBCF-4259-AE10-121C7283B1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4" authorId="0" shapeId="0" xr:uid="{6FB25F31-428C-45FC-B9C7-86C89FA4165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4" authorId="0" shapeId="0" xr:uid="{6332F0C1-E1AF-4BAC-A5C2-622F5F69AD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4" authorId="0" shapeId="0" xr:uid="{871976A8-0FC8-475C-9CA6-2EF32BF330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5" authorId="0" shapeId="0" xr:uid="{731E3E67-0E5D-4738-B3DA-C8E64C8115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5" authorId="0" shapeId="0" xr:uid="{140329C3-93BE-4E76-A653-72A78C7A94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5" authorId="0" shapeId="0" xr:uid="{CCBBC7A0-A86B-4271-8D3A-E45D91EE1E1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5" authorId="0" shapeId="0" xr:uid="{02CDC43E-3446-405B-A746-5E9E9B575D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5" authorId="0" shapeId="0" xr:uid="{209EDCB7-6DA4-4E61-A5F5-A7229DD827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5" authorId="0" shapeId="0" xr:uid="{891BA3D7-AF43-4B1B-AEF4-FDD613B4BC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5" authorId="0" shapeId="0" xr:uid="{44A7E46C-6838-4D52-80A4-BAE22DB8A4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5" authorId="0" shapeId="0" xr:uid="{62813355-8619-4AAB-B1EF-130063770C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5" authorId="0" shapeId="0" xr:uid="{A2D8BEFF-D63F-4889-9C21-CB5DCF2073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5" authorId="0" shapeId="0" xr:uid="{D62D07C7-F5B4-4CC7-BBA0-33D55A9F5D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5" authorId="0" shapeId="0" xr:uid="{98CE3BEA-CFC0-4CDB-A58F-1B65816AB7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5" authorId="0" shapeId="0" xr:uid="{F4D8BEEA-A11E-4309-9030-22A1275591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6" authorId="0" shapeId="0" xr:uid="{1EA38261-3BF1-45A7-B85F-23D8882058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6" authorId="0" shapeId="0" xr:uid="{36DB834A-C0F6-4245-B87F-EEF1EF3256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6" authorId="0" shapeId="0" xr:uid="{83317E09-2CA0-4568-A672-0B78E0CA63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6" authorId="0" shapeId="0" xr:uid="{919DDC65-9A6A-4879-BDF5-A7BCBD16D8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6" authorId="0" shapeId="0" xr:uid="{55D3C1AA-A88B-4926-94C7-1B6D4798962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6" authorId="0" shapeId="0" xr:uid="{0808A44C-78A3-47C8-94FC-DC633148A2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6" authorId="0" shapeId="0" xr:uid="{09BE3A22-731E-4A23-B744-FAC9283491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6" authorId="0" shapeId="0" xr:uid="{A31ACEA7-6D31-4CFF-A22A-6F05A045D6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6" authorId="0" shapeId="0" xr:uid="{8D09B588-D114-4E10-826A-67F3A4A445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6" authorId="0" shapeId="0" xr:uid="{8895865D-9E00-48D1-86EA-2D16B476DB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6" authorId="0" shapeId="0" xr:uid="{6B063F5E-20EC-4C07-8D56-12B127C07C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6" authorId="0" shapeId="0" xr:uid="{E21AC3D1-BDF9-42DB-9DFA-8A44A64AFC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7" authorId="0" shapeId="0" xr:uid="{E824F54A-F8A2-498A-8FD2-3B6D41BC44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7" authorId="0" shapeId="0" xr:uid="{461343BB-CA15-436B-B42E-6B6B7B1140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7" authorId="0" shapeId="0" xr:uid="{8928C196-E6F6-4CBE-B604-2D790536EF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7" authorId="0" shapeId="0" xr:uid="{1485C957-C5AC-4947-8BF1-901F35BEF8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7" authorId="0" shapeId="0" xr:uid="{ABEB6E13-4E46-4058-A823-ACEF40DFDD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7" authorId="0" shapeId="0" xr:uid="{00BD90D7-EA15-4D33-A584-69F8AEFB6F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7" authorId="0" shapeId="0" xr:uid="{B66F7301-FF60-4E74-90F5-FA9C1A052B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7" authorId="0" shapeId="0" xr:uid="{281494F8-D8F6-427C-B93D-9CE70105D01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7" authorId="0" shapeId="0" xr:uid="{00F17817-AC19-4C23-9258-97264E2FA1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7" authorId="0" shapeId="0" xr:uid="{7D12D7E3-2F17-4EBA-AFC0-1EA47AE4C6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7" authorId="0" shapeId="0" xr:uid="{18445615-B979-4260-9053-C29B669EF7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7" authorId="0" shapeId="0" xr:uid="{9BA82E2E-AEBA-4C72-A15B-0A7CF3C60C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218" authorId="0" shapeId="0" xr:uid="{8A2CF164-9BE2-48E8-AA4F-C6945016C6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218" authorId="0" shapeId="0" xr:uid="{E8543C0A-6AC1-40D6-BA5F-981EE5EE42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218" authorId="0" shapeId="0" xr:uid="{16539557-AA7B-49A0-B3D1-5C52B62100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218" authorId="0" shapeId="0" xr:uid="{F9E9B226-B2CA-4694-92EA-DA9286690F0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218" authorId="0" shapeId="0" xr:uid="{91974C1A-7F8D-4B2A-B141-F2664F42D61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218" authorId="0" shapeId="0" xr:uid="{0F4C771D-4FC5-4601-91F4-7D5F2E4959C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218" authorId="0" shapeId="0" xr:uid="{5F757397-18E0-4C20-A514-989CCE73E0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218" authorId="0" shapeId="0" xr:uid="{04AC302A-84F6-4EF4-BD23-8556CF7DBD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218" authorId="0" shapeId="0" xr:uid="{730F9D44-B421-4CF2-A2E1-F2D8E20DF5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218" authorId="0" shapeId="0" xr:uid="{7156E3B0-3CEB-482C-B816-CA2D7E9CD9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218" authorId="0" shapeId="0" xr:uid="{6491EC04-A475-4A60-A74E-8649247F0A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218" authorId="0" shapeId="0" xr:uid="{4038A850-6697-4BAA-8491-192442704B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6" authorId="0" shapeId="0" xr:uid="{FAC2868F-03B0-4B88-B08B-60F7EDE483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6" authorId="0" shapeId="0" xr:uid="{A03DEB16-D2E6-4863-90F8-D8AD78484A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6" authorId="0" shapeId="0" xr:uid="{36C68053-3AF0-466D-94DB-720AA5BBC8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6" authorId="0" shapeId="0" xr:uid="{F5727745-8FD3-4C23-B40F-BC298E9E23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6" authorId="0" shapeId="0" xr:uid="{3AC3362A-50CF-4DA9-B40A-D94D8279A7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6" authorId="0" shapeId="0" xr:uid="{CB562AC2-5378-4DC9-9E37-5404A2D6AF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6" authorId="0" shapeId="0" xr:uid="{C5FF80C4-F6CD-4A26-AD1E-1BCC618942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6" authorId="0" shapeId="0" xr:uid="{D3FA4B31-8D8A-49EE-ACDB-C53AC74B21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6" authorId="0" shapeId="0" xr:uid="{098FF975-104D-4545-978A-9A7BD6F9BB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6" authorId="0" shapeId="0" xr:uid="{842EE784-AA5B-46D0-AA67-291F06F4F0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6" authorId="0" shapeId="0" xr:uid="{8C019A83-3694-4E80-AACF-F9EB80176C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6" authorId="0" shapeId="0" xr:uid="{9F0302EC-D97F-4DDE-A7D5-826140EB7CF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7" authorId="0" shapeId="0" xr:uid="{6CE40A64-BCDA-4CB4-A909-F0B89CD22A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7" authorId="0" shapeId="0" xr:uid="{59CEFE7C-6F5B-451C-AFD7-1AA039B318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7" authorId="0" shapeId="0" xr:uid="{3EFF6F46-871D-4055-944F-1332BF156A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7" authorId="0" shapeId="0" xr:uid="{22963F19-6E52-4977-B544-221A648E2C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7" authorId="0" shapeId="0" xr:uid="{623841DF-51BB-4BC7-B49A-4143A4A72A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7" authorId="0" shapeId="0" xr:uid="{97E6E6DD-CA45-4612-9077-E9B2BB3888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7" authorId="0" shapeId="0" xr:uid="{AF4D045A-18AB-44C8-AF74-E17D350E21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7" authorId="0" shapeId="0" xr:uid="{B015DB7B-AC80-4ADE-B45E-DD22BF9762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7" authorId="0" shapeId="0" xr:uid="{6C72E521-62D9-4A8B-B0B5-9BD8693FB7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7" authorId="0" shapeId="0" xr:uid="{32E7D74F-2BC2-42BF-B544-1293E13EC9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7" authorId="0" shapeId="0" xr:uid="{5B4EF5AC-958B-47A1-81B3-C7081260C6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7" authorId="0" shapeId="0" xr:uid="{0B8B5143-735D-4949-8956-7233551A26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18" authorId="0" shapeId="0" xr:uid="{609B8FC7-1BEA-4A79-BB65-3013B30EE7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18" authorId="0" shapeId="0" xr:uid="{C49634F5-51E6-4582-987C-D83D6E7F49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18" authorId="0" shapeId="0" xr:uid="{BA135DC5-6826-4020-93DC-D77CAA5176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18" authorId="0" shapeId="0" xr:uid="{33B5E890-8AAC-4905-82C7-240A3C9370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18" authorId="0" shapeId="0" xr:uid="{C6C39285-001A-4D09-B8A6-DF87D92FF7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18" authorId="0" shapeId="0" xr:uid="{1AB41F7D-B68D-41BA-83F1-759A952AE8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18" authorId="0" shapeId="0" xr:uid="{7B50EAEE-050C-4388-89F3-905A4A2125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18" authorId="0" shapeId="0" xr:uid="{AE90F4C9-37BA-4EDA-9469-F66526B4E6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18" authorId="0" shapeId="0" xr:uid="{D7926443-259A-47E1-B415-C7D2AF8218A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18" authorId="0" shapeId="0" xr:uid="{F7A8CAF1-7309-4939-BF2D-A5C2977146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18" authorId="0" shapeId="0" xr:uid="{B3994D0D-BE87-435F-9036-9BD6950BC18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18" authorId="0" shapeId="0" xr:uid="{A8D0D3B1-19E2-480F-A10A-F841F092DC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1" authorId="0" shapeId="0" xr:uid="{6627FE41-6D9B-4E89-A7BC-D4590ED030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1" authorId="0" shapeId="0" xr:uid="{597BB672-9F78-40BE-9A5F-E542D31FB90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1" authorId="0" shapeId="0" xr:uid="{9306849A-E6E3-42DF-A6A1-E2F1293A1E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1" authorId="0" shapeId="0" xr:uid="{EFF41C99-671A-4000-A1CE-AE6C6E0695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1" authorId="0" shapeId="0" xr:uid="{7F3A2BD6-54D7-4A77-961F-C4CA12B47E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1" authorId="0" shapeId="0" xr:uid="{178C6964-2596-4047-B282-511376656E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1" authorId="0" shapeId="0" xr:uid="{19A1DB94-57BB-46C6-8C95-539B0CF1B4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1" authorId="0" shapeId="0" xr:uid="{DBDC6046-A04B-4FA9-B74A-ECD79E0459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1" authorId="0" shapeId="0" xr:uid="{E278B9BA-F9BF-435B-AD05-DB44CCF8F89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1" authorId="0" shapeId="0" xr:uid="{344D2A87-B5E0-4A88-B67A-D645230E5A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1" authorId="0" shapeId="0" xr:uid="{52EE6D4A-8355-498A-B9D2-BF9D965F71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1" authorId="0" shapeId="0" xr:uid="{2DAAC928-6568-4D17-BAFC-79F69E59CA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2" authorId="0" shapeId="0" xr:uid="{08F0DF84-3BD3-4AB3-B4DA-87BCF0D7CD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2" authorId="0" shapeId="0" xr:uid="{598F7927-2903-4AAB-BC98-F4AD44FC96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2" authorId="0" shapeId="0" xr:uid="{59E4871E-CB2C-40D0-AACC-BF054C38DB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2" authorId="0" shapeId="0" xr:uid="{E7FF9F6A-C59B-444D-97D5-EE0C5BDAC0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2" authorId="0" shapeId="0" xr:uid="{A4099174-D9BC-4206-B2B3-F76A509054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2" authorId="0" shapeId="0" xr:uid="{B3F361F0-3671-4599-B925-947E55AD4B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2" authorId="0" shapeId="0" xr:uid="{CE8224D2-98F6-4013-906F-3C81359B5F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2" authorId="0" shapeId="0" xr:uid="{079EA112-D5A6-4050-8FF6-C769FF79CD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2" authorId="0" shapeId="0" xr:uid="{2301A946-3592-438F-B50D-B662D03A39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2" authorId="0" shapeId="0" xr:uid="{68CE923C-9A8D-42CD-AD6D-DD63365C12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2" authorId="0" shapeId="0" xr:uid="{5A6CD404-19B3-4424-A5AA-9FC3FA875A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2" authorId="0" shapeId="0" xr:uid="{630EEBD4-B52F-4BEE-8DDD-F49B81C6D3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27" authorId="0" shapeId="0" xr:uid="{980F3BA9-685F-4F2D-BDA3-7A71DED7518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27" authorId="0" shapeId="0" xr:uid="{9210FF40-EDCF-42D4-AFFD-CC781515215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27" authorId="0" shapeId="0" xr:uid="{B794F7C5-7290-4875-A79F-3360E5CEB3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27" authorId="0" shapeId="0" xr:uid="{8DC3F89F-B701-42F6-BE9E-F206D1C4E1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27" authorId="0" shapeId="0" xr:uid="{75B32619-A43C-4878-A5D5-F52B2756A55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27" authorId="0" shapeId="0" xr:uid="{63063783-BF46-43BB-87EF-4E052FAC3B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27" authorId="0" shapeId="0" xr:uid="{61755EA9-CED1-4407-8B0F-438760F555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27" authorId="0" shapeId="0" xr:uid="{461E022A-BE7D-4D04-A8A2-5C9F55A7C9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27" authorId="0" shapeId="0" xr:uid="{8D6A9169-AE7A-41AE-9B90-E92E5DFBDE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27" authorId="0" shapeId="0" xr:uid="{FD32856B-E5DE-4C50-8D6E-B7471FE478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27" authorId="0" shapeId="0" xr:uid="{2F564BA6-F4F9-43E8-B640-A2D9E6564B4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27" authorId="0" shapeId="0" xr:uid="{D350E42B-54DD-466B-A713-778CC641FE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3" authorId="0" shapeId="0" xr:uid="{B0D3E2AD-BB76-46FD-940E-5D79DE0D26B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3" authorId="0" shapeId="0" xr:uid="{C3F8B6BD-CA0A-434B-B0FF-0D44E3AB3E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3" authorId="0" shapeId="0" xr:uid="{A7220139-A9A7-46B4-A79F-BEF1B6ADC5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3" authorId="0" shapeId="0" xr:uid="{65F7E06D-0822-4DBC-852E-E6C210271B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3" authorId="0" shapeId="0" xr:uid="{3A636ABC-C5E5-4C2F-965B-8B95982D73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3" authorId="0" shapeId="0" xr:uid="{745557EA-29C3-4DD8-9C19-3BC8F2A3F6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3" authorId="0" shapeId="0" xr:uid="{C4EC492A-1451-4C3C-B306-891D020BB9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3" authorId="0" shapeId="0" xr:uid="{576BF322-DD7E-4229-9B2E-A0CA86453A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3" authorId="0" shapeId="0" xr:uid="{E8B39C93-3F58-431F-BD1E-BFF3C02675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3" authorId="0" shapeId="0" xr:uid="{FD032048-FA1F-4E34-A72D-606191F9FA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3" authorId="0" shapeId="0" xr:uid="{F96A0D67-26DC-45E0-ACE3-1FA8ED5302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3" authorId="0" shapeId="0" xr:uid="{4531A714-E8C7-48CD-BD4B-E61FEED4B4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4" authorId="0" shapeId="0" xr:uid="{0769BD6E-0509-4B09-AA2F-9AD5116400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4" authorId="0" shapeId="0" xr:uid="{7B4E3997-562F-4F04-8F39-A6DCD738912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4" authorId="0" shapeId="0" xr:uid="{FBFC3B5A-2548-4DA8-9F93-E535107829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4" authorId="0" shapeId="0" xr:uid="{D18551E0-177B-4FB5-B394-36B1DEF757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4" authorId="0" shapeId="0" xr:uid="{4A39F634-A993-495A-B3A8-8E4E40488B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4" authorId="0" shapeId="0" xr:uid="{4B2724F3-FA03-41B0-9B24-C430DE6EFD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4" authorId="0" shapeId="0" xr:uid="{6C5DCE3D-43A5-4D01-B6FD-346E511064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4" authorId="0" shapeId="0" xr:uid="{4F830EC7-57AF-4AB8-8060-2C24FA8D7D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4" authorId="0" shapeId="0" xr:uid="{232D2142-CB1E-431B-9FFF-B8D419A325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4" authorId="0" shapeId="0" xr:uid="{09C74AC3-B69E-4433-A1EC-B3209EFB36B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4" authorId="0" shapeId="0" xr:uid="{402500E6-62D1-451A-B123-5E98B76030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4" authorId="0" shapeId="0" xr:uid="{1A5D74BE-9BD2-4C11-AC8B-4C5E2BA79B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5" authorId="0" shapeId="0" xr:uid="{CCAAB98F-07FC-41BA-851A-8181CE6C76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5" authorId="0" shapeId="0" xr:uid="{7D22B216-FFBD-4185-88E1-0A46B37A83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5" authorId="0" shapeId="0" xr:uid="{19D72167-99BC-4857-BA88-B4276DA97C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5" authorId="0" shapeId="0" xr:uid="{E502A018-3D38-4F8A-BE64-EE352B18A3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5" authorId="0" shapeId="0" xr:uid="{E13C2C5A-11F5-46B2-ABAF-5068678B298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5" authorId="0" shapeId="0" xr:uid="{ABD9C181-DA14-43C8-AB09-D2B0D93A36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5" authorId="0" shapeId="0" xr:uid="{286B04CE-B8DD-4242-ADD4-D08CCDF74A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5" authorId="0" shapeId="0" xr:uid="{37AFA1D1-AD88-427D-9BBC-1812814F77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5" authorId="0" shapeId="0" xr:uid="{003CA0CE-F889-4E59-A226-A2BFCB403E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5" authorId="0" shapeId="0" xr:uid="{DBDFC1F6-5785-4C6A-8459-2F164A2D76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5" authorId="0" shapeId="0" xr:uid="{F6DF6870-AF4B-4B59-B23B-376DCC0839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5" authorId="0" shapeId="0" xr:uid="{164031D7-246E-4BB0-8B9C-BD4473FB48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6" authorId="0" shapeId="0" xr:uid="{1ACF37A8-CC80-45EB-A4E6-6805444742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6" authorId="0" shapeId="0" xr:uid="{D09FA292-402C-4352-8049-01045BDE00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6" authorId="0" shapeId="0" xr:uid="{3A7398F3-083C-4A1E-BBDB-2723F00929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6" authorId="0" shapeId="0" xr:uid="{919D29B8-6C3D-427E-921A-F6E0B5A340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6" authorId="0" shapeId="0" xr:uid="{EB0311A5-06A4-4CCB-99FB-C4E6B60EF9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6" authorId="0" shapeId="0" xr:uid="{DCE7FD92-8B39-41F3-A36B-4C835DC385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6" authorId="0" shapeId="0" xr:uid="{0B8852B4-5174-4827-9ADB-898043363AA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6" authorId="0" shapeId="0" xr:uid="{D4580803-F5B8-4218-853B-7AF29A7864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6" authorId="0" shapeId="0" xr:uid="{A2699343-3231-4236-817D-8306BC160A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6" authorId="0" shapeId="0" xr:uid="{971842F9-2B32-4A5C-BA76-290F020D31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6" authorId="0" shapeId="0" xr:uid="{E5705AC0-7E93-4C73-9565-5A6576EEA8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6" authorId="0" shapeId="0" xr:uid="{5264E18C-DB00-406C-BF6E-436E2E99D2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37" authorId="0" shapeId="0" xr:uid="{31FD5D65-6F95-4051-9560-08EFC4C114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37" authorId="0" shapeId="0" xr:uid="{A0795E4A-E5A4-4F4D-9DF6-228B7FC1DF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37" authorId="0" shapeId="0" xr:uid="{F6F30F19-2C4E-476B-8445-484AA17C3B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37" authorId="0" shapeId="0" xr:uid="{F149981B-AFC9-44E9-BD5C-F82F87FA0C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37" authorId="0" shapeId="0" xr:uid="{5EDBE251-7A7D-47FA-96CA-CA1DDC8937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37" authorId="0" shapeId="0" xr:uid="{E3B64EF1-FDE4-4AC4-9C32-8B8FFF9D16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37" authorId="0" shapeId="0" xr:uid="{55BAF7CD-2A4C-4EE4-A110-ACC75453F9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37" authorId="0" shapeId="0" xr:uid="{6A26860C-B3E8-415E-8795-ED90E28FDE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37" authorId="0" shapeId="0" xr:uid="{C7707C86-3EB4-47E0-9251-695DB84B54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37" authorId="0" shapeId="0" xr:uid="{73C7EAEC-3741-4F55-B1E1-E25C726BCB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37" authorId="0" shapeId="0" xr:uid="{A43C1D89-3AFF-4E67-8969-219D8C5DEB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37" authorId="0" shapeId="0" xr:uid="{DF16F967-FF97-4DA0-883B-0F80C07598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0" authorId="0" shapeId="0" xr:uid="{F25D958E-B078-416B-9EA2-672CC044B77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0" authorId="0" shapeId="0" xr:uid="{C4A9D196-8DEB-496A-88A4-682566C2743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0" authorId="0" shapeId="0" xr:uid="{1705FA7A-2495-437A-9456-ACB23F9FF7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0" authorId="0" shapeId="0" xr:uid="{2E59FC23-069A-4C92-AE71-D3D5D404D2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0" authorId="0" shapeId="0" xr:uid="{26E858CE-F08B-4A6F-9108-9ACD5ABEF4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0" authorId="0" shapeId="0" xr:uid="{65126D67-5FA3-4B80-A975-CBC5058B04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0" authorId="0" shapeId="0" xr:uid="{027A8516-C78D-40BA-A7E6-AEF0BCA732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0" authorId="0" shapeId="0" xr:uid="{97A746BF-9E4F-4648-914D-BCF7743A82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0" authorId="0" shapeId="0" xr:uid="{165B1B34-4068-4FE4-BE89-F25146F2AE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0" authorId="0" shapeId="0" xr:uid="{0A797C42-372E-4BB0-B171-1C25648F2F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0" authorId="0" shapeId="0" xr:uid="{57D329CC-D9D1-447D-9932-7D56DF9BCC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0" authorId="0" shapeId="0" xr:uid="{F4BB43B7-EB46-4E2E-B90A-7FF1008A55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1" authorId="0" shapeId="0" xr:uid="{C51E37BA-1BE7-4E01-B525-331ADAD92A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1" authorId="0" shapeId="0" xr:uid="{6EB83058-D635-4A61-B55E-D953A070E6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1" authorId="0" shapeId="0" xr:uid="{D95725C5-828D-45B6-A47D-2EE34FA1EB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1" authorId="0" shapeId="0" xr:uid="{BADBD084-20F8-47D5-A9EA-85DB0751005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1" authorId="0" shapeId="0" xr:uid="{9682E515-46DA-467D-8817-099DD9EC53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1" authorId="0" shapeId="0" xr:uid="{1B1FD966-9752-497A-897B-20999B3C1B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1" authorId="0" shapeId="0" xr:uid="{437AC6AA-FD75-4E84-92E2-7D1D874255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1" authorId="0" shapeId="0" xr:uid="{CF324976-AFAC-4898-9EB2-AB11428D3E3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1" authorId="0" shapeId="0" xr:uid="{C3E5B930-4D88-444F-ACFC-AFE4BCE065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1" authorId="0" shapeId="0" xr:uid="{87099B8A-48CD-424F-AB89-2A59059AC3A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1" authorId="0" shapeId="0" xr:uid="{98178B12-6C32-47CF-A9FE-21BC47AD20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1" authorId="0" shapeId="0" xr:uid="{6D3150E8-F3DA-40E8-B6DA-389DE6CFF0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2" authorId="0" shapeId="0" xr:uid="{121BA6C2-CE9C-45EC-8176-9EA45A4B87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2" authorId="0" shapeId="0" xr:uid="{0D1AB3D0-D208-46C1-A82C-BD41E136E5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2" authorId="0" shapeId="0" xr:uid="{D4B51A3D-0186-4E4D-8DC4-BD37E7F827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2" authorId="0" shapeId="0" xr:uid="{69B783F8-3C6A-4F40-949C-7D21CF60DC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2" authorId="0" shapeId="0" xr:uid="{6A86AF73-5679-42EF-B4BA-75B017AE872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2" authorId="0" shapeId="0" xr:uid="{AC1B82E0-C7AC-4886-AFAE-0682C4B2F1F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2" authorId="0" shapeId="0" xr:uid="{784756FF-930E-4EA5-BEF0-B39636B5322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2" authorId="0" shapeId="0" xr:uid="{CD4F8E16-C6CC-432C-9D62-15D23C8B9B6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2" authorId="0" shapeId="0" xr:uid="{BC825670-5166-409E-8730-DE172D0494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2" authorId="0" shapeId="0" xr:uid="{1B244E44-1CE4-4BDB-9C82-CCDE3159A7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2" authorId="0" shapeId="0" xr:uid="{4747904B-5C88-4662-9A68-328ED2C20C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2" authorId="0" shapeId="0" xr:uid="{2FF8C043-C810-4211-B8F0-22D062D922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49" authorId="0" shapeId="0" xr:uid="{CE26EF6B-FD01-4687-B525-3F3032C7BC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49" authorId="0" shapeId="0" xr:uid="{B092417A-ABBE-4C3A-8A2F-471DEDF15C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49" authorId="0" shapeId="0" xr:uid="{FADFA3DA-AFF5-4282-9107-F7CD69EB66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49" authorId="0" shapeId="0" xr:uid="{F3F53C73-2B6A-46C5-8C6C-FB9C3ECC9D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49" authorId="0" shapeId="0" xr:uid="{113AED4B-3788-43B6-BC31-D99D71BE29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49" authorId="0" shapeId="0" xr:uid="{200EAE1D-9D76-4EC2-93C7-034AFBEFD8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49" authorId="0" shapeId="0" xr:uid="{7454E11E-105E-436B-96D6-04A75BBCAF2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49" authorId="0" shapeId="0" xr:uid="{D371C9CA-7497-4FEF-AD46-7B1B12F54B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49" authorId="0" shapeId="0" xr:uid="{F5307EB3-274F-4048-8640-E7C48854AB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49" authorId="0" shapeId="0" xr:uid="{CB3C12A2-C319-4B60-BEAA-9FDAC848CE0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49" authorId="0" shapeId="0" xr:uid="{B53E3AEB-9D35-413E-8BA8-47D0A03C64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49" authorId="0" shapeId="0" xr:uid="{CBEBEA3F-3DF0-4D36-AD01-C1618D2BA7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0" authorId="0" shapeId="0" xr:uid="{58C2421A-889B-43F2-814C-B00A1583E5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0" authorId="0" shapeId="0" xr:uid="{68433BC5-2CCD-4A98-BF38-3AA9221A105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0" authorId="0" shapeId="0" xr:uid="{F3BFD5FB-C362-4C57-9591-4EA2154588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0" authorId="0" shapeId="0" xr:uid="{B1D9E4E2-7BA9-4521-8AD1-16605AF77D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0" authorId="0" shapeId="0" xr:uid="{0813B419-70A3-4200-B62C-149707975A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0" authorId="0" shapeId="0" xr:uid="{74DA289F-0383-479C-81D7-7D9D8FD4C9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0" authorId="0" shapeId="0" xr:uid="{BE5F147F-597B-4C82-A8C5-B191E80222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0" authorId="0" shapeId="0" xr:uid="{63312D3F-BBC6-4B15-AC6B-24A161FA7F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0" authorId="0" shapeId="0" xr:uid="{16624799-7D75-476B-9FD2-C1B4948250F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0" authorId="0" shapeId="0" xr:uid="{8AF21B23-D4B4-4D24-B0D4-993D3F9A5A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0" authorId="0" shapeId="0" xr:uid="{8927726A-9D9D-4118-A451-F02C639353F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0" authorId="0" shapeId="0" xr:uid="{BDCD84B2-2A64-4B49-94F5-603F9EEF79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2" authorId="0" shapeId="0" xr:uid="{2B6599F5-2162-49EF-81D4-E9DD4E694D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2" authorId="0" shapeId="0" xr:uid="{D9564B70-26A7-42BD-98A3-BAE09C6308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2" authorId="0" shapeId="0" xr:uid="{6C66AEB4-7A82-4F6A-AFD0-4810087EB6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2" authorId="0" shapeId="0" xr:uid="{392FEB5C-52FE-405C-87C7-E6A515E2F81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2" authorId="0" shapeId="0" xr:uid="{6057FAFE-B45B-4592-B850-666C3AA710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2" authorId="0" shapeId="0" xr:uid="{B1A0B405-3992-4C4F-B435-38DB7331E3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2" authorId="0" shapeId="0" xr:uid="{CF872C6B-71BF-4D21-80BB-4A46E20E55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2" authorId="0" shapeId="0" xr:uid="{493CD509-FA7B-4D27-B3C8-C3BBA33294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2" authorId="0" shapeId="0" xr:uid="{985B80A8-2CB4-474F-B9EA-A83C1E1037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2" authorId="0" shapeId="0" xr:uid="{989A1D78-26AB-447C-9084-0A0303C709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2" authorId="0" shapeId="0" xr:uid="{DE599B10-DF4A-4CAD-BF9B-CABB6BA7CE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2" authorId="0" shapeId="0" xr:uid="{251B19AE-2A0D-4518-A330-BA85974D42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3" authorId="0" shapeId="0" xr:uid="{DA683AA4-75F6-4C51-A240-79243F05D3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3" authorId="0" shapeId="0" xr:uid="{224E45E7-74D3-4990-BFF7-BC48F288A73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3" authorId="0" shapeId="0" xr:uid="{974E9B8E-D4A6-419C-9222-39F2D8B47CF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3" authorId="0" shapeId="0" xr:uid="{43577FA9-0C7B-4F7B-921D-91EF9D1E6F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3" authorId="0" shapeId="0" xr:uid="{4D193E23-7010-4067-9E48-6458899CD1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3" authorId="0" shapeId="0" xr:uid="{D9F9B2A0-9F26-432F-B709-E2FAD8D0E4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3" authorId="0" shapeId="0" xr:uid="{0F781993-3B33-416A-9C8A-E2DD918E65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3" authorId="0" shapeId="0" xr:uid="{FF46CBE3-2C3E-4963-91A3-DCF7C2E629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3" authorId="0" shapeId="0" xr:uid="{315786D7-D925-409B-9BFE-9FB34C95F0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3" authorId="0" shapeId="0" xr:uid="{4F300913-A8CA-4F19-A2D2-D05C3B0594F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3" authorId="0" shapeId="0" xr:uid="{D09BEE4D-EAA9-4457-A2A4-67ED810998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3" authorId="0" shapeId="0" xr:uid="{3EEB8E40-A5A7-49CB-B108-CD25169151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4" authorId="0" shapeId="0" xr:uid="{A70A7675-994D-4CD5-8992-28647D5DED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4" authorId="0" shapeId="0" xr:uid="{B81118D8-C808-4052-B2EB-CC12AD63E7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4" authorId="0" shapeId="0" xr:uid="{23647610-91B5-477C-911F-ECEA319A2F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4" authorId="0" shapeId="0" xr:uid="{83D55D26-CC0B-4004-ADCF-32D55FF264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4" authorId="0" shapeId="0" xr:uid="{2D9786E8-C46B-477A-A7BC-4E43B688D34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4" authorId="0" shapeId="0" xr:uid="{D6191368-4305-45E9-867E-B8ACEE076B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4" authorId="0" shapeId="0" xr:uid="{48AD9886-0883-49B7-B3CA-70AA72E48C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4" authorId="0" shapeId="0" xr:uid="{317F06C1-11A9-4E26-A3DE-ED10766B89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4" authorId="0" shapeId="0" xr:uid="{C4CA0D61-6799-4F87-8151-05798DA7F9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4" authorId="0" shapeId="0" xr:uid="{425A40E3-C695-473F-A429-C8130AC0F6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4" authorId="0" shapeId="0" xr:uid="{7CD07940-CD3E-4C45-9418-56025E61A0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4" authorId="0" shapeId="0" xr:uid="{6EBB32D5-D7A9-42AA-8D76-D34E6CA061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5" authorId="0" shapeId="0" xr:uid="{4268A0C5-B320-4D91-A863-8C250D6927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5" authorId="0" shapeId="0" xr:uid="{254014D2-C7AF-4918-91E4-147D648C56D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5" authorId="0" shapeId="0" xr:uid="{E1CBD4FE-5500-4390-A2BA-DC60209271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5" authorId="0" shapeId="0" xr:uid="{0D31C7C1-2E97-4F2C-8DF7-5E7C6A68EB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5" authorId="0" shapeId="0" xr:uid="{AC2BAF96-0064-4998-A117-090873735A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5" authorId="0" shapeId="0" xr:uid="{443404AE-F5AA-40B7-BD34-D57F1A127FD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5" authorId="0" shapeId="0" xr:uid="{AC347399-9AB2-42C1-9D42-252311E5E9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5" authorId="0" shapeId="0" xr:uid="{A00B89D5-0F55-4159-85CD-A75099C88A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5" authorId="0" shapeId="0" xr:uid="{32A7FB00-A478-40A8-93A3-2C08D30ACF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5" authorId="0" shapeId="0" xr:uid="{D38FA5E5-F546-408E-A9A9-F287D82745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5" authorId="0" shapeId="0" xr:uid="{CFCE3C62-20D6-40FE-AC3E-3A235A8929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5" authorId="0" shapeId="0" xr:uid="{24CA72F3-26EA-41B5-B958-19E4606504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59" authorId="0" shapeId="0" xr:uid="{D78F4112-9F83-4DF7-9821-00CADE624B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59" authorId="0" shapeId="0" xr:uid="{BEE1F258-24DB-4D12-8C19-772CED7558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59" authorId="0" shapeId="0" xr:uid="{3D47EDA9-1B98-4E74-865A-9BB58DA946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59" authorId="0" shapeId="0" xr:uid="{C11C046C-82A9-4132-B7E8-AB7DAD2A24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59" authorId="0" shapeId="0" xr:uid="{7CEF0970-BB7B-4BC2-8567-A71F5A61A2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59" authorId="0" shapeId="0" xr:uid="{68CAEC35-AD63-49F0-BA10-C7BC3F9140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59" authorId="0" shapeId="0" xr:uid="{C636F9F3-3691-4745-892B-FC704AB4E5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59" authorId="0" shapeId="0" xr:uid="{2661EED0-C363-43EF-9036-9140BBA07B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59" authorId="0" shapeId="0" xr:uid="{1320A2CB-296B-42CE-89B2-EA397B286B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59" authorId="0" shapeId="0" xr:uid="{E8E86205-5D8F-4FA7-BBE5-C8A3FEFD4A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59" authorId="0" shapeId="0" xr:uid="{B67BB0A5-DFBC-44EF-9910-8FA9FDB9B4F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59" authorId="0" shapeId="0" xr:uid="{3831A508-A7D4-41DD-9681-5CC9596709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0" authorId="0" shapeId="0" xr:uid="{87C6BF47-2E1A-44DE-8ECD-A1E96CC1DD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0" authorId="0" shapeId="0" xr:uid="{2D01A37C-F5CC-46C6-95C6-6D1F6BFFC6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0" authorId="0" shapeId="0" xr:uid="{86FD05F9-686D-4904-8FD3-D037D60322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0" authorId="0" shapeId="0" xr:uid="{AB5F5B4C-6DE0-46AD-991C-10DC2528DE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0" authorId="0" shapeId="0" xr:uid="{8B32C69B-016A-4C0D-BCDB-03FA478B5B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0" authorId="0" shapeId="0" xr:uid="{AC5A1E23-5A71-43A3-85D1-1AAA2020AA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0" authorId="0" shapeId="0" xr:uid="{61FA376A-A27F-4FE9-A7F3-A2F9CD95E5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0" authorId="0" shapeId="0" xr:uid="{8D73AA85-C50F-440E-A923-8C380FEE01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0" authorId="0" shapeId="0" xr:uid="{8BF0C989-FAF9-4F5C-A5E5-0DE43CEAD6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0" authorId="0" shapeId="0" xr:uid="{64BC94B4-68BA-4140-9DC1-5C5F9B49E7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0" authorId="0" shapeId="0" xr:uid="{BE701CC0-A917-4830-9B7E-03C79AF8DF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0" authorId="0" shapeId="0" xr:uid="{86316DAF-67CE-408C-8377-4CAE157399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4" authorId="0" shapeId="0" xr:uid="{F2B7BF6D-B415-45C1-823C-50F46C16B0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4" authorId="0" shapeId="0" xr:uid="{2D55F07E-4C8B-45FD-B75B-5607EA6B7EC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4" authorId="0" shapeId="0" xr:uid="{6835B62A-448D-4AE5-8C7F-342CD2220A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4" authorId="0" shapeId="0" xr:uid="{24A869E9-38D8-410E-B0DF-B207877E3D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4" authorId="0" shapeId="0" xr:uid="{6AE43A69-C10E-4DAB-B8E2-EB94B64A92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4" authorId="0" shapeId="0" xr:uid="{88CB6DBB-F32D-4C32-93DB-A5F95EF14A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4" authorId="0" shapeId="0" xr:uid="{FE7B7C8E-8ADC-4497-9372-E79CB3A992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4" authorId="0" shapeId="0" xr:uid="{346CE50D-07CE-4C6A-9F6F-8273778BE1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4" authorId="0" shapeId="0" xr:uid="{6D30A88F-8DAB-4136-BCA2-D6CE90B185A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4" authorId="0" shapeId="0" xr:uid="{DE2E0E03-74CD-43DF-9DB9-F9C290946C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4" authorId="0" shapeId="0" xr:uid="{7E49B9F0-9912-40A3-B918-DB44BB0A52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4" authorId="0" shapeId="0" xr:uid="{5DB7B29B-0441-456C-9793-49EDA46F96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5" authorId="0" shapeId="0" xr:uid="{8F1D7E4C-12DF-4FB0-B252-040BB0482B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5" authorId="0" shapeId="0" xr:uid="{4F075067-C69C-4591-B39B-7DC0191C48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5" authorId="0" shapeId="0" xr:uid="{136789F6-2381-46AD-8D73-CBC5C5E7A7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5" authorId="0" shapeId="0" xr:uid="{7A11532F-4F29-472E-9B11-68D35D4A75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5" authorId="0" shapeId="0" xr:uid="{0D10AFE0-D60F-4BC7-B40D-4597D546A2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5" authorId="0" shapeId="0" xr:uid="{FEF095F5-E534-4C35-8F8A-E1862BC632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5" authorId="0" shapeId="0" xr:uid="{D90A7E8A-F695-4A83-AF76-88132B12DA1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5" authorId="0" shapeId="0" xr:uid="{0FBAE247-6DF9-4B07-AC0E-1A04B4FFD6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5" authorId="0" shapeId="0" xr:uid="{8B5E5DFC-6807-47BE-9679-F0B56648F28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5" authorId="0" shapeId="0" xr:uid="{5DF3D707-0CCA-42FA-B331-6FC0DBA554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5" authorId="0" shapeId="0" xr:uid="{97B2B423-40E0-40A8-9BD0-0E36CC658B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5" authorId="0" shapeId="0" xr:uid="{61AAC7D4-54AE-4090-8C9B-42E46E910C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69" authorId="0" shapeId="0" xr:uid="{4D06129F-A1BD-482D-91CC-5ACAA89A90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69" authorId="0" shapeId="0" xr:uid="{3FC6CD59-2347-42C1-AF00-6E38396878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69" authorId="0" shapeId="0" xr:uid="{E144C421-810C-4ADE-A3B3-9F96108343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69" authorId="0" shapeId="0" xr:uid="{1A033F77-B2C2-4DFD-B3E1-F21AB7A74B3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69" authorId="0" shapeId="0" xr:uid="{2CAB67ED-E027-4B53-99FA-0CC8A3E3D3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69" authorId="0" shapeId="0" xr:uid="{5BF8548B-475B-42F8-B843-835CA9BA04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69" authorId="0" shapeId="0" xr:uid="{239AE045-B207-4726-8585-208E990A5A5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69" authorId="0" shapeId="0" xr:uid="{D1F1DE57-00E9-44E4-B0DA-C4CA5C8F26B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69" authorId="0" shapeId="0" xr:uid="{9B302F6F-F539-4EDF-AA10-E336FCE041E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69" authorId="0" shapeId="0" xr:uid="{0AD9470D-8782-43A1-A69A-6D6FEA72840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69" authorId="0" shapeId="0" xr:uid="{0B9A98F3-9D64-43DC-A940-6B6FC9D971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69" authorId="0" shapeId="0" xr:uid="{50595780-1231-4641-8378-4DD0EA6DE5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0" authorId="0" shapeId="0" xr:uid="{CD1749AC-90A5-4F7B-B6AB-DC210021E7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0" authorId="0" shapeId="0" xr:uid="{AA5C03F6-D47E-4070-B358-D7184260D7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0" authorId="0" shapeId="0" xr:uid="{AC24946B-AE9E-4BF8-B783-7023AB24C1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0" authorId="0" shapeId="0" xr:uid="{F0417779-BD1C-4B80-95C9-7BCEAE0230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0" authorId="0" shapeId="0" xr:uid="{A9509A30-6A95-4815-BB67-186263BA43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0" authorId="0" shapeId="0" xr:uid="{E7C17444-B7D9-4C93-9359-A07C1CFE78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0" authorId="0" shapeId="0" xr:uid="{619A2871-207D-4D37-84F7-F9271A80AD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0" authorId="0" shapeId="0" xr:uid="{65D9F324-97B0-45FF-9E02-27A18A6A90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0" authorId="0" shapeId="0" xr:uid="{E8DB6795-A6F7-4795-BFD1-7C03D4E1A1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0" authorId="0" shapeId="0" xr:uid="{8E203D35-26CF-4F13-ACD7-86EE01B843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0" authorId="0" shapeId="0" xr:uid="{BAD2A5C6-32C1-4B23-A7A2-A8C60AEB57B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0" authorId="0" shapeId="0" xr:uid="{E44BF4A7-4CF3-46ED-9797-3E8518102A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2" authorId="0" shapeId="0" xr:uid="{5C220189-616F-4693-837E-A3145AE089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2" authorId="0" shapeId="0" xr:uid="{0E3885F1-3000-43BF-BCF7-25C0A66D31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2" authorId="0" shapeId="0" xr:uid="{A903037C-29BE-4F02-A6F6-E3F98C72DF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2" authorId="0" shapeId="0" xr:uid="{EFA4B17E-DB0D-4F94-A63F-66283F2C37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2" authorId="0" shapeId="0" xr:uid="{C82D1507-3253-4698-9386-98BC655DA8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2" authorId="0" shapeId="0" xr:uid="{89CFB916-2295-4204-A39E-50D3BED95F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2" authorId="0" shapeId="0" xr:uid="{0E380149-D527-4BCE-939E-BAB1985072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2" authorId="0" shapeId="0" xr:uid="{AB322191-EA44-47C8-8DB5-B06539AAB5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2" authorId="0" shapeId="0" xr:uid="{0A554575-B70F-4BE0-82FB-9ADFC89AED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2" authorId="0" shapeId="0" xr:uid="{4B33F1A3-A67D-4CE5-94F6-9956936BA8A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2" authorId="0" shapeId="0" xr:uid="{160EB9DE-7951-4E6F-951B-BAC83E70D9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2" authorId="0" shapeId="0" xr:uid="{12796D9E-B28D-4511-9210-11498C39E32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3" authorId="0" shapeId="0" xr:uid="{3E56C71D-68C5-45C3-A6B1-9B7CDDA6402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3" authorId="0" shapeId="0" xr:uid="{5B834EF8-4F57-4E3B-BF44-ACBDC6B60B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3" authorId="0" shapeId="0" xr:uid="{D2AF4599-1006-42CE-8DA8-F55B9D800B9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3" authorId="0" shapeId="0" xr:uid="{C1628953-AF64-482C-8AB2-845F78BA9A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3" authorId="0" shapeId="0" xr:uid="{84ED40EC-F5A0-4A85-A20E-F5BD0B0FBB5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3" authorId="0" shapeId="0" xr:uid="{9E6401C1-88AF-4B87-A493-02B89BF7AE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3" authorId="0" shapeId="0" xr:uid="{AC8AD719-87C7-4B5A-9812-3973AEF1448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3" authorId="0" shapeId="0" xr:uid="{F97328B5-4974-42A1-B340-015EE1E1F71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3" authorId="0" shapeId="0" xr:uid="{4C9A5BB9-4C32-4919-B193-7F24594CD12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3" authorId="0" shapeId="0" xr:uid="{056F53D0-C6A9-424E-A4EA-65505A95080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3" authorId="0" shapeId="0" xr:uid="{FF9E5A1A-CA48-4717-BF57-318466254C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3" authorId="0" shapeId="0" xr:uid="{8ED4A4C9-EFC4-4ED9-A2E7-3C96C0B982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77" authorId="0" shapeId="0" xr:uid="{010C19B7-300C-4E67-A7EC-C1AC730699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77" authorId="0" shapeId="0" xr:uid="{98E06E1A-3860-41F2-BB75-AEC438615A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77" authorId="0" shapeId="0" xr:uid="{01503BD3-C223-48B7-9151-AEE8BCDA45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77" authorId="0" shapeId="0" xr:uid="{206A9C26-0288-48E3-9094-F97DCC05B0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77" authorId="0" shapeId="0" xr:uid="{8253EB84-CDB5-43F0-A455-AE2CA4D1CC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77" authorId="0" shapeId="0" xr:uid="{87DF1A9E-9271-43C7-BCCB-15885F3453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77" authorId="0" shapeId="0" xr:uid="{C8B1C5E7-EADB-4A93-9EE4-FCCC140A00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77" authorId="0" shapeId="0" xr:uid="{C78BBB29-D35B-4F9A-A267-21A97DEAC8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77" authorId="0" shapeId="0" xr:uid="{56EE4285-AC3F-4C9E-9503-4621EB122D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77" authorId="0" shapeId="0" xr:uid="{B167B1C6-DC45-42D3-A13F-EB6A4E732E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77" authorId="0" shapeId="0" xr:uid="{ED014D5A-4E65-48FE-902F-142D5CDA3B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77" authorId="0" shapeId="0" xr:uid="{D4F387F8-95D0-450A-A027-0AFBD9A7C58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0" authorId="0" shapeId="0" xr:uid="{92F83E03-2BC3-4B0C-A958-F438E0752F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0" authorId="0" shapeId="0" xr:uid="{1ECF431C-510C-4180-8031-07EFD80987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0" authorId="0" shapeId="0" xr:uid="{A7A3BEC0-2D00-4C67-86EF-86C63106A0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0" authorId="0" shapeId="0" xr:uid="{C7C544E3-D9B0-4DDC-92F6-D76F5B685A0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0" authorId="0" shapeId="0" xr:uid="{CC14686B-0FDA-4F0A-843F-F343EFC3484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0" authorId="0" shapeId="0" xr:uid="{C8EE4BBB-49F5-4D25-B390-F4F7DC6DF0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0" authorId="0" shapeId="0" xr:uid="{40E7AC94-3B18-4484-82A7-985B0F6464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0" authorId="0" shapeId="0" xr:uid="{92FFEC5B-759F-46D2-AE87-BE31007B23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0" authorId="0" shapeId="0" xr:uid="{199F6720-710C-4401-B03A-D1FC095FD5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0" authorId="0" shapeId="0" xr:uid="{92742EAF-73AB-480E-B633-404F3FD4AF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0" authorId="0" shapeId="0" xr:uid="{BC362A3A-2368-4485-AE12-2048FD8859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0" authorId="0" shapeId="0" xr:uid="{5E6FB372-8814-4EB7-AA7E-6B78AC9A49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1" authorId="0" shapeId="0" xr:uid="{191D802D-FCEF-4784-9385-568A6DAAB78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1" authorId="0" shapeId="0" xr:uid="{E774B7E0-C5CF-4171-B545-E6220A2667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1" authorId="0" shapeId="0" xr:uid="{4AFB8D97-FDD4-4AB9-AD7E-C38484CF1F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1" authorId="0" shapeId="0" xr:uid="{B138483B-762A-405E-88C3-A375A42F32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1" authorId="0" shapeId="0" xr:uid="{BA795372-39AA-4599-A68A-E0DF2CE03C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1" authorId="0" shapeId="0" xr:uid="{51A358E3-D63C-48A5-AD7B-10993142824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1" authorId="0" shapeId="0" xr:uid="{D1256607-3437-4AF7-8C61-2108786696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1" authorId="0" shapeId="0" xr:uid="{7DE2A4C2-3C44-47DD-AAA8-825731A33E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1" authorId="0" shapeId="0" xr:uid="{1453D381-521D-49A9-9BFB-2C3A9AA7AD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1" authorId="0" shapeId="0" xr:uid="{AAC2C61B-BC80-4196-9E2C-7BBF0A0356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1" authorId="0" shapeId="0" xr:uid="{6BBAD3F4-43FA-4470-8394-62815BB639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1" authorId="0" shapeId="0" xr:uid="{954B27C9-5E16-40D6-8F7F-E402126185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2" authorId="0" shapeId="0" xr:uid="{B3B80D8B-811D-4A2D-BA55-8678381CCDB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2" authorId="0" shapeId="0" xr:uid="{C96EE577-21B3-4BCB-913A-5EFF200B1D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2" authorId="0" shapeId="0" xr:uid="{808A62D4-0056-4E25-BCBC-BD49BB687E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2" authorId="0" shapeId="0" xr:uid="{3D2A2C2F-3791-4663-A1A1-5BD3A1F5491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2" authorId="0" shapeId="0" xr:uid="{2CB1A2EF-725E-4218-9CA2-D994BFA78A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2" authorId="0" shapeId="0" xr:uid="{70AACC2B-14DB-4301-9A28-933B7F3865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2" authorId="0" shapeId="0" xr:uid="{89825BB4-FB50-4FF7-94A6-A4C1AA022F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2" authorId="0" shapeId="0" xr:uid="{09DCED11-5898-4E30-A871-4460864BA7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2" authorId="0" shapeId="0" xr:uid="{90A9EA93-56DA-4F0A-9CF2-3E964393E8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2" authorId="0" shapeId="0" xr:uid="{02B44D9D-7206-465B-AFD1-B7AC9F102A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2" authorId="0" shapeId="0" xr:uid="{97394695-3497-4AF5-ADC7-7A3A76E073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2" authorId="0" shapeId="0" xr:uid="{C5B3D135-2871-45B4-980F-A4A77336522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4" authorId="0" shapeId="0" xr:uid="{E4491789-2C3B-4F02-84C1-3641E165CB3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4" authorId="0" shapeId="0" xr:uid="{CB3FC61B-2184-49BD-AB39-F902199C85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4" authorId="0" shapeId="0" xr:uid="{A5E49233-40BA-4B49-AC67-4AA6FB12DB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4" authorId="0" shapeId="0" xr:uid="{B0E09D6D-6FDC-4EAC-85C6-A13D8D01D3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4" authorId="0" shapeId="0" xr:uid="{91AB093B-F29A-4207-B1FA-D52621AE608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4" authorId="0" shapeId="0" xr:uid="{0ABE473F-B85B-4B19-A839-6581CF0F595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4" authorId="0" shapeId="0" xr:uid="{67E6AA0C-BD8C-4148-A7AD-E4C29E974B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4" authorId="0" shapeId="0" xr:uid="{5B11D00B-5367-4530-ACF6-F7AEB061CF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4" authorId="0" shapeId="0" xr:uid="{A3069F18-32F2-4346-A548-55EE11524A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4" authorId="0" shapeId="0" xr:uid="{C0EBCAEB-7D02-447C-A05B-8170EBB830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4" authorId="0" shapeId="0" xr:uid="{790182E7-BB74-4E57-A8F2-A3E83DB68A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4" authorId="0" shapeId="0" xr:uid="{DD5FFD15-8490-4768-BB05-C94F0E22F0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7" authorId="0" shapeId="0" xr:uid="{AE6F5D69-C05A-4F56-A1A0-03830227EBD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7" authorId="0" shapeId="0" xr:uid="{17AFFEA5-3EA4-4E1D-8B0A-C74D1C6A67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7" authorId="0" shapeId="0" xr:uid="{E0C0215F-2853-4424-A584-41044A2033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7" authorId="0" shapeId="0" xr:uid="{9586D771-BF15-4E74-8B4D-9354F7725D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7" authorId="0" shapeId="0" xr:uid="{D6C7E3C0-0173-4339-B30A-2BB999D18A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7" authorId="0" shapeId="0" xr:uid="{167F94CE-7214-43B7-AB0C-D280577BEB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7" authorId="0" shapeId="0" xr:uid="{1AF6F466-E449-4318-87A7-D2E7BA1AAF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7" authorId="0" shapeId="0" xr:uid="{2C8F1313-51E5-4E47-A809-C702905F23A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7" authorId="0" shapeId="0" xr:uid="{EB0638FA-0896-445A-8D62-36F21D637D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7" authorId="0" shapeId="0" xr:uid="{405045A0-68AF-43D2-B887-66C4A6893C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7" authorId="0" shapeId="0" xr:uid="{3F0F4CF9-88ED-415C-97A2-C311D898B7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7" authorId="0" shapeId="0" xr:uid="{53771005-5A70-4F54-B4F6-647F08918C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88" authorId="0" shapeId="0" xr:uid="{F13A67DB-8BA8-42C1-9889-99CBECE215F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88" authorId="0" shapeId="0" xr:uid="{E06EC460-CCD9-40DD-BBB8-B00BFDD08E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88" authorId="0" shapeId="0" xr:uid="{6397A3AA-9D83-4363-A543-BFC695ED6D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88" authorId="0" shapeId="0" xr:uid="{409E5B85-1C34-4091-8888-6FA457FD4DC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88" authorId="0" shapeId="0" xr:uid="{0E87E8D6-C3C9-4467-811F-CD5693A80A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88" authorId="0" shapeId="0" xr:uid="{63716677-4487-41BA-BFE3-E780D4DC81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88" authorId="0" shapeId="0" xr:uid="{B75FF658-B3EB-495E-9903-FBEBA55717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88" authorId="0" shapeId="0" xr:uid="{0D6CD84B-E47A-40C8-9EEE-AE415DE3C6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88" authorId="0" shapeId="0" xr:uid="{1CC1FBDF-35D6-4540-8625-738E58A402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88" authorId="0" shapeId="0" xr:uid="{0308A9B1-6309-48AE-BF32-493866C6617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88" authorId="0" shapeId="0" xr:uid="{C95791B4-2C59-47ED-A970-4D8CD9C7BA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88" authorId="0" shapeId="0" xr:uid="{446B94BA-42F3-4E52-81B2-EAEFB3130A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1" authorId="0" shapeId="0" xr:uid="{9866A7DE-4812-49DF-982E-D5B97DE382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1" authorId="0" shapeId="0" xr:uid="{DCA99CCD-56F1-4695-A4F6-7ED96A2DDF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1" authorId="0" shapeId="0" xr:uid="{E9DE391D-A22F-47EA-B28C-3787784D48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1" authorId="0" shapeId="0" xr:uid="{AB370F71-4497-4EB7-BD14-1E62FC2EB9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1" authorId="0" shapeId="0" xr:uid="{6889403D-2D87-4D82-9FD8-2D0105A130D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1" authorId="0" shapeId="0" xr:uid="{8772657B-1C6A-4404-912B-B8421F8CC7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1" authorId="0" shapeId="0" xr:uid="{FB3E138A-67F6-45A9-9822-0DFF1020EC3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1" authorId="0" shapeId="0" xr:uid="{09C42814-4A56-4FFA-B2DA-6D9BDD8C38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1" authorId="0" shapeId="0" xr:uid="{0DBA7528-BACC-45A0-BBE2-F96AEF5D4A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1" authorId="0" shapeId="0" xr:uid="{6836B765-5A03-496E-8053-8D98F85D5BF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1" authorId="0" shapeId="0" xr:uid="{7E6B26B1-5DFE-4C27-9C98-71B0AFB8340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1" authorId="0" shapeId="0" xr:uid="{50B5F239-65C3-424E-BD51-A12FCF15E54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2" authorId="0" shapeId="0" xr:uid="{8FFBDA4D-B979-4A40-8CB4-8D3562CA95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2" authorId="0" shapeId="0" xr:uid="{FD1C6A38-2E22-4D1A-B13D-6CC472CD3E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2" authorId="0" shapeId="0" xr:uid="{9D6FC68B-3977-4251-9BDD-A8B692D88F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2" authorId="0" shapeId="0" xr:uid="{229C73AF-713A-41FC-B9C7-21293EA0B33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2" authorId="0" shapeId="0" xr:uid="{1DD8E393-7063-47C2-94F1-1CE036B6B8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2" authorId="0" shapeId="0" xr:uid="{CD1FE4AC-957F-41CF-A2E8-30BF74D1E3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2" authorId="0" shapeId="0" xr:uid="{51824945-BD52-479E-B10F-44895BD79C1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2" authorId="0" shapeId="0" xr:uid="{DDB0115D-0662-4D37-B76A-0427E57477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2" authorId="0" shapeId="0" xr:uid="{98949A6C-6710-49DD-A1B7-832D77F9B5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2" authorId="0" shapeId="0" xr:uid="{9E4BA9F2-959D-44D5-9720-2389215417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2" authorId="0" shapeId="0" xr:uid="{FCDF7672-95A4-43ED-A8C0-CD4C876F7D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2" authorId="0" shapeId="0" xr:uid="{24F23FE8-DD4F-4F62-B172-CB168BB7A5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5" authorId="0" shapeId="0" xr:uid="{4D415DDC-9177-47CD-BC3C-091AD1521C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5" authorId="0" shapeId="0" xr:uid="{1C4716AC-32E2-4B77-915E-F48B520836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5" authorId="0" shapeId="0" xr:uid="{2091505C-5712-482F-ABBB-C12B7BA51A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5" authorId="0" shapeId="0" xr:uid="{77E34DD5-E269-4CED-A0D0-D6A8D79884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5" authorId="0" shapeId="0" xr:uid="{86CA7189-E57E-4F10-BD29-13D49DB308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5" authorId="0" shapeId="0" xr:uid="{DADE9F75-00AB-4A3D-8555-E6E4AC1E61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5" authorId="0" shapeId="0" xr:uid="{0D49A26A-DD69-4962-B0E7-F12EA8EF10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5" authorId="0" shapeId="0" xr:uid="{DB35782A-8C42-438B-951E-96A676A3CE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5" authorId="0" shapeId="0" xr:uid="{98FD1BD1-66F3-44DD-83ED-ACD39F989E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5" authorId="0" shapeId="0" xr:uid="{91EEE7AD-CA17-4F5B-8B43-E914B19CBA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5" authorId="0" shapeId="0" xr:uid="{2A0CA597-5DE2-4582-8682-C123AC647E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5" authorId="0" shapeId="0" xr:uid="{A37BAC71-BB74-4457-BD02-D161197B0D1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6" authorId="0" shapeId="0" xr:uid="{79C85F55-AD4E-48E6-A09D-B8E9497C50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6" authorId="0" shapeId="0" xr:uid="{E190E90E-FF37-47DF-AC66-2E3AA43F92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6" authorId="0" shapeId="0" xr:uid="{9AD910E2-586E-4465-BD4E-76FD61595B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6" authorId="0" shapeId="0" xr:uid="{3A5C8588-BB40-4CA2-9C62-B22C7630698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6" authorId="0" shapeId="0" xr:uid="{68828B61-D0BD-459C-9C89-990DEEE7E2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6" authorId="0" shapeId="0" xr:uid="{26EBDC0E-955F-4305-AE8F-1A4F25D37F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6" authorId="0" shapeId="0" xr:uid="{B0206BA5-83F5-4133-BA66-4D71F1104D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6" authorId="0" shapeId="0" xr:uid="{654399F2-963C-46F7-A9EE-6BD0474F9B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6" authorId="0" shapeId="0" xr:uid="{E23D77DD-601B-4740-AAF2-12B2076985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6" authorId="0" shapeId="0" xr:uid="{96B88EA8-9AF6-47A7-A82A-9EC4F32E714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6" authorId="0" shapeId="0" xr:uid="{C0D57A8C-2A1C-4D0A-A08F-51E7EBA84D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6" authorId="0" shapeId="0" xr:uid="{E0B25421-9C50-41D8-8C70-10D37E1C60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397" authorId="0" shapeId="0" xr:uid="{019AD69B-B8FD-4D8D-8100-7857C658EB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397" authorId="0" shapeId="0" xr:uid="{CD286FF9-6DFF-412D-8CC5-2C47D0D8EC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397" authorId="0" shapeId="0" xr:uid="{C34B17B8-C9B7-4DEE-87A1-1C60DD2198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397" authorId="0" shapeId="0" xr:uid="{C22ED332-31B5-4C67-AB58-A765E2E504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397" authorId="0" shapeId="0" xr:uid="{5F2719CC-1A86-4958-80E1-6E5306DC4B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397" authorId="0" shapeId="0" xr:uid="{0D901523-B90F-455E-8A2E-B1ACC49AAD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397" authorId="0" shapeId="0" xr:uid="{B7F41050-CFEF-4263-981F-D32D83CA7C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397" authorId="0" shapeId="0" xr:uid="{F8BD1123-F7BA-405B-97DE-7D7A7A2C2D2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397" authorId="0" shapeId="0" xr:uid="{D4D94FFA-6A98-42F2-8404-13209C165B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397" authorId="0" shapeId="0" xr:uid="{C60B6364-AE81-4E5B-A8E9-1B309F98852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397" authorId="0" shapeId="0" xr:uid="{058708F3-B3C9-4181-9ADC-585BCB683E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397" authorId="0" shapeId="0" xr:uid="{1C90DB14-CB00-4D64-90FA-470C44FEE8C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0" authorId="0" shapeId="0" xr:uid="{8941578C-5FD4-41CE-A159-ACEEDDC342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0" authorId="0" shapeId="0" xr:uid="{E44A0C30-BE17-4FE6-8DCD-2AF8077A39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0" authorId="0" shapeId="0" xr:uid="{DA8C6649-B036-4EC7-AADB-D3535BBF428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0" authorId="0" shapeId="0" xr:uid="{34E5C02E-66C5-4910-9241-FAEB267790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0" authorId="0" shapeId="0" xr:uid="{C0C2CC20-F41B-4776-B43C-CE3DACC2F64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0" authorId="0" shapeId="0" xr:uid="{0D35AC48-8BCE-4F71-B009-3EF2B199B8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0" authorId="0" shapeId="0" xr:uid="{0FBB716E-6468-4010-AD31-F130503051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0" authorId="0" shapeId="0" xr:uid="{B704E0F4-297D-46D3-81F0-471B2A9230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0" authorId="0" shapeId="0" xr:uid="{95B6EB25-DF18-4D59-A752-0FFBC26EC2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0" authorId="0" shapeId="0" xr:uid="{B85D70A4-A1DC-42ED-A9B4-A4C5411DA8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0" authorId="0" shapeId="0" xr:uid="{31C5E5E7-A47F-4EFC-908A-94014C9867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0" authorId="0" shapeId="0" xr:uid="{41E119A8-2398-4BE5-B927-5B9D3400E7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1" authorId="0" shapeId="0" xr:uid="{67D4894D-B76A-4B06-86FA-650103B8128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1" authorId="0" shapeId="0" xr:uid="{16C338E7-25FD-41A0-9F89-1A36F8A681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1" authorId="0" shapeId="0" xr:uid="{59D125A8-9E32-4098-B59F-3BCBE4EB5A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1" authorId="0" shapeId="0" xr:uid="{7FF35FAA-2DA3-459F-B16F-C7539533D5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1" authorId="0" shapeId="0" xr:uid="{57B9B648-B77F-4101-A7B4-82B7CD0F10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1" authorId="0" shapeId="0" xr:uid="{420010F5-55DB-4836-BFC3-8FF54A7C6DF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1" authorId="0" shapeId="0" xr:uid="{59E609CF-067D-4B82-9007-D7657D929B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1" authorId="0" shapeId="0" xr:uid="{446602BF-9284-493C-A541-89A745A894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1" authorId="0" shapeId="0" xr:uid="{4E848FFF-6120-4BF2-A532-48B082BC0F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1" authorId="0" shapeId="0" xr:uid="{DBBC98F2-AD4A-4458-B99B-5BEC3E7FB59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1" authorId="0" shapeId="0" xr:uid="{17F19575-AD51-415F-80FD-65F3FBAABA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1" authorId="0" shapeId="0" xr:uid="{2D537F6F-5790-4B0E-AB55-4A3F085CCB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2" authorId="0" shapeId="0" xr:uid="{FF48837C-29C5-41B1-9624-AACE92D9F2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2" authorId="0" shapeId="0" xr:uid="{A4C8BC4A-9897-4C99-9CF7-3E9CED9CF6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2" authorId="0" shapeId="0" xr:uid="{EE9EA3BD-E1D3-4786-A719-CE9C3353B3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2" authorId="0" shapeId="0" xr:uid="{0B72A012-C65B-4387-AEED-715369D207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2" authorId="0" shapeId="0" xr:uid="{E182D861-958C-4143-BCA1-301117D57E5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2" authorId="0" shapeId="0" xr:uid="{887B76AF-2509-416E-BD0A-53FB4F31A2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2" authorId="0" shapeId="0" xr:uid="{5C6DE560-3BAB-4F3D-A635-3BCF97C57C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2" authorId="0" shapeId="0" xr:uid="{D8B0B96A-C066-4F57-8241-2B52A322B5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2" authorId="0" shapeId="0" xr:uid="{930C7A05-BE61-449B-B4CD-9E7C6B0BE11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2" authorId="0" shapeId="0" xr:uid="{DDE4BD3C-7199-4073-B678-2CF122D678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2" authorId="0" shapeId="0" xr:uid="{C9B1D0F1-26C9-4368-A8BD-0B2596F1DF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2" authorId="0" shapeId="0" xr:uid="{D0B67A19-3AFD-4B53-B9A1-713886B4FC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3" authorId="0" shapeId="0" xr:uid="{385592A8-FD97-471F-A443-7BA492C31EF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3" authorId="0" shapeId="0" xr:uid="{30E8E863-CDB4-4EA1-9A82-78E92669FD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3" authorId="0" shapeId="0" xr:uid="{65EF110B-F1E8-49B2-BCC3-EBC5486F10A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3" authorId="0" shapeId="0" xr:uid="{7894EEC8-D06A-426A-A1BC-54FAF65C599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3" authorId="0" shapeId="0" xr:uid="{66568637-CADD-4811-B7F3-490A85F6D7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3" authorId="0" shapeId="0" xr:uid="{0B124663-79FF-40AF-A522-B88C04132AE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3" authorId="0" shapeId="0" xr:uid="{F488E0EE-2DCD-4584-9B64-C740ECE8AA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3" authorId="0" shapeId="0" xr:uid="{F76F0F1C-51F4-48CA-817A-64806DA7044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3" authorId="0" shapeId="0" xr:uid="{D861CC07-4B5E-46ED-85D0-DB4994FAEDA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3" authorId="0" shapeId="0" xr:uid="{9F42F07F-1DF3-4137-9C36-57DB6B0559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3" authorId="0" shapeId="0" xr:uid="{7309AA1B-A0F3-40EA-913D-5078A19A95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3" authorId="0" shapeId="0" xr:uid="{3CAABE3F-20EB-45DC-9EEC-AB39953239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4" authorId="0" shapeId="0" xr:uid="{1BA89F34-6621-494D-B055-1388AD1CE78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4" authorId="0" shapeId="0" xr:uid="{8BF3669C-0449-4D21-A090-5924F40209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4" authorId="0" shapeId="0" xr:uid="{D3194D43-2F73-4859-AE92-ABC4F114D3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4" authorId="0" shapeId="0" xr:uid="{51AC4745-F8C2-42F5-97F6-880D478881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4" authorId="0" shapeId="0" xr:uid="{AD1FFC2E-601E-460D-AFCC-77E25C1E79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4" authorId="0" shapeId="0" xr:uid="{5BBC0C3F-11AE-49CA-9C8E-41798F3FEA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4" authorId="0" shapeId="0" xr:uid="{D114A791-5B58-452A-8A2D-5163725D95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4" authorId="0" shapeId="0" xr:uid="{B4D9EDC6-7097-4C4A-89A7-2BD71BD211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4" authorId="0" shapeId="0" xr:uid="{FA78C390-7E60-4BC6-82A3-02C861D453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4" authorId="0" shapeId="0" xr:uid="{D8EED84A-CC7F-458C-AC03-859F16C894E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4" authorId="0" shapeId="0" xr:uid="{A295B0F4-5ED7-46A1-9669-F0ECECAEC9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4" authorId="0" shapeId="0" xr:uid="{D999EAB0-2B01-4074-95FE-ABB6D253F8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5" authorId="0" shapeId="0" xr:uid="{A5CC14D2-6737-4945-904B-74E854918B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5" authorId="0" shapeId="0" xr:uid="{2BB80859-DF8B-46FE-A7E3-313633D0F4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5" authorId="0" shapeId="0" xr:uid="{B3FC9303-A3CF-4356-BC8E-F8F0EDE998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5" authorId="0" shapeId="0" xr:uid="{9CA3B848-4D98-4AA3-8712-8D6C17A549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5" authorId="0" shapeId="0" xr:uid="{27E8D6CA-FCD6-4CE3-9087-81C39F33562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5" authorId="0" shapeId="0" xr:uid="{AC18C832-FC51-4F77-87AF-38A69CEA94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5" authorId="0" shapeId="0" xr:uid="{B8CFA99F-75D4-44CB-8682-17ABF8A5FFE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5" authorId="0" shapeId="0" xr:uid="{821555AD-4198-42FB-8856-78EF0A857F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5" authorId="0" shapeId="0" xr:uid="{78123125-04E1-45F2-BAEE-9B18A84480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5" authorId="0" shapeId="0" xr:uid="{7D4B368A-5C1F-4FE8-B863-350ACB8786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5" authorId="0" shapeId="0" xr:uid="{B6ECD494-C577-4E43-937F-23F8FD6846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5" authorId="0" shapeId="0" xr:uid="{C5E3118A-B68D-42D1-9440-28BC2D8987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6" authorId="0" shapeId="0" xr:uid="{798E79AF-42D0-4DAD-8DD7-0D06D5AA65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6" authorId="0" shapeId="0" xr:uid="{AFF5BE80-2771-4C62-A115-CACDE3AA431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6" authorId="0" shapeId="0" xr:uid="{CA5A3EC8-0497-463F-AE6D-AA202C72B8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6" authorId="0" shapeId="0" xr:uid="{B7B5A146-86D8-44A8-BD61-43619B321E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6" authorId="0" shapeId="0" xr:uid="{A92E5485-5550-4F1B-A34D-5AB1FB15545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6" authorId="0" shapeId="0" xr:uid="{0DBB2FE0-DB2C-4C87-9444-781CEFA47C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6" authorId="0" shapeId="0" xr:uid="{168A8D13-A9D6-4214-994B-33905AA205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6" authorId="0" shapeId="0" xr:uid="{13ED7FAC-1CA9-4FC9-B350-E296A734B8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6" authorId="0" shapeId="0" xr:uid="{D96E6776-79CE-4404-9D90-1437B49F20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6" authorId="0" shapeId="0" xr:uid="{454BF038-6907-4C14-A855-CE932F3380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6" authorId="0" shapeId="0" xr:uid="{C36612A0-04EA-4261-ABB2-FAD3EE4DDA1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6" authorId="0" shapeId="0" xr:uid="{9DD5A954-B066-462D-87C0-43B07ADB330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07" authorId="0" shapeId="0" xr:uid="{07865ECE-41D0-415E-BE05-B100B681ED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07" authorId="0" shapeId="0" xr:uid="{F6237ECC-00D2-433B-B812-8E360C97B0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07" authorId="0" shapeId="0" xr:uid="{8B64EB18-D304-4621-A7C5-BC393951173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07" authorId="0" shapeId="0" xr:uid="{45A162EF-6257-4708-A49E-6826B4C2054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07" authorId="0" shapeId="0" xr:uid="{1EBDA226-021A-46C2-9248-A2B9D6AB8F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07" authorId="0" shapeId="0" xr:uid="{0C2F7DF7-F205-4761-9637-143C0671F9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07" authorId="0" shapeId="0" xr:uid="{1D2316C0-F829-4796-BB5A-55F10061A6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07" authorId="0" shapeId="0" xr:uid="{6545524E-FFFC-4CC0-BCED-7AE22312B1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07" authorId="0" shapeId="0" xr:uid="{0F3D422C-5F85-4298-90B8-79491EF52B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07" authorId="0" shapeId="0" xr:uid="{73324742-19E5-46E4-9510-355D969E30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07" authorId="0" shapeId="0" xr:uid="{E0D19707-CEE4-4469-B878-514C6BB0A5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07" authorId="0" shapeId="0" xr:uid="{A7D3F865-F397-4E16-A343-FD96F6AF29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0" authorId="0" shapeId="0" xr:uid="{5AA53F40-A748-4F59-ADD9-9BCE297D199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0" authorId="0" shapeId="0" xr:uid="{277C64C8-4E27-4996-A63D-B17CE661BA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0" authorId="0" shapeId="0" xr:uid="{01814612-F876-401A-8B1C-B9F191F938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0" authorId="0" shapeId="0" xr:uid="{CEEF788F-F93B-4C7D-B070-412C9C78EE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0" authorId="0" shapeId="0" xr:uid="{A858467F-0E0A-4DC7-89EC-67352078A6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0" authorId="0" shapeId="0" xr:uid="{EED83CFD-3CF9-4DCD-96D1-A26FB00B4C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0" authorId="0" shapeId="0" xr:uid="{C23BF150-511D-48B2-BD63-890A9351C0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0" authorId="0" shapeId="0" xr:uid="{47044C11-CC13-4882-A593-E2F78AA6B8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0" authorId="0" shapeId="0" xr:uid="{47622ED2-7F69-4277-AF1E-9854B9A4DD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0" authorId="0" shapeId="0" xr:uid="{F45E6DE4-0706-455A-A39C-B44A7857E4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0" authorId="0" shapeId="0" xr:uid="{7FE3D480-6D9B-4B41-B73D-C9160E1044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0" authorId="0" shapeId="0" xr:uid="{DE811D7D-9F61-4B6D-ABCE-9CA60BEBC3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1" authorId="0" shapeId="0" xr:uid="{4ED73B49-DE14-4134-A0AC-FFE6546230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1" authorId="0" shapeId="0" xr:uid="{BB43EEBA-8A46-491A-86F9-12FB8B6E36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1" authorId="0" shapeId="0" xr:uid="{66FDD240-0EDF-4B57-A455-DAA97FACEB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1" authorId="0" shapeId="0" xr:uid="{83C1BBFC-A1AE-46B9-A516-AADA57FBA0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1" authorId="0" shapeId="0" xr:uid="{B3BF66A1-4B90-4B9D-90D1-AEEC3E6F84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1" authorId="0" shapeId="0" xr:uid="{8E0A5650-2A9E-4509-9E56-DB481881C7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1" authorId="0" shapeId="0" xr:uid="{A4DB09D5-3DD9-4C47-B01E-5CA84B42C8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1" authorId="0" shapeId="0" xr:uid="{B76B1026-B181-4F7C-B672-82C19875BF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1" authorId="0" shapeId="0" xr:uid="{E865EEC0-793F-4717-BE71-900A93E6A0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1" authorId="0" shapeId="0" xr:uid="{7B084D4C-0497-4188-84E0-780CF8CF25D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1" authorId="0" shapeId="0" xr:uid="{D5C137DF-8F60-4693-B0F0-C5914ABA0A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1" authorId="0" shapeId="0" xr:uid="{B46AC272-8997-46E8-83AF-6EA5EE0FE6F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3" authorId="0" shapeId="0" xr:uid="{A2C04379-980D-4927-BF9C-8CC3C63699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3" authorId="0" shapeId="0" xr:uid="{0C13C798-FAF6-4AA3-817D-50C8D31B815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3" authorId="0" shapeId="0" xr:uid="{C13CBD35-89D6-4C65-97BD-9B277485862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3" authorId="0" shapeId="0" xr:uid="{9F187726-5011-4FEF-876E-6881E292A5E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3" authorId="0" shapeId="0" xr:uid="{775E1164-3D54-4E23-91DD-2343CCC328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3" authorId="0" shapeId="0" xr:uid="{829B0291-B72A-4EB3-AD57-A54300B1C6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3" authorId="0" shapeId="0" xr:uid="{A0D8AB3C-8DCE-4EB6-BE4F-772AEE72B3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3" authorId="0" shapeId="0" xr:uid="{5AC3EC3F-90F4-4325-8416-368D49B9D93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3" authorId="0" shapeId="0" xr:uid="{9938A36E-15CC-47AF-981C-A2A1B60CE2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3" authorId="0" shapeId="0" xr:uid="{ECB6CDC6-4553-4EFE-930F-DED6A64B44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3" authorId="0" shapeId="0" xr:uid="{160603A3-E8A8-4038-8A56-8EDA71E50F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3" authorId="0" shapeId="0" xr:uid="{9404E634-95CB-476B-B997-96D08A3353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4" authorId="0" shapeId="0" xr:uid="{75505846-DD0E-4611-BB66-C25B28BE2F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4" authorId="0" shapeId="0" xr:uid="{F4D552AB-8E97-4542-9936-085931EC46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4" authorId="0" shapeId="0" xr:uid="{AB559D3D-3125-44E5-8836-5DAD77A181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4" authorId="0" shapeId="0" xr:uid="{6996E362-0EC6-4A58-887B-151AEA9313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4" authorId="0" shapeId="0" xr:uid="{04B80F5A-633A-4F04-B757-085337EDD31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4" authorId="0" shapeId="0" xr:uid="{0D8B74D1-F87C-40F1-BA57-5BC4DC8AC47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4" authorId="0" shapeId="0" xr:uid="{1288677B-91E6-4C8E-9DA6-E7E067DD1E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4" authorId="0" shapeId="0" xr:uid="{8F137749-311A-475F-AB12-EC2DC2C6EF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4" authorId="0" shapeId="0" xr:uid="{F5FF1A54-4B9E-4F23-BD15-025ADA0866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4" authorId="0" shapeId="0" xr:uid="{2EADE998-57EB-4CB9-8426-E4D34AB75F1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4" authorId="0" shapeId="0" xr:uid="{B44C8E6F-0512-475D-8C41-B933B6BC08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4" authorId="0" shapeId="0" xr:uid="{58205C48-8E33-4320-A2A5-61E98248BE3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5" authorId="0" shapeId="0" xr:uid="{6B41EE52-C181-41FF-A6EC-90CA6C54D7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5" authorId="0" shapeId="0" xr:uid="{074461AF-C6C8-45A4-A38B-32413C4DF10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5" authorId="0" shapeId="0" xr:uid="{DFE6CACD-4E3A-42BB-ADE5-DB070E354C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5" authorId="0" shapeId="0" xr:uid="{AE5ECAD3-FD53-4D00-A027-416E34DA22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5" authorId="0" shapeId="0" xr:uid="{AA90B3EA-95FD-4AA4-B4B5-C24042634B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5" authorId="0" shapeId="0" xr:uid="{0BE75093-FE2C-436C-AFF6-BE3307A3B5F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5" authorId="0" shapeId="0" xr:uid="{300C9B4F-3F78-44CB-87A3-4E84519301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5" authorId="0" shapeId="0" xr:uid="{0AF31767-B1AE-4F26-878C-A5A5A2AC4EC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5" authorId="0" shapeId="0" xr:uid="{D576C3E6-71A5-4C9D-B5DE-4CC178FB54D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5" authorId="0" shapeId="0" xr:uid="{E58207DE-5A71-4138-A4D7-A9DACA66BC8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5" authorId="0" shapeId="0" xr:uid="{1DB2AEE3-FF8F-47C8-BB06-F95A61AC51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5" authorId="0" shapeId="0" xr:uid="{35AE143D-F87C-4473-B91B-EDAEA38EA8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6" authorId="0" shapeId="0" xr:uid="{1FD8DA10-D756-4364-892F-0BDB33B9C84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6" authorId="0" shapeId="0" xr:uid="{134529DE-6702-4C00-99E4-E4395E94D1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6" authorId="0" shapeId="0" xr:uid="{26F71E94-EE96-4437-B479-D85297DBC7E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6" authorId="0" shapeId="0" xr:uid="{F3EB93DA-52B8-4357-BF99-9B6589BE503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6" authorId="0" shapeId="0" xr:uid="{7EAAB1F2-FDC8-4177-9A4B-DC41ABC4D6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6" authorId="0" shapeId="0" xr:uid="{54CE81C5-8A08-4E3E-911B-6E9BE04CD6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6" authorId="0" shapeId="0" xr:uid="{A427A92E-12CD-44A9-A80F-E5349D17D9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6" authorId="0" shapeId="0" xr:uid="{B1C7F847-DB74-428E-9191-375AC72F569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6" authorId="0" shapeId="0" xr:uid="{B7B55566-03EE-4217-960A-80469E9FF1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6" authorId="0" shapeId="0" xr:uid="{8A31C027-1EA6-43B6-A665-BCF0FB65AAC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6" authorId="0" shapeId="0" xr:uid="{6DC0925C-C1B8-4508-8F9A-F50F640469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6" authorId="0" shapeId="0" xr:uid="{EFE4EDEE-5CB7-4457-A805-CD2E6EFC369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18" authorId="0" shapeId="0" xr:uid="{C17A8F39-FE1E-43F3-8376-0B1D54AE469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18" authorId="0" shapeId="0" xr:uid="{6442B0C2-C05F-4665-B6FE-0ADFA4DF26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18" authorId="0" shapeId="0" xr:uid="{9444F607-DCB2-4B5C-90B0-979E081A04E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18" authorId="0" shapeId="0" xr:uid="{667A2696-A439-4431-AE47-E9678959C5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18" authorId="0" shapeId="0" xr:uid="{CD525003-3A42-4FA2-8864-38C04456CF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18" authorId="0" shapeId="0" xr:uid="{16D1FF31-2362-4DE6-940C-EC7B5851C0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18" authorId="0" shapeId="0" xr:uid="{61FD0B56-803C-4376-AD2E-48582DA9B3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18" authorId="0" shapeId="0" xr:uid="{5D89BDF7-6C23-4D2A-9399-549F30F84A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18" authorId="0" shapeId="0" xr:uid="{7898A0AF-280A-4BF4-9B2B-4F9B483996A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18" authorId="0" shapeId="0" xr:uid="{07BA0D4A-1FFD-4460-B2EA-C14818D767B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18" authorId="0" shapeId="0" xr:uid="{B7D499D6-C8F4-4063-A4A1-EC3A249CF0B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18" authorId="0" shapeId="0" xr:uid="{CF9201ED-D0C2-4CEC-96CB-B76E4572D5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1" authorId="0" shapeId="0" xr:uid="{09531C31-CC55-4EAE-81BE-88C97F4073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1" authorId="0" shapeId="0" xr:uid="{E4A65E2F-9396-41DD-A912-5DB3EA5189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1" authorId="0" shapeId="0" xr:uid="{1426DF51-84E2-4F3A-99A9-D91AE1AA66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1" authorId="0" shapeId="0" xr:uid="{F54CDD3C-0250-4460-AB85-92060AC25A2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1" authorId="0" shapeId="0" xr:uid="{E67987F5-6658-433D-ACA8-902A6DD263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1" authorId="0" shapeId="0" xr:uid="{88FDE328-DEF0-4903-A3EA-DC8549A19C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1" authorId="0" shapeId="0" xr:uid="{984C8DB4-2EB0-4967-BBBF-7A5AAB8D55D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1" authorId="0" shapeId="0" xr:uid="{21F89883-3B48-4D34-A527-4BE6095BD02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1" authorId="0" shapeId="0" xr:uid="{90F8BCC1-DAE3-4941-9EBB-6F4A158725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1" authorId="0" shapeId="0" xr:uid="{5E47C207-2D29-41A9-BA4C-E0AACF84FB1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1" authorId="0" shapeId="0" xr:uid="{347924A0-F068-494F-9F1A-42847E1D9D9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1" authorId="0" shapeId="0" xr:uid="{F95CB430-02D3-4298-834A-D8DA8B3FE46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2" authorId="0" shapeId="0" xr:uid="{88582478-BDAB-416C-9008-7197353D97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2" authorId="0" shapeId="0" xr:uid="{346E78C0-5E80-4349-836D-825FB0F656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2" authorId="0" shapeId="0" xr:uid="{1EA4B6B6-5996-43AE-B3B9-CD63777BEC8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2" authorId="0" shapeId="0" xr:uid="{0F5F39CD-A7A0-4FBE-AFF7-AEBCC761A6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2" authorId="0" shapeId="0" xr:uid="{D4A2050E-F40A-432E-B3DA-69CD3704CB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2" authorId="0" shapeId="0" xr:uid="{42FE0CB2-90C6-4712-86A8-77FAAC28832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2" authorId="0" shapeId="0" xr:uid="{6BEF0815-7183-4395-8178-DEB8A2770B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2" authorId="0" shapeId="0" xr:uid="{E8E30E30-6A5A-46B4-BDDE-290E951C9C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2" authorId="0" shapeId="0" xr:uid="{D620A760-8D03-46D9-88C1-F79B67DBA1A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2" authorId="0" shapeId="0" xr:uid="{EB8D99A6-676E-4602-93FD-00C0C023CD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2" authorId="0" shapeId="0" xr:uid="{1019F9EA-68E3-4127-B1C0-E2ED5D0B70E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2" authorId="0" shapeId="0" xr:uid="{42BE02F3-8578-474F-BE69-ED986E0CDD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4" authorId="0" shapeId="0" xr:uid="{76DDCF36-9AFA-4F9F-A263-158D759031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4" authorId="0" shapeId="0" xr:uid="{52769B23-3B5A-4C60-9E69-0ABA3FB29C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4" authorId="0" shapeId="0" xr:uid="{C4FFA6ED-1BA9-440C-B685-C850AB1618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4" authorId="0" shapeId="0" xr:uid="{839D22ED-842D-4060-8375-7AC2824242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4" authorId="0" shapeId="0" xr:uid="{8D4AE4B3-73F1-4D7E-A0E0-7559C68C087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4" authorId="0" shapeId="0" xr:uid="{E4B0A1F2-8462-43F9-AF84-5006E72FA6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4" authorId="0" shapeId="0" xr:uid="{DC0B67EB-F0F1-4019-AFAD-3DC4AA0320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4" authorId="0" shapeId="0" xr:uid="{F2C0D4A3-9BBC-4CCA-AC48-0081C18ADAB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4" authorId="0" shapeId="0" xr:uid="{8FDE1805-F21C-47B9-9762-595D4BB416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4" authorId="0" shapeId="0" xr:uid="{FEE893EF-4799-4EC1-A8E3-27DC10C464C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4" authorId="0" shapeId="0" xr:uid="{12E7D5B1-7838-4E6C-A163-13FD3BBF811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4" authorId="0" shapeId="0" xr:uid="{3DA3BFFF-1BD5-4728-90E6-A971102905D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5" authorId="0" shapeId="0" xr:uid="{7FF42666-074A-4CEB-87B9-F7D9B1B1B2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5" authorId="0" shapeId="0" xr:uid="{7173F425-EE5B-4654-8DBE-98A0758E5C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5" authorId="0" shapeId="0" xr:uid="{742EE22F-FFE3-48A5-A6B7-9E2E54D8E29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5" authorId="0" shapeId="0" xr:uid="{AF6D7291-20BF-4AD3-807A-468673156B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5" authorId="0" shapeId="0" xr:uid="{93174D50-8F3D-4F16-A812-538C23D82B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5" authorId="0" shapeId="0" xr:uid="{37F6FE0D-185D-492C-8AC1-559982CCF82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5" authorId="0" shapeId="0" xr:uid="{8B5FDEE0-A8CF-4930-A3F0-4B7F8CB97C1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5" authorId="0" shapeId="0" xr:uid="{9CE5C613-D8FC-49B0-8F2A-D90C1B53D70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5" authorId="0" shapeId="0" xr:uid="{4C1F53E5-B744-4525-B6F5-469EB1C7238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5" authorId="0" shapeId="0" xr:uid="{9DCA5395-3A9B-42CA-B889-96FE5F63DE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5" authorId="0" shapeId="0" xr:uid="{D5392771-05D1-42A6-B137-27A06B0CC0C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5" authorId="0" shapeId="0" xr:uid="{B5125906-3C78-42BE-A1C4-7B72F34ECD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6" authorId="0" shapeId="0" xr:uid="{D1652C2B-6FCE-45D0-9E17-44D8BAD95F5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6" authorId="0" shapeId="0" xr:uid="{D5B2D565-C3F9-4D55-8EB6-0D41E70761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6" authorId="0" shapeId="0" xr:uid="{C4CA9723-4512-47BD-8B57-030F41FA7D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6" authorId="0" shapeId="0" xr:uid="{896CA717-5589-4B80-BCA5-3E7337D3AB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6" authorId="0" shapeId="0" xr:uid="{71D2F130-B55A-40E8-9C06-C0A58AC8FC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6" authorId="0" shapeId="0" xr:uid="{4CF2F470-0D46-49A1-980C-1C01EA4205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6" authorId="0" shapeId="0" xr:uid="{560C68DC-685A-4B54-BB5B-9C9168F719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6" authorId="0" shapeId="0" xr:uid="{4CBB09A3-35B2-4661-B87B-98FB1C42409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6" authorId="0" shapeId="0" xr:uid="{389FAC9F-01AD-4F33-BD89-E6B2D4B667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6" authorId="0" shapeId="0" xr:uid="{56AB571D-F6B1-4CE1-B3DF-F6F7A013A6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6" authorId="0" shapeId="0" xr:uid="{3FF8C648-C5C6-4E1C-AD19-E28E15F7CA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6" authorId="0" shapeId="0" xr:uid="{AEE92A5B-E18C-47C0-A0A1-FD9AA54F67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29" authorId="0" shapeId="0" xr:uid="{04A6D4C9-D2E1-4752-8946-FE098E89B67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29" authorId="0" shapeId="0" xr:uid="{FAD96296-6B50-474F-ABB6-4DAA312125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29" authorId="0" shapeId="0" xr:uid="{F4044381-12E9-4722-A2DB-A96C7ED43E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29" authorId="0" shapeId="0" xr:uid="{F423BF4F-D4FE-4AB4-9FA0-EEB903A8F9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29" authorId="0" shapeId="0" xr:uid="{519D3737-98D7-4E4D-946B-29B83E58B8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29" authorId="0" shapeId="0" xr:uid="{DD73BAA6-A323-4330-81A9-107B39A4CCA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29" authorId="0" shapeId="0" xr:uid="{13EF781D-C8DB-4B5F-AF36-13BE86BAEC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29" authorId="0" shapeId="0" xr:uid="{AED7259A-3FDD-44B9-BD8F-6141E80C0C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29" authorId="0" shapeId="0" xr:uid="{75A2F1E7-3662-41A8-B965-33DE1F1E6F0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29" authorId="0" shapeId="0" xr:uid="{E7E6F4BF-BB5D-442C-B668-8CA7863228B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29" authorId="0" shapeId="0" xr:uid="{BFBA810A-CE88-427A-9BA4-C8E5022433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29" authorId="0" shapeId="0" xr:uid="{5678E977-9A53-48DE-AA1E-816CE9331AB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0" authorId="0" shapeId="0" xr:uid="{310A8377-95AC-4E30-A8EA-A0C8CAE3450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0" authorId="0" shapeId="0" xr:uid="{8EB0D8CA-1F51-45F2-8AAD-04B76EF8196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0" authorId="0" shapeId="0" xr:uid="{0AAC86C5-E660-4A1E-BEE4-827FA2816B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0" authorId="0" shapeId="0" xr:uid="{391595BB-DCCF-41C7-8F17-40BFE45129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0" authorId="0" shapeId="0" xr:uid="{1FD9E974-F891-411A-B681-250ACC91AFD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0" authorId="0" shapeId="0" xr:uid="{A33FE81E-DEB9-4950-B95D-6ACA1A7F09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0" authorId="0" shapeId="0" xr:uid="{86316449-D6B9-412C-BC7D-F65F01FFBE1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0" authorId="0" shapeId="0" xr:uid="{23EDACC3-4C70-4547-A066-000C4B65DC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0" authorId="0" shapeId="0" xr:uid="{E8C37277-3611-420F-87F9-4B798B6F145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0" authorId="0" shapeId="0" xr:uid="{CE7E6C2B-0BAE-4F54-A1C2-7AE47DE17E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0" authorId="0" shapeId="0" xr:uid="{B1795079-3736-4098-8C69-7E1A7D06406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0" authorId="0" shapeId="0" xr:uid="{15059667-6482-4655-8CF4-CF517128BF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1" authorId="0" shapeId="0" xr:uid="{7E38C862-3917-4F70-B663-AA553D2A34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1" authorId="0" shapeId="0" xr:uid="{18A688AD-C8B5-414E-9C21-0C53B65E0D6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1" authorId="0" shapeId="0" xr:uid="{75CA0FF7-11DD-499F-932C-865C789B7C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1" authorId="0" shapeId="0" xr:uid="{2635580C-6BCB-49B8-B142-14ADD695BFD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1" authorId="0" shapeId="0" xr:uid="{6FCFC33B-6BD4-48D8-AD09-8A89BFC7042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1" authorId="0" shapeId="0" xr:uid="{6524B2B6-7213-4DC4-A7DB-6FFDBF85EC1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1" authorId="0" shapeId="0" xr:uid="{CD089E9C-5A98-4C5A-A897-45535C2868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1" authorId="0" shapeId="0" xr:uid="{C3867375-1BF4-4899-8E6E-C9343A85FD5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1" authorId="0" shapeId="0" xr:uid="{A158EECC-B42A-4B0F-817F-126843059E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1" authorId="0" shapeId="0" xr:uid="{7DBB4B17-F10C-43E6-87FE-DA6BE7AC19B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1" authorId="0" shapeId="0" xr:uid="{E5D1FD25-F2FF-4B6E-8F18-C3805B10475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1" authorId="0" shapeId="0" xr:uid="{DF4B694D-A2DB-4F26-8A2A-B1F72FA052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5" authorId="0" shapeId="0" xr:uid="{E838CF51-B921-4A81-896D-62F35130453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5" authorId="0" shapeId="0" xr:uid="{9F2FDE4C-59B4-4D3A-AC33-E36604257FB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5" authorId="0" shapeId="0" xr:uid="{688D23F3-9F26-427F-A81B-8AF672D9C2C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5" authorId="0" shapeId="0" xr:uid="{E7F9E637-2BC8-457C-BDA2-4D9F060E58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5" authorId="0" shapeId="0" xr:uid="{23B744E9-5AD4-4192-BAA7-8E9960D485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5" authorId="0" shapeId="0" xr:uid="{C2FE9449-B7E4-4698-8E18-BFE088BF2C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5" authorId="0" shapeId="0" xr:uid="{7BDD85E0-9EF6-47AB-95EF-C32E41A6172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5" authorId="0" shapeId="0" xr:uid="{2338FC4B-9270-4F07-AA84-FFCE03E644C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5" authorId="0" shapeId="0" xr:uid="{EB0E5A12-14FD-4D41-B052-2669CEA4F0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5" authorId="0" shapeId="0" xr:uid="{2F3C6227-A04E-4294-B743-803AA852355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5" authorId="0" shapeId="0" xr:uid="{DB5A518F-A89C-4CC8-A672-277F7FF03B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5" authorId="0" shapeId="0" xr:uid="{13E1F2E8-6D4E-4295-9F85-5F1807FE38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6" authorId="0" shapeId="0" xr:uid="{978CA765-DD3C-4FF9-BE2D-76715924863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6" authorId="0" shapeId="0" xr:uid="{5251C81D-4C36-4609-A1E9-499826C0340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6" authorId="0" shapeId="0" xr:uid="{F6E32F74-6201-465E-A06F-15D7A9B405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6" authorId="0" shapeId="0" xr:uid="{81A5DB29-D97D-4125-84E2-EE7FA9D733C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6" authorId="0" shapeId="0" xr:uid="{1D01EF13-808B-4D5E-9222-0674351F08F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6" authorId="0" shapeId="0" xr:uid="{99245C29-B7C7-4CC1-9A92-F1D037AAF2C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6" authorId="0" shapeId="0" xr:uid="{6A73E8CC-5B11-4417-85D0-2E81CBAD699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6" authorId="0" shapeId="0" xr:uid="{9711D9F4-C926-43ED-87DD-758F5F346F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6" authorId="0" shapeId="0" xr:uid="{FB6CDC48-6EFE-4EE7-9D5C-4EF9E34C46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6" authorId="0" shapeId="0" xr:uid="{8F7A61FA-3DD9-4AE0-ABCB-238351BFAC1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6" authorId="0" shapeId="0" xr:uid="{D70024CD-43B9-4136-8D4A-22C18F92D7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6" authorId="0" shapeId="0" xr:uid="{13B1B027-C17C-4B77-AF33-47AAEF69BEF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7" authorId="0" shapeId="0" xr:uid="{DB33C93D-1DA5-40A5-9546-93FFE0EB45F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7" authorId="0" shapeId="0" xr:uid="{059D47BB-8162-42D4-A63A-8B0A5907249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7" authorId="0" shapeId="0" xr:uid="{8A655C99-EFBE-45A9-8FE7-202032902D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7" authorId="0" shapeId="0" xr:uid="{216E36AF-30FF-472B-B8B2-DAA58C0012B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7" authorId="0" shapeId="0" xr:uid="{007647B1-14C3-49F0-BD53-79FC62ADFF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7" authorId="0" shapeId="0" xr:uid="{AB5CE97D-636F-4469-A8AB-E097CC66E5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7" authorId="0" shapeId="0" xr:uid="{4B5EE6D4-AC98-4DE2-8D94-A6E922676EB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7" authorId="0" shapeId="0" xr:uid="{8E560D20-783F-4788-89CF-3C92C721321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7" authorId="0" shapeId="0" xr:uid="{27F8C777-B778-4891-B2A8-54E0917181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7" authorId="0" shapeId="0" xr:uid="{462D5C7D-7AB1-4FFE-938D-D4A1A0805F6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7" authorId="0" shapeId="0" xr:uid="{9B37B874-8113-42A1-8195-120179D5C8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7" authorId="0" shapeId="0" xr:uid="{6141D7CA-9EFE-4677-B3E7-D2ACD1E73B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8" authorId="0" shapeId="0" xr:uid="{17CE41EB-56BF-48F0-998B-3A6695AEF86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8" authorId="0" shapeId="0" xr:uid="{B405283D-529E-4C2C-8218-553B18044B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8" authorId="0" shapeId="0" xr:uid="{98E10387-070A-48A9-ACF2-E22E56C8FE3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8" authorId="0" shapeId="0" xr:uid="{74F6C855-C3B5-4240-9D00-DE18CC96D42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8" authorId="0" shapeId="0" xr:uid="{32C1D701-6108-4B5B-A351-A9313E6601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8" authorId="0" shapeId="0" xr:uid="{49E046CB-6B1A-463A-BB78-96518DA046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8" authorId="0" shapeId="0" xr:uid="{38755C93-73CC-4FAF-85B0-F7BBDDC2632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8" authorId="0" shapeId="0" xr:uid="{FF2E3B74-3407-4447-896C-8BEEE1459DF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8" authorId="0" shapeId="0" xr:uid="{A22E602F-9D0F-42E3-9187-C5878DA4F93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8" authorId="0" shapeId="0" xr:uid="{1A06FFE8-A063-41CD-88CC-4A4BFE470F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8" authorId="0" shapeId="0" xr:uid="{8D86A2BA-F50A-4487-8601-B3CE8321633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8" authorId="0" shapeId="0" xr:uid="{ADDF1550-EB8F-48F3-AEA2-23A0718196C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39" authorId="0" shapeId="0" xr:uid="{4F7959A9-F658-4BA1-9644-071246DB05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39" authorId="0" shapeId="0" xr:uid="{BD6823B3-9BD2-4854-BDE3-39645CE378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39" authorId="0" shapeId="0" xr:uid="{DD189499-F854-4EA9-8F70-A3DA17D5D66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39" authorId="0" shapeId="0" xr:uid="{A046EDA3-5C35-4BB3-AF35-FEF53E5BBF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39" authorId="0" shapeId="0" xr:uid="{B1F94C32-AD08-4BE1-B6C4-3A7157D717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39" authorId="0" shapeId="0" xr:uid="{60D7C684-990B-4524-8C46-3B7D1284EC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39" authorId="0" shapeId="0" xr:uid="{5DD4F095-1D4A-4984-ACF9-573F51832DE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39" authorId="0" shapeId="0" xr:uid="{9B022BE1-4F70-4F4D-9D52-28251CC62C4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39" authorId="0" shapeId="0" xr:uid="{600DC081-8974-4BF3-83AA-FE45112CED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39" authorId="0" shapeId="0" xr:uid="{D00F1795-3399-4392-AE35-7CB77C395F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39" authorId="0" shapeId="0" xr:uid="{B61AB189-5FB4-4AD6-99EB-0C9B41EB65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39" authorId="0" shapeId="0" xr:uid="{87987FC7-723D-4D1E-8750-A296CA47830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0" authorId="0" shapeId="0" xr:uid="{AE8E6D3B-3B8E-45ED-8781-84C6527CED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0" authorId="0" shapeId="0" xr:uid="{DC53912E-B584-47C9-A704-1D1063CC30A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0" authorId="0" shapeId="0" xr:uid="{11C1C1DD-B552-43E4-828B-F6A4AB8A9D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0" authorId="0" shapeId="0" xr:uid="{E53D53B9-E687-41D6-AA99-65656F66D4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0" authorId="0" shapeId="0" xr:uid="{9D0C7EC1-C24E-4867-AB27-59D3EB5D232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0" authorId="0" shapeId="0" xr:uid="{FDB662EF-5AA6-4CAA-BEE9-B45476D42C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0" authorId="0" shapeId="0" xr:uid="{BA5F89CE-800C-4B5E-8E33-3A8A96E2841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0" authorId="0" shapeId="0" xr:uid="{8CBE2F09-2613-41FB-B9D1-DC7A1124A2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0" authorId="0" shapeId="0" xr:uid="{17E83B95-C2F8-4CC1-8B73-20C3E2F177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0" authorId="0" shapeId="0" xr:uid="{C75FC0DD-4CBE-4368-87AD-C775386C55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0" authorId="0" shapeId="0" xr:uid="{7D50BFED-F948-480F-AE84-0C6A5461D53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0" authorId="0" shapeId="0" xr:uid="{28FFCA67-1F3B-4F42-8A6A-6289B799A2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2" authorId="0" shapeId="0" xr:uid="{15F23F4D-5CD9-49D1-AC21-7F8C50ECE6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2" authorId="0" shapeId="0" xr:uid="{61883D4A-C038-4DD9-954D-136E20B271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2" authorId="0" shapeId="0" xr:uid="{CA2893DE-AD49-4AE8-9D31-732A15E83CB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2" authorId="0" shapeId="0" xr:uid="{7DB0973E-C32C-4D02-B379-F5587CACA6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2" authorId="0" shapeId="0" xr:uid="{92E2CEE1-B50A-4BC2-BBB6-DF3EE87388B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2" authorId="0" shapeId="0" xr:uid="{3CD2211B-1607-4C4E-B78F-75EBE5E947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2" authorId="0" shapeId="0" xr:uid="{912955CE-CA5C-4AE3-847B-AAE30878C29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2" authorId="0" shapeId="0" xr:uid="{E201B362-E792-4ABC-8597-6C541C4A14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2" authorId="0" shapeId="0" xr:uid="{1532B9E7-F503-4046-8BDD-E4ADC5612EA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2" authorId="0" shapeId="0" xr:uid="{E8BB34EB-8D0C-4DB5-AEB0-206ED4C1D34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2" authorId="0" shapeId="0" xr:uid="{72EBC338-21D7-456C-A8C4-D56A3EF1B3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2" authorId="0" shapeId="0" xr:uid="{BDB1022C-9427-47D1-BCF6-1B329645AD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7" authorId="0" shapeId="0" xr:uid="{FD32B580-F9C6-48CB-AC22-4C1526C7858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7" authorId="0" shapeId="0" xr:uid="{BD28B10E-96BC-4D32-AB58-90E77FD4B1D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7" authorId="0" shapeId="0" xr:uid="{3C5D21C7-0597-4C4C-B8F1-C54EFC1EF0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7" authorId="0" shapeId="0" xr:uid="{9DAE5B59-ABF6-4F75-90AA-BBBCC90E68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7" authorId="0" shapeId="0" xr:uid="{F93253C2-B9A9-4148-9882-87DEBF03882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7" authorId="0" shapeId="0" xr:uid="{B2F08E2A-268F-4FB9-9EC3-1BA278C590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7" authorId="0" shapeId="0" xr:uid="{5C318F04-9EF8-4F91-9A02-F973A1BBEFD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7" authorId="0" shapeId="0" xr:uid="{8A782CE4-B73E-4F47-A3A8-D9877EBF39D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7" authorId="0" shapeId="0" xr:uid="{9A0A01F5-8CFC-46EA-8653-D96A5C5D6D5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7" authorId="0" shapeId="0" xr:uid="{0E2E8600-4402-49D5-9D23-34488C05D6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7" authorId="0" shapeId="0" xr:uid="{81A0DC88-B222-4DC7-BB08-C5F49485AE6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7" authorId="0" shapeId="0" xr:uid="{23F81C8D-B452-4784-9A98-BC5CA0FA498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48" authorId="0" shapeId="0" xr:uid="{3A061029-402F-464C-807F-ADC1E9188F2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48" authorId="0" shapeId="0" xr:uid="{989DE474-F3C8-4EE1-B7EE-D703CE0EDE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48" authorId="0" shapeId="0" xr:uid="{710666FF-F69F-454E-B088-6295EC82B3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48" authorId="0" shapeId="0" xr:uid="{0E09FD80-2943-43F2-98B7-4FEB95328B5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48" authorId="0" shapeId="0" xr:uid="{D39E056E-F6B2-4ADE-9347-12A476A0AAD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48" authorId="0" shapeId="0" xr:uid="{596539A7-0C8C-414E-83C7-0A48F59F258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48" authorId="0" shapeId="0" xr:uid="{294F1F38-E870-4A3E-8FE7-AE65B566D8A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48" authorId="0" shapeId="0" xr:uid="{A97C68D2-0E5D-4513-8DCD-DA08DFF52C2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48" authorId="0" shapeId="0" xr:uid="{0EB84CBC-67B4-4E40-AC65-F88323205E0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48" authorId="0" shapeId="0" xr:uid="{4EFC1EB6-0F0E-42EE-B28C-9AAAEB276B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48" authorId="0" shapeId="0" xr:uid="{F27274B7-9D53-433A-9ABC-B2F3201C41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48" authorId="0" shapeId="0" xr:uid="{A63520BC-037A-4F1F-98ED-2E8CEE04637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2" authorId="0" shapeId="0" xr:uid="{D3F1819A-34C2-4052-A843-B18147E3F37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2" authorId="0" shapeId="0" xr:uid="{10EB8AB1-A410-4FB2-B063-97CC86DBB9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2" authorId="0" shapeId="0" xr:uid="{689AB98D-2753-4427-9248-FC10DA8845F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2" authorId="0" shapeId="0" xr:uid="{3D67A134-C5B1-4D6D-89FD-08E76FE7C38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2" authorId="0" shapeId="0" xr:uid="{05AB33B7-915F-4DF6-90CC-8AE0EB058FD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2" authorId="0" shapeId="0" xr:uid="{CF421EA0-F7D4-4687-B405-08F13807CDF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2" authorId="0" shapeId="0" xr:uid="{1BBD3DCC-4777-4DB1-8C96-47DEC45BB6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2" authorId="0" shapeId="0" xr:uid="{F322825B-CAB0-48FB-8547-6052582BEAF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2" authorId="0" shapeId="0" xr:uid="{84326F7F-AA56-4303-AABD-A0AD3BD877C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2" authorId="0" shapeId="0" xr:uid="{A918C512-D559-4542-99D8-F6C0F3375D0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2" authorId="0" shapeId="0" xr:uid="{9462C962-BA16-4726-B1F6-E639B0D8244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2" authorId="0" shapeId="0" xr:uid="{02CF3179-C028-432C-B2A4-045F89432EB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4" authorId="0" shapeId="0" xr:uid="{EBA55EB7-DD47-4EC0-8ACF-87675099E34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4" authorId="0" shapeId="0" xr:uid="{5D2529FD-55CB-4777-A78D-2F96FA3FC40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4" authorId="0" shapeId="0" xr:uid="{794C5907-1389-4334-AFEB-40E6AB456C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4" authorId="0" shapeId="0" xr:uid="{5E5579F7-0678-4154-BFC3-722BEAE3D34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4" authorId="0" shapeId="0" xr:uid="{9384C4C8-4680-4AE6-9044-C67B4EE64E4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4" authorId="0" shapeId="0" xr:uid="{4F9E2BE5-3DBF-4B1A-B70C-3AEFB875F3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4" authorId="0" shapeId="0" xr:uid="{3314A470-9FEC-4CFB-9B2A-0C67EA24F1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4" authorId="0" shapeId="0" xr:uid="{0AB80FE8-A333-46EE-AE28-A6231D391AC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4" authorId="0" shapeId="0" xr:uid="{4C68BDB3-E87D-4EE9-9A22-D0FFDB4B158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4" authorId="0" shapeId="0" xr:uid="{9FFE03B4-80D4-4A3F-B520-1D910026F57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4" authorId="0" shapeId="0" xr:uid="{8BAC2461-CBB8-46FE-8B62-93F9BAC8620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4" authorId="0" shapeId="0" xr:uid="{D363A9E5-3F7E-4C64-A3CD-46B833DB3F2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57" authorId="0" shapeId="0" xr:uid="{44A81922-0C24-4670-8371-89B51114CC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57" authorId="0" shapeId="0" xr:uid="{A90D6F87-B72A-49D5-B611-D3FEC445654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57" authorId="0" shapeId="0" xr:uid="{FADC3C3A-60EF-4CF2-9702-37624DA3E19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57" authorId="0" shapeId="0" xr:uid="{86305CA8-FE9F-4E53-8890-C53E98E788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57" authorId="0" shapeId="0" xr:uid="{7EC706C5-E959-4C01-8377-A2F355B158F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57" authorId="0" shapeId="0" xr:uid="{CEC49EF4-0585-4D50-99CF-4EFFBF3302F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57" authorId="0" shapeId="0" xr:uid="{48A58F48-28AF-4780-B25E-50D88370E3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57" authorId="0" shapeId="0" xr:uid="{42AA1A21-DEC7-4F1C-9CF3-85A8EC25347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57" authorId="0" shapeId="0" xr:uid="{0F656A04-B3A5-4952-AD05-B7BC382683A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57" authorId="0" shapeId="0" xr:uid="{12B38975-9112-46E6-8083-566D461D266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57" authorId="0" shapeId="0" xr:uid="{47B2FD6E-CD41-45E1-A0D0-0743C66F6AC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57" authorId="0" shapeId="0" xr:uid="{100836B5-C721-49C0-AE6D-BC3674C09AC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74" authorId="0" shapeId="0" xr:uid="{34D7930A-7C97-4E1C-A080-530ECFDAD90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74" authorId="0" shapeId="0" xr:uid="{82727970-D176-4B64-AB14-BAE23F499FB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74" authorId="0" shapeId="0" xr:uid="{BDCA6E14-1A7D-4EB5-8B1A-5B2E8A51A8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74" authorId="0" shapeId="0" xr:uid="{B56C3A36-BA71-4E8D-8E02-0D50F7D635D2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74" authorId="0" shapeId="0" xr:uid="{A448FACF-D82A-4D7E-8FE9-CC643A24495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74" authorId="0" shapeId="0" xr:uid="{C4548341-C34F-4223-BD3A-ACEBF8E457B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74" authorId="0" shapeId="0" xr:uid="{30A61888-2286-4408-837C-6738919997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74" authorId="0" shapeId="0" xr:uid="{059FCD0A-FF6B-4729-8592-4CA39C5AD8A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74" authorId="0" shapeId="0" xr:uid="{FCDBE5FB-AE31-47D3-8AB2-16D4A7654B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74" authorId="0" shapeId="0" xr:uid="{B6F24998-D8AA-4F96-B64F-1E73905A69D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74" authorId="0" shapeId="0" xr:uid="{6ED59009-9159-43F6-819A-13696AC87C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74" authorId="0" shapeId="0" xr:uid="{525B6792-DD26-44DA-96D1-B8C412B0D97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79" authorId="0" shapeId="0" xr:uid="{848EAFFE-EE83-46C8-8D8A-D6D3B6E36AB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79" authorId="0" shapeId="0" xr:uid="{F51571C3-4FA1-4A99-9CC6-B45C6E0DA9C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79" authorId="0" shapeId="0" xr:uid="{631F7102-0FE4-4152-928D-3B84314289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79" authorId="0" shapeId="0" xr:uid="{1B33326A-FBC9-4E3A-A833-C58FE0E371A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79" authorId="0" shapeId="0" xr:uid="{2D373942-6A6F-4CDA-88E0-7AFC29CA15E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79" authorId="0" shapeId="0" xr:uid="{FF3924F0-27B2-4275-81E9-1E411322AE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79" authorId="0" shapeId="0" xr:uid="{000BA5E5-297C-4173-BDAC-06817EECF9C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79" authorId="0" shapeId="0" xr:uid="{14F4BCC1-5CBA-4567-A650-A9C64696E2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79" authorId="0" shapeId="0" xr:uid="{D44A3A60-9BEC-4D6C-AE62-A9230F10CF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79" authorId="0" shapeId="0" xr:uid="{8216CAB4-E26B-4D0B-910B-9CA8718E66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79" authorId="0" shapeId="0" xr:uid="{ACB87797-6743-4C59-B3C1-5508FFEE607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79" authorId="0" shapeId="0" xr:uid="{65001EEE-FDE1-4D52-A5E4-1FED3B6617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80" authorId="0" shapeId="0" xr:uid="{BD52B3EF-1150-400A-998A-B8DBA7CB6BB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80" authorId="0" shapeId="0" xr:uid="{32BD35E3-405F-4275-95E1-327735987ED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80" authorId="0" shapeId="0" xr:uid="{E7F774E5-3EE9-43FC-8388-4364942E061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80" authorId="0" shapeId="0" xr:uid="{953D34AA-CEF6-4C3D-BA70-1B785944EB0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80" authorId="0" shapeId="0" xr:uid="{68328BBA-C510-48AB-832E-5149D9FD0B7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80" authorId="0" shapeId="0" xr:uid="{A7AB6FB1-5C09-47C8-83BF-C0B192B3205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80" authorId="0" shapeId="0" xr:uid="{9522BCD9-CBAF-4985-BEE4-C8FCCF28B2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80" authorId="0" shapeId="0" xr:uid="{BD749703-BA11-43BB-8902-4482213D5E4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80" authorId="0" shapeId="0" xr:uid="{806F848E-EA4F-45BF-B2BD-6A13DCA92B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80" authorId="0" shapeId="0" xr:uid="{58CBBBB1-30CD-4954-9E93-1FCD987141F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80" authorId="0" shapeId="0" xr:uid="{A474BF1B-9E23-4150-A76A-406C1474557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80" authorId="0" shapeId="0" xr:uid="{5E4C8674-30D8-4176-95CE-086F7B1F9F0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6" authorId="0" shapeId="0" xr:uid="{172BE120-2B10-49B1-A779-BAA000B0517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6" authorId="0" shapeId="0" xr:uid="{EDE072C0-369C-461F-A936-0FC47468BF6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6" authorId="0" shapeId="0" xr:uid="{39034084-A2C0-4C6A-9B37-C0EAF4DDCEE8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6" authorId="0" shapeId="0" xr:uid="{E8AF5970-56B4-4990-ABDE-C66B46B0452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6" authorId="0" shapeId="0" xr:uid="{1BCB9A83-D093-48F3-A3FA-9B4FA84633A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6" authorId="0" shapeId="0" xr:uid="{53366CCA-91D9-48A6-8FAF-0174A25812E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6" authorId="0" shapeId="0" xr:uid="{0D757127-EBBF-48AD-8C11-FE6A41D2028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6" authorId="0" shapeId="0" xr:uid="{3216D174-C58C-4E08-8B5E-3D0B9D023B6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6" authorId="0" shapeId="0" xr:uid="{6D28DD71-EE9D-4E7B-8F27-5EB8FFC8E4C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6" authorId="0" shapeId="0" xr:uid="{F53E86A1-F20B-4ED0-845B-4487BD7B9CE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6" authorId="0" shapeId="0" xr:uid="{73F92CFE-4CC8-4121-9B29-63EB73755D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6" authorId="0" shapeId="0" xr:uid="{B0DCD8BC-682B-423E-9C5D-B71BDE429B5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7" authorId="0" shapeId="0" xr:uid="{32CBA715-CFA5-476C-9CD4-AF2A39B7DD2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7" authorId="0" shapeId="0" xr:uid="{D7A0E6BF-9D70-45BF-A11B-18D50821265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7" authorId="0" shapeId="0" xr:uid="{DCF75645-121B-4A28-8459-A17DFA3E9FEE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7" authorId="0" shapeId="0" xr:uid="{5366D736-72CB-416B-AEED-2ED961AE603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7" authorId="0" shapeId="0" xr:uid="{45EEC27E-2A9C-433D-9F13-330D14A64007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7" authorId="0" shapeId="0" xr:uid="{E710D0D9-0344-4AD5-A923-06AFFFDD7F3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7" authorId="0" shapeId="0" xr:uid="{F195AA3C-8A6B-4431-A314-EE152A8AFE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7" authorId="0" shapeId="0" xr:uid="{4210A859-BA15-4B61-BCCE-3D813BEA7E6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7" authorId="0" shapeId="0" xr:uid="{0CEDBCEA-1CA9-4D74-BCDA-84A6DB606B6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7" authorId="0" shapeId="0" xr:uid="{11F4F1A6-7D59-4CAA-904F-453C310BD59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7" authorId="0" shapeId="0" xr:uid="{3E8EBC10-E480-4623-B86C-52FCC63DC79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7" authorId="0" shapeId="0" xr:uid="{49A7A213-3AD7-46C1-BA89-F233C472497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498" authorId="0" shapeId="0" xr:uid="{A053607E-420B-43EE-A413-7832E4FA78A4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498" authorId="0" shapeId="0" xr:uid="{633EF709-0CCF-43B5-8A30-A26C57349E8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498" authorId="0" shapeId="0" xr:uid="{BFFEA570-1F75-41CF-ABEF-43048B276DE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498" authorId="0" shapeId="0" xr:uid="{1788C3EF-A67F-4792-A80C-046991C4A5A5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498" authorId="0" shapeId="0" xr:uid="{B7CBCF42-1F49-42EC-B0C2-1FFC6B9D86F9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498" authorId="0" shapeId="0" xr:uid="{841D8646-6DE9-4E06-96C2-5BAD7D55398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498" authorId="0" shapeId="0" xr:uid="{409FDC89-CCA0-464E-B1A2-2881D2FB284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498" authorId="0" shapeId="0" xr:uid="{0A72E727-8246-4394-85A3-CF6CCA61A64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498" authorId="0" shapeId="0" xr:uid="{B8ECDFBB-3F80-4EE2-9D64-2A40D9B5743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498" authorId="0" shapeId="0" xr:uid="{BB2126F5-429D-43F4-B3C0-C1878F623E6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498" authorId="0" shapeId="0" xr:uid="{93C24867-FA8B-45DC-9BCE-705C8FE926D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498" authorId="0" shapeId="0" xr:uid="{341EBF54-A140-4957-9318-5DC3FBBD2D66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D680" authorId="0" shapeId="0" xr:uid="{59CD2E12-E434-4E39-A311-C40F3B5A2F9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E680" authorId="0" shapeId="0" xr:uid="{3450073A-6A0C-4231-B9AF-D0FA540BDD3B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F680" authorId="0" shapeId="0" xr:uid="{AC903A54-1175-4CC4-977E-A6E83011CC1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G680" authorId="0" shapeId="0" xr:uid="{B28C8061-3FB7-42EC-858C-30CBCACF3A1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H680" authorId="0" shapeId="0" xr:uid="{D8718A44-7598-4C09-96DC-FE7870057BED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I680" authorId="0" shapeId="0" xr:uid="{2BD6FECD-818B-44CC-88DD-9AD80981810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J680" authorId="0" shapeId="0" xr:uid="{EECF372B-EA74-4A55-8D6C-5F6828A30D7A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K680" authorId="0" shapeId="0" xr:uid="{671A30BE-BC2A-471B-973F-F6E8419E4F6C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L680" authorId="0" shapeId="0" xr:uid="{22BBF8A3-0C3F-44F5-87C5-57B3CE84ABF0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M680" authorId="0" shapeId="0" xr:uid="{535F76FB-0E9C-4C61-A50A-C3DB628DA6F3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N680" authorId="0" shapeId="0" xr:uid="{5B42F347-8BCB-42E6-9228-016B54F84B41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  <comment ref="O680" authorId="0" shapeId="0" xr:uid="{32FDB0AE-7C22-4EA7-9673-A5C950870BEF}">
      <text>
        <r>
          <rPr>
            <b/>
            <sz val="9"/>
            <color indexed="81"/>
            <rFont val="Tahoma"/>
            <family val="2"/>
          </rPr>
          <t>bloombergx:</t>
        </r>
        <r>
          <rPr>
            <sz val="9"/>
            <color indexed="81"/>
            <rFont val="Tahoma"/>
            <family val="2"/>
          </rPr>
          <t xml:space="preserve">
Marled for clearing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<sst xmlns="http://schemas.openxmlformats.org/spreadsheetml/2006/main" count="31425" uniqueCount="3857">
  <si>
    <t>Date Today</t>
  </si>
  <si>
    <t>Date Override</t>
  </si>
  <si>
    <t>Effective Date</t>
  </si>
  <si>
    <t>Currency</t>
  </si>
  <si>
    <t>Name</t>
  </si>
  <si>
    <t>Current Year</t>
  </si>
  <si>
    <t>EBIT</t>
  </si>
  <si>
    <t>EBITDA</t>
  </si>
  <si>
    <t>NET DEBT</t>
  </si>
  <si>
    <t>SALES_REV_TURN</t>
  </si>
  <si>
    <t>Country</t>
  </si>
  <si>
    <t>COUNTRY_FULL_NAME</t>
  </si>
  <si>
    <t>ROIC</t>
  </si>
  <si>
    <t>Fiscal Year End</t>
  </si>
  <si>
    <t>Most Recent Period End Date</t>
  </si>
  <si>
    <t>Afghanistan</t>
  </si>
  <si>
    <t>Albania</t>
  </si>
  <si>
    <t>Angola</t>
  </si>
  <si>
    <t>Argentina</t>
  </si>
  <si>
    <t>Armenia</t>
  </si>
  <si>
    <t>Aruba</t>
  </si>
  <si>
    <t>Australia</t>
  </si>
  <si>
    <t>Austria</t>
  </si>
  <si>
    <t>Bahamas</t>
  </si>
  <si>
    <t>Bahrain</t>
  </si>
  <si>
    <t>Bangladesh</t>
  </si>
  <si>
    <t>Barbados</t>
  </si>
  <si>
    <t>Belarus</t>
  </si>
  <si>
    <t>Belgium</t>
  </si>
  <si>
    <t>Bermuda</t>
  </si>
  <si>
    <t>Bolivia</t>
  </si>
  <si>
    <t>Botswana</t>
  </si>
  <si>
    <t>Brazil</t>
  </si>
  <si>
    <t>Bulgaria</t>
  </si>
  <si>
    <t>Canada</t>
  </si>
  <si>
    <t>Cayman Islands</t>
  </si>
  <si>
    <t>Chile</t>
  </si>
  <si>
    <t>China</t>
  </si>
  <si>
    <t>Colombia</t>
  </si>
  <si>
    <t>Costa Rica</t>
  </si>
  <si>
    <t>Croatia</t>
  </si>
  <si>
    <t>Cyprus</t>
  </si>
  <si>
    <t>Denmark</t>
  </si>
  <si>
    <t>Dominican Republic</t>
  </si>
  <si>
    <t>Ecuador</t>
  </si>
  <si>
    <t>Egypt</t>
  </si>
  <si>
    <t>Estonia</t>
  </si>
  <si>
    <t>Fiji</t>
  </si>
  <si>
    <t>Finland</t>
  </si>
  <si>
    <t>France</t>
  </si>
  <si>
    <t>Germany</t>
  </si>
  <si>
    <t>Gibraltar</t>
  </si>
  <si>
    <t>Greece</t>
  </si>
  <si>
    <t>Guernsey</t>
  </si>
  <si>
    <t>Honduras</t>
  </si>
  <si>
    <t>Hungary</t>
  </si>
  <si>
    <t>Iceland</t>
  </si>
  <si>
    <t>India</t>
  </si>
  <si>
    <t>Indonesia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</si>
  <si>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</si>
  <si>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</si>
  <si>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</si>
  <si>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</si>
  <si>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</si>
  <si>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</si>
  <si>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</si>
  <si>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</si>
  <si>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</si>
  <si>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Kuwait</t>
  </si>
  <si>
    <t>Latvia</t>
  </si>
  <si>
    <t>Libya</t>
  </si>
  <si>
    <t>Lithuania</t>
  </si>
  <si>
    <t>Luxembourg</t>
  </si>
  <si>
    <t>Malaysia</t>
  </si>
  <si>
    <t>Malta</t>
  </si>
  <si>
    <t>Mauritius</t>
  </si>
  <si>
    <t>Mexico</t>
  </si>
  <si>
    <t>Montenegro</t>
  </si>
  <si>
    <t>Mozambique</t>
  </si>
  <si>
    <t>Netherlands</t>
  </si>
  <si>
    <t>New Zealand</t>
  </si>
  <si>
    <t>Nigeria</t>
  </si>
  <si>
    <t>Norway</t>
  </si>
  <si>
    <t>Oman</t>
  </si>
  <si>
    <t>Pakistan</t>
  </si>
  <si>
    <t>Panama</t>
  </si>
  <si>
    <t>Papua New Guinea</t>
  </si>
  <si>
    <t>Paraguay</t>
  </si>
  <si>
    <t>Peru</t>
  </si>
  <si>
    <t>Philippines</t>
  </si>
  <si>
    <t>Poland</t>
  </si>
  <si>
    <t>Portugal</t>
  </si>
  <si>
    <t>Romania</t>
  </si>
  <si>
    <t>Russia</t>
  </si>
  <si>
    <t>Saudi Arabia</t>
  </si>
  <si>
    <t>Singapore</t>
  </si>
  <si>
    <t>Slovenia</t>
  </si>
  <si>
    <t>South Africa</t>
  </si>
  <si>
    <t>Spain</t>
  </si>
  <si>
    <t>Sri Lanka</t>
  </si>
  <si>
    <t>Sudan</t>
  </si>
  <si>
    <t>Sweden</t>
  </si>
  <si>
    <t>Switzerland</t>
  </si>
  <si>
    <t>Taiwan</t>
  </si>
  <si>
    <t>Thailand</t>
  </si>
  <si>
    <t>Tunisia</t>
  </si>
  <si>
    <t>Turkey</t>
  </si>
  <si>
    <t>Ukraine</t>
  </si>
  <si>
    <t>United Arab Emirates</t>
  </si>
  <si>
    <t>Uruguay</t>
  </si>
  <si>
    <t>Venezuela</t>
  </si>
  <si>
    <t>Vietnam</t>
  </si>
  <si>
    <t>Yemen</t>
  </si>
  <si>
    <t>Zambia</t>
  </si>
  <si>
    <t>Zimbabwe</t>
  </si>
  <si>
    <t>United States</t>
  </si>
  <si>
    <t>Unexplained Assets</t>
  </si>
  <si>
    <t>EQY_FUND_CRNCY</t>
  </si>
  <si>
    <t>Acquisition/Disposal Adjustment</t>
  </si>
  <si>
    <t>Goodwill in acquisition/written-off</t>
  </si>
  <si>
    <t>12Y</t>
  </si>
  <si>
    <t>13Y</t>
  </si>
  <si>
    <t>PPE in acquired/sold</t>
  </si>
  <si>
    <t>Other op. assets acquired/sold… (not NWC)</t>
  </si>
  <si>
    <t>&lt;-- Assume Capex/Dep. Ratio</t>
  </si>
  <si>
    <t>Valid Year</t>
  </si>
  <si>
    <t xml:space="preserve">  </t>
  </si>
  <si>
    <t>…</t>
  </si>
  <si>
    <t>ROIC (ex-goodwill)</t>
  </si>
  <si>
    <t>IC Turnover</t>
  </si>
  <si>
    <t>IC (ex-goodwill) Turnover</t>
  </si>
  <si>
    <t>Life of Assets</t>
  </si>
  <si>
    <t>EBITDA Margin</t>
  </si>
  <si>
    <t>EBITA Margin</t>
  </si>
  <si>
    <t>Ave. PPE</t>
  </si>
  <si>
    <t>Ave. IC (simple)</t>
  </si>
  <si>
    <t>Ave. IC</t>
  </si>
  <si>
    <t>Ave. IC (ex-goodwill)</t>
  </si>
  <si>
    <t>Trade Current Assets days</t>
  </si>
  <si>
    <t>Trade Current Liabilities days</t>
  </si>
  <si>
    <t>BEST_EBITDA</t>
  </si>
  <si>
    <t>Depreciation</t>
  </si>
  <si>
    <t>EBITA</t>
  </si>
  <si>
    <t>NOPLAT</t>
  </si>
  <si>
    <t>BEST_Sales</t>
  </si>
  <si>
    <t>IS_COMP_SALES</t>
  </si>
  <si>
    <t>ARD_REVENUES</t>
  </si>
  <si>
    <t>Amortisation</t>
  </si>
  <si>
    <t>BEST_EBIT</t>
  </si>
  <si>
    <t>IS_OPER_INC</t>
  </si>
  <si>
    <t>Operating Income</t>
  </si>
  <si>
    <t>BEST_OPP</t>
  </si>
  <si>
    <t>BEST_NET_DEBT</t>
  </si>
  <si>
    <t>EBITDA (v1)</t>
  </si>
  <si>
    <t>Bloomberg (method 1)</t>
  </si>
  <si>
    <t>EBITDA (v2)</t>
  </si>
  <si>
    <t>Calculation (method 1)</t>
  </si>
  <si>
    <t>Calculation (method 2)</t>
  </si>
  <si>
    <t>Depreciation (v1)</t>
  </si>
  <si>
    <t>IS_DEPR_EXP</t>
  </si>
  <si>
    <t>ARD_DEPRECIATION_EXP</t>
  </si>
  <si>
    <t>Bloomberg (method 2)</t>
  </si>
  <si>
    <t>ARDJ_DEP_INC_STA</t>
  </si>
  <si>
    <t>Bloomberg (method 3)</t>
  </si>
  <si>
    <t>ARD_DEPR_IMPAIRMENT_FIXED_ASSETS</t>
  </si>
  <si>
    <t>Bloomberg (method 4)</t>
  </si>
  <si>
    <t>Depreciation (v2)</t>
  </si>
  <si>
    <t>Depreciation &amp; Amortization</t>
  </si>
  <si>
    <t>ARD_DEPRECIATION_AMORTIZATION</t>
  </si>
  <si>
    <t>ARDR_DEPRECIATION_AMORTIZATION</t>
  </si>
  <si>
    <t>CF_DEPR_AMORT</t>
  </si>
  <si>
    <t>ARD_AMORT_EXP</t>
  </si>
  <si>
    <t>ARDR_AMORT_EXP</t>
  </si>
  <si>
    <t>ARD_AMORT_OF_INTANGIBLE_ASSETS</t>
  </si>
  <si>
    <t>ARDR_AMORT_OF_INTANGIBLE_ASSETS</t>
  </si>
  <si>
    <t>ARD_AMORTIZATION_CF</t>
  </si>
  <si>
    <t>Bloomberg (method 5)</t>
  </si>
  <si>
    <t>Tax</t>
  </si>
  <si>
    <t>Marginal Tax Rate</t>
  </si>
  <si>
    <t>Marginal Taxes</t>
  </si>
  <si>
    <t>ARD_AMORTIZATION_OF_INTANGIBLE</t>
  </si>
  <si>
    <t>ARDR_AMORTIZATION_OF_INTANGIBLE</t>
  </si>
  <si>
    <t>ARD_AMORT_IMPAIR_INTANG_ASSETS</t>
  </si>
  <si>
    <t>ARD_AMORT_IMPAIR_OF_INTANGIBLES</t>
  </si>
  <si>
    <t>ARDR_AMORT_IMPAIR_OF_INTANGIBLES</t>
  </si>
  <si>
    <t>ARD_DEPR_AMORT_AND_WRITE_DOWNS</t>
  </si>
  <si>
    <t>ARD_DEPRECIATION_AMORT_IMPAIRMNT</t>
  </si>
  <si>
    <t>ARDR_DEPR_AMORT_IMPAIRMNT</t>
  </si>
  <si>
    <t>ARD_DEPREC_AMORT_WRITE_DOWNS</t>
  </si>
  <si>
    <t>ARDR_DEPREC_AMORT_WRITE_DOWNS</t>
  </si>
  <si>
    <t>AMORT_OF_GOODWILL</t>
  </si>
  <si>
    <t>ARD_AMORTIZATION_OF_GOODWILL_IS</t>
  </si>
  <si>
    <t>ARDR_AMORTIZATION_OF_GOODWILL_IS</t>
  </si>
  <si>
    <t>ARDR_AMORTIZATION_GOODWILL</t>
  </si>
  <si>
    <t>ARD_GOODWILL_WRITTEN_OFF_AMOR_IS</t>
  </si>
  <si>
    <t>ARD_AMOT_IMPAIRMENT_GOODWILL</t>
  </si>
  <si>
    <t>ARDR_AMOT_IMPAIRMENT_GOODWILL</t>
  </si>
  <si>
    <t>ARD_AMORTIZATION_OF_SOFTWARE</t>
  </si>
  <si>
    <t>ARD_AMORTIZATION_OF_SOFTWARE_IS</t>
  </si>
  <si>
    <t>ARD_DEPRECIATION_AND_AMORT_CF</t>
  </si>
  <si>
    <t>ARDR_DEPRECIATION_AND_AMORT_CF</t>
  </si>
  <si>
    <t>ARD_AMORTIZATION_GOODWILL_CF</t>
  </si>
  <si>
    <t>ARDR_AMORTIZATION_CF</t>
  </si>
  <si>
    <t>Invested Capital Calculation</t>
  </si>
  <si>
    <t>Total Assets (ex Cash)</t>
  </si>
  <si>
    <t>Total Trade Current Liabilities</t>
  </si>
  <si>
    <t>WC Cash (@ 3%)</t>
  </si>
  <si>
    <t>Invested Capital (simple)</t>
  </si>
  <si>
    <t>Pension Assets</t>
  </si>
  <si>
    <t>Other Non-Operating Assets</t>
  </si>
  <si>
    <t xml:space="preserve">Invested Capital </t>
  </si>
  <si>
    <t>Invested Capital  (ex-goodwill)</t>
  </si>
  <si>
    <t>Total Current Liabilities</t>
  </si>
  <si>
    <t>BS_CUR_LIAB</t>
  </si>
  <si>
    <t>ARD_TOTAL_CURRENT_LIABILITIES</t>
  </si>
  <si>
    <t>Short-Term Borrowings</t>
  </si>
  <si>
    <t>BS_ST_BORROW</t>
  </si>
  <si>
    <t>ARD_CURRENT_PORTION_OF_LT_DEBT</t>
  </si>
  <si>
    <t>ARD_ST_BORROW</t>
  </si>
  <si>
    <t>BS_ST_DEBT</t>
  </si>
  <si>
    <t>Total Assets</t>
  </si>
  <si>
    <t>BS_TOT_ASSET</t>
  </si>
  <si>
    <t>ARD_TOT_ASSETS</t>
  </si>
  <si>
    <t>Total Current Assets (ex-Cash)</t>
  </si>
  <si>
    <t>BS_CUR_ASSET_REPORT</t>
  </si>
  <si>
    <t>ARD_TOTAL_CUR_ASSETS</t>
  </si>
  <si>
    <t>PPE</t>
  </si>
  <si>
    <t>PPE (v1)</t>
  </si>
  <si>
    <t>BS_NET_FIX_ASSET</t>
  </si>
  <si>
    <t>ARD_PLANT_AND_EQUIPMENT_NET</t>
  </si>
  <si>
    <t>PPE (v2) wrong</t>
  </si>
  <si>
    <t>ARD_PROPERTY_PLANT_EQUIP_NET</t>
  </si>
  <si>
    <t>ARDR_PROPERTY_PLANT_EQUIP_NET</t>
  </si>
  <si>
    <t>Intangibles (v1)</t>
  </si>
  <si>
    <t>BS_DISCLOSED_INTANGIBLES</t>
  </si>
  <si>
    <t>Intangibles (v2)</t>
  </si>
  <si>
    <t>ARD_TOTAL_INTANGIBLE_ASSET_NET</t>
  </si>
  <si>
    <t>Intangibles (v3)</t>
  </si>
  <si>
    <t>ARD_INTANG_ASSETS_EXCL_GOODWILL</t>
  </si>
  <si>
    <t>Other Intangible Assets</t>
  </si>
  <si>
    <t>ARD_OTHER_INTANGIBLE_ASSET</t>
  </si>
  <si>
    <t>ARDR_OTHER_INTANGIBLE_ASSET</t>
  </si>
  <si>
    <t>ARDR_OTHER_INTANGIBLES_NET</t>
  </si>
  <si>
    <t>Licences</t>
  </si>
  <si>
    <t>ARD_LICENSES</t>
  </si>
  <si>
    <t>ARD_GOODWLL</t>
  </si>
  <si>
    <t>BS_GOODWILL</t>
  </si>
  <si>
    <t>Other Operating Assets</t>
  </si>
  <si>
    <t>ARD_OTHER_RECEIVABLES_LT</t>
  </si>
  <si>
    <t>ARD_ALLOW_FOR_DOUBTFUL_ACCTS_LT</t>
  </si>
  <si>
    <t>ARD_LONG_TERM_LOANS_OTHER_DEBTOR</t>
  </si>
  <si>
    <t>Long-term Investments</t>
  </si>
  <si>
    <t>ARD_LT_INVEST</t>
  </si>
  <si>
    <t>ARD_OTHER_FINANCIAL_ASSETS_LT</t>
  </si>
  <si>
    <t>ARD_NON_CUR_MKT_SEC</t>
  </si>
  <si>
    <t>ARD_LONG_TERM_LOANS</t>
  </si>
  <si>
    <t>ARDR_OTHER_LT_INVESTMENTS</t>
  </si>
  <si>
    <t>ARDR_INVEST_UNCONSOL_SUBSID</t>
  </si>
  <si>
    <t>Deferred Tax Asset</t>
  </si>
  <si>
    <t>ARD_DEFERRED_INC_TAX_ASSET_LT</t>
  </si>
  <si>
    <t>ARD_DEFERRED_TAX_ASSETS_LT</t>
  </si>
  <si>
    <t>Equity Inv., JVs &amp; Associates</t>
  </si>
  <si>
    <t>ARD_INVESTMENT_IN_AFFILIATE_JV</t>
  </si>
  <si>
    <t>ARD_NET_EQTY_INVEST_JV_ASSOC</t>
  </si>
  <si>
    <t>ARD_EQY_INVEST_ASSOC_AFFILIATES</t>
  </si>
  <si>
    <t>Assets Held For Sale</t>
  </si>
  <si>
    <t>ARD_ASSETS_HELD_FOR_SALE_LT</t>
  </si>
  <si>
    <t>ARD_PREPAID_PEN_POSTRETIRE_BEN</t>
  </si>
  <si>
    <t>ARD_OTHER_INVEST_OTHER_ASSETS</t>
  </si>
  <si>
    <t>ARD_DERIVATIVE_ASSET_LT</t>
  </si>
  <si>
    <t>??? 3</t>
  </si>
  <si>
    <t>Short-term investments</t>
  </si>
  <si>
    <t>ARD_MARKETABLE_SECURITIES</t>
  </si>
  <si>
    <t>ARD_OTHER_NONCURRENT_ASSET</t>
  </si>
  <si>
    <t xml:space="preserve">Deferred Costs </t>
  </si>
  <si>
    <t>ARD_DEFERRED_COSTS</t>
  </si>
  <si>
    <t>ARD_CASH_AND_EQUIVALENTS</t>
  </si>
  <si>
    <t>ARDR_CASH_AND_EQUIVALENTS</t>
  </si>
  <si>
    <t>BS_CASH_NEAR_CASH_ITEM</t>
  </si>
  <si>
    <t>CAPEX</t>
  </si>
  <si>
    <t>CF_CAP_EXPEND_PRPTY_ADD</t>
  </si>
  <si>
    <t>CF_CAP_EXPEND_INC_FIX_ASSET</t>
  </si>
  <si>
    <t>BLOOMBERG RECON</t>
  </si>
  <si>
    <t>LT Investments &amp; LT Receivables</t>
  </si>
  <si>
    <t>Net Fixed Assets</t>
  </si>
  <si>
    <t>Other Long-Term Assets</t>
  </si>
  <si>
    <t>LCL</t>
  </si>
  <si>
    <t>14Y</t>
  </si>
  <si>
    <t>15Y</t>
  </si>
  <si>
    <t>n.a.</t>
  </si>
  <si>
    <t>Bloomberg (method 6)</t>
  </si>
  <si>
    <t>Depreciation (Bloomberg)</t>
  </si>
  <si>
    <t>OUTPUT</t>
  </si>
  <si>
    <t>EBITDA (Bloomberg)</t>
  </si>
  <si>
    <t>EBITDA (Calculated)</t>
  </si>
  <si>
    <t>Amortization (Bloomberg)</t>
  </si>
  <si>
    <t>Amortization (Calculated)</t>
  </si>
  <si>
    <t>EBIT (Bloomberg)</t>
  </si>
  <si>
    <t>EBITA (Calculated)</t>
  </si>
  <si>
    <t>Sales (Bloomberg)</t>
  </si>
  <si>
    <t>???</t>
  </si>
  <si>
    <t>IS BLOOMBEG DATA</t>
  </si>
  <si>
    <t>Ave. Intan.</t>
  </si>
  <si>
    <t>Goodwill (Bloomberg)</t>
  </si>
  <si>
    <t>Goodwill (Calculated)</t>
  </si>
  <si>
    <t>Total Intangibles</t>
  </si>
  <si>
    <t>Intangibles (Bloomberg)</t>
  </si>
  <si>
    <t xml:space="preserve"> This is right!</t>
  </si>
  <si>
    <t>Done</t>
  </si>
  <si>
    <t>Intangibles (Calculated)</t>
  </si>
  <si>
    <t>ave. IA/Amort. (Calculated)</t>
  </si>
  <si>
    <t>ave. IA/Amort. (Estimated)</t>
  </si>
  <si>
    <t>ave. IA/Amort.</t>
  </si>
  <si>
    <t>This is Right!</t>
  </si>
  <si>
    <t>.</t>
  </si>
  <si>
    <t>Check</t>
  </si>
  <si>
    <t>THIS STILL NEEDS TO BE DONE RIGHT!</t>
  </si>
  <si>
    <t>Assets</t>
  </si>
  <si>
    <t>Total Current Assets (Bloomberg)</t>
  </si>
  <si>
    <t>BALANCE SHEET</t>
  </si>
  <si>
    <t>Total current assets (ex-cash) (Bloomberg)</t>
  </si>
  <si>
    <t>Goodwill (Workings)</t>
  </si>
  <si>
    <t>Other Intangibles (Workings)</t>
  </si>
  <si>
    <t>Cash (Bloomberg)</t>
  </si>
  <si>
    <t>Don't mess with this formula</t>
  </si>
  <si>
    <t>Add bloomberg depreciation</t>
  </si>
  <si>
    <t>Total Non-operating Assets</t>
  </si>
  <si>
    <t>Total non-operating assets</t>
  </si>
  <si>
    <t>PPE (Workings)</t>
  </si>
  <si>
    <t>Other operating assets (Bloomberg)</t>
  </si>
  <si>
    <t>Other Non-current Assets</t>
  </si>
  <si>
    <t>Other non-current assets (Bloomberg)</t>
  </si>
  <si>
    <t>Cash % Sales</t>
  </si>
  <si>
    <t>Total Assets (Bloomberg)</t>
  </si>
  <si>
    <t>Short-term borrowings (Bloomberg)</t>
  </si>
  <si>
    <t>Total trade current liabilities</t>
  </si>
  <si>
    <t>Total current liabilities (Bloomberg)</t>
  </si>
  <si>
    <t>All Balance Sheet forecast on "BALANCE SHEET")</t>
  </si>
  <si>
    <t>EBIT Margin</t>
  </si>
  <si>
    <t>NOPLAT Margin</t>
  </si>
  <si>
    <t xml:space="preserve">Sales </t>
  </si>
  <si>
    <t>THIS DOES NOT WORK!</t>
  </si>
  <si>
    <t>Method 1</t>
  </si>
  <si>
    <t>Method 2</t>
  </si>
  <si>
    <t>Capex/Dep. Ratio</t>
  </si>
  <si>
    <t>Sales</t>
  </si>
  <si>
    <t>Sales (BEST)</t>
  </si>
  <si>
    <t>EBITDA (BEST)</t>
  </si>
  <si>
    <t>Future?</t>
  </si>
  <si>
    <t>Trade Current Assets days (Bloomberg)</t>
  </si>
  <si>
    <t>Trade Current Assets days (Estimated)</t>
  </si>
  <si>
    <t>Trade Current Liabilities days (Bloomberg)</t>
  </si>
  <si>
    <t>Trade Current Liabilities days (Estimated)</t>
  </si>
  <si>
    <t>CAPEX (Forecasted)</t>
  </si>
  <si>
    <t>Bloomberg</t>
  </si>
  <si>
    <t>Forecasted</t>
  </si>
  <si>
    <t>EBIT (BEST)</t>
  </si>
  <si>
    <t>ave. IA/Amort. (Forecasted)</t>
  </si>
  <si>
    <t>Estimated</t>
  </si>
  <si>
    <t>Bloomberg (field 1)</t>
  </si>
  <si>
    <t>Bloomberg (field 2)</t>
  </si>
  <si>
    <t>Bloomberg (field 3)</t>
  </si>
  <si>
    <t>NWC/Sales</t>
  </si>
  <si>
    <t>Forecasts?</t>
  </si>
  <si>
    <t>Depreciation (Forecasted)</t>
  </si>
  <si>
    <t>EBIT (Calculated)</t>
  </si>
  <si>
    <t>Calculation (method 3)</t>
  </si>
  <si>
    <t>ave. PPE/Dep. (Calculated)</t>
  </si>
  <si>
    <t>ave. PPE/Dep. (Estimated)</t>
  </si>
  <si>
    <t>ave. PPE/Dep. (Forecasted)</t>
  </si>
  <si>
    <t>Amortization (Estimated)</t>
  </si>
  <si>
    <t>Data Name</t>
  </si>
  <si>
    <t>Year</t>
  </si>
  <si>
    <t>Heading</t>
  </si>
  <si>
    <t>Call Type</t>
  </si>
  <si>
    <t>Update</t>
  </si>
  <si>
    <t>Field</t>
  </si>
  <si>
    <t>Override I</t>
  </si>
  <si>
    <t>Override Value I</t>
  </si>
  <si>
    <t>Override II</t>
  </si>
  <si>
    <t>Override Value II</t>
  </si>
  <si>
    <t>Override III</t>
  </si>
  <si>
    <t>Override Value III</t>
  </si>
  <si>
    <t>Override IV</t>
  </si>
  <si>
    <t>Override Value IV</t>
  </si>
  <si>
    <t>BDP</t>
  </si>
  <si>
    <t>Y</t>
  </si>
  <si>
    <t>SECURITY_NAME</t>
  </si>
  <si>
    <t>EQY_FISCAL_YR_END</t>
  </si>
  <si>
    <t>MOST_RECENT_PERIOD_END_DT</t>
  </si>
  <si>
    <t>Last Price</t>
  </si>
  <si>
    <t>BDH</t>
  </si>
  <si>
    <t>PX LAST</t>
  </si>
  <si>
    <t>EUR</t>
  </si>
  <si>
    <t>Market Capitalisation</t>
  </si>
  <si>
    <t>CUR_MKT_CAP</t>
  </si>
  <si>
    <t>BEST_FPERIOD_OVERRIDE</t>
  </si>
  <si>
    <t>BEST_CAPEX</t>
  </si>
  <si>
    <t>BEST_SALES</t>
  </si>
  <si>
    <t>ARDR_OTHER_LT_DEBTORS_NON_REC</t>
  </si>
  <si>
    <t>Bloomberg (method 2, with assumption.)</t>
  </si>
  <si>
    <t>Intangibles (Bloomberg inputs only)</t>
  </si>
  <si>
    <t>Goodwill (Forecasted)</t>
  </si>
  <si>
    <t>EBITA (Forecasted)</t>
  </si>
  <si>
    <t>IS_NET_NON_OPER_LOSS</t>
  </si>
  <si>
    <t>IS_EQY_EARN_FROM_INVEST_ASSOC</t>
  </si>
  <si>
    <t>BS_LT_INVEST</t>
  </si>
  <si>
    <t>ARDR_TRADE_DEBTORS_REC_LT</t>
  </si>
  <si>
    <t>Intangibles/Goodwill ratio</t>
  </si>
  <si>
    <t>Calculation (method 4)</t>
  </si>
  <si>
    <t>ARDR_DEPOSITS_GUARANTEES</t>
  </si>
  <si>
    <t>ARDR_OTHER_RECEIVABLE_NET</t>
  </si>
  <si>
    <t>Start Period</t>
  </si>
  <si>
    <t>BDHF</t>
  </si>
  <si>
    <t>Tickers</t>
  </si>
  <si>
    <t>Last Price [LCL]</t>
  </si>
  <si>
    <t>Last Price [EUR]</t>
  </si>
  <si>
    <t>Market Capitalisation [EUR]</t>
  </si>
  <si>
    <t>Market Capitalisation [LCL]</t>
  </si>
  <si>
    <t>16Y</t>
  </si>
  <si>
    <t>17Y</t>
  </si>
  <si>
    <t>Old formula</t>
  </si>
  <si>
    <t>Algeria</t>
  </si>
  <si>
    <t>Bonaire, Saint Eustatius and Saba</t>
  </si>
  <si>
    <t>Bosnia and Herzegovina</t>
  </si>
  <si>
    <t>Cambodia</t>
  </si>
  <si>
    <t>Curacao</t>
  </si>
  <si>
    <t>El Salvador</t>
  </si>
  <si>
    <t>Georgia</t>
  </si>
  <si>
    <t>Ghana</t>
  </si>
  <si>
    <t>Guatemala</t>
  </si>
  <si>
    <t>Hong Kong SAR</t>
  </si>
  <si>
    <t>Iraq</t>
  </si>
  <si>
    <t>Kenya</t>
  </si>
  <si>
    <t>Korea, Republic of</t>
  </si>
  <si>
    <t>Lebanon</t>
  </si>
  <si>
    <t>Liechtenstein</t>
  </si>
  <si>
    <t>Macao SAR</t>
  </si>
  <si>
    <t>Macedonia (FYR)</t>
  </si>
  <si>
    <t>Malawi</t>
  </si>
  <si>
    <t>Morocco</t>
  </si>
  <si>
    <t>Namibia</t>
  </si>
  <si>
    <t>Qatar</t>
  </si>
  <si>
    <t>Samoa</t>
  </si>
  <si>
    <t>Serbia</t>
  </si>
  <si>
    <t>Sierra Leone</t>
  </si>
  <si>
    <t>Sint Maarten (Dutch part)</t>
  </si>
  <si>
    <t>Slovakia</t>
  </si>
  <si>
    <t>Suriname</t>
  </si>
  <si>
    <t>Syrian Arab Republic</t>
  </si>
  <si>
    <t>Tanzania</t>
  </si>
  <si>
    <t>Trinidad and Tobago</t>
  </si>
  <si>
    <t>Uganda</t>
  </si>
  <si>
    <t>Vanuatu</t>
  </si>
  <si>
    <t>Africa average</t>
  </si>
  <si>
    <t>Americas average</t>
  </si>
  <si>
    <t>Asia average</t>
  </si>
  <si>
    <t>Europe average</t>
  </si>
  <si>
    <t>Oceania average</t>
  </si>
  <si>
    <t>North America average</t>
  </si>
  <si>
    <t>Latin America average</t>
  </si>
  <si>
    <t>EU average</t>
  </si>
  <si>
    <t>OECD average</t>
  </si>
  <si>
    <t>Global average</t>
  </si>
  <si>
    <t>AMORT_OF_GOODWILL (2004)</t>
  </si>
  <si>
    <t>AMORT_OF_GOODWILL (2005)</t>
  </si>
  <si>
    <t>AMORT_OF_GOODWILL (2006)</t>
  </si>
  <si>
    <t>AMORT_OF_GOODWILL (2007)</t>
  </si>
  <si>
    <t>AMORT_OF_GOODWILL (2008)</t>
  </si>
  <si>
    <t>AMORT_OF_GOODWILL (2009)</t>
  </si>
  <si>
    <t>AMORT_OF_GOODWILL (2010)</t>
  </si>
  <si>
    <t>AMORT_OF_GOODWILL (2011)</t>
  </si>
  <si>
    <t>AMORT_OF_GOODWILL (2012)</t>
  </si>
  <si>
    <t>AMORT_OF_GOODWILL (2013)</t>
  </si>
  <si>
    <t>AMORT_OF_GOODWILL (2014)</t>
  </si>
  <si>
    <t>ARD_ALLOW_FOR_DOUBTFUL_ACCTS_LT (2004)</t>
  </si>
  <si>
    <t>ARD_ALLOW_FOR_DOUBTFUL_ACCTS_LT (2005)</t>
  </si>
  <si>
    <t>ARD_ALLOW_FOR_DOUBTFUL_ACCTS_LT (2006)</t>
  </si>
  <si>
    <t>ARD_ALLOW_FOR_DOUBTFUL_ACCTS_LT (2007)</t>
  </si>
  <si>
    <t>ARD_ALLOW_FOR_DOUBTFUL_ACCTS_LT (2008)</t>
  </si>
  <si>
    <t>ARD_ALLOW_FOR_DOUBTFUL_ACCTS_LT (2009)</t>
  </si>
  <si>
    <t>ARD_ALLOW_FOR_DOUBTFUL_ACCTS_LT (2010)</t>
  </si>
  <si>
    <t>ARD_ALLOW_FOR_DOUBTFUL_ACCTS_LT (2011)</t>
  </si>
  <si>
    <t>ARD_ALLOW_FOR_DOUBTFUL_ACCTS_LT (2012)</t>
  </si>
  <si>
    <t>ARD_ALLOW_FOR_DOUBTFUL_ACCTS_LT (2013)</t>
  </si>
  <si>
    <t>ARD_ALLOW_FOR_DOUBTFUL_ACCTS_LT (2014)</t>
  </si>
  <si>
    <t>ARD_AMORT_EXP (2004)</t>
  </si>
  <si>
    <t>ARD_AMORT_EXP (2005)</t>
  </si>
  <si>
    <t>ARD_AMORT_EXP (2006)</t>
  </si>
  <si>
    <t>ARD_AMORT_EXP (2007)</t>
  </si>
  <si>
    <t>ARD_AMORT_EXP (2008)</t>
  </si>
  <si>
    <t>ARD_AMORT_EXP (2009)</t>
  </si>
  <si>
    <t>ARD_AMORT_EXP (2010)</t>
  </si>
  <si>
    <t>ARD_AMORT_EXP (2011)</t>
  </si>
  <si>
    <t>ARD_AMORT_EXP (2012)</t>
  </si>
  <si>
    <t>ARD_AMORT_EXP (2013)</t>
  </si>
  <si>
    <t>ARD_AMORT_EXP (2014)</t>
  </si>
  <si>
    <t>ARD_AMORT_IMPAIR_INTANG_ASSETS (2004)</t>
  </si>
  <si>
    <t>ARD_AMORT_IMPAIR_INTANG_ASSETS (2005)</t>
  </si>
  <si>
    <t>ARD_AMORT_IMPAIR_INTANG_ASSETS (2006)</t>
  </si>
  <si>
    <t>ARD_AMORT_IMPAIR_INTANG_ASSETS (2007)</t>
  </si>
  <si>
    <t>ARD_AMORT_IMPAIR_INTANG_ASSETS (2008)</t>
  </si>
  <si>
    <t>ARD_AMORT_IMPAIR_INTANG_ASSETS (2009)</t>
  </si>
  <si>
    <t>ARD_AMORT_IMPAIR_INTANG_ASSETS (2010)</t>
  </si>
  <si>
    <t>ARD_AMORT_IMPAIR_INTANG_ASSETS (2011)</t>
  </si>
  <si>
    <t>ARD_AMORT_IMPAIR_INTANG_ASSETS (2012)</t>
  </si>
  <si>
    <t>ARD_AMORT_IMPAIR_INTANG_ASSETS (2013)</t>
  </si>
  <si>
    <t>ARD_AMORT_IMPAIR_INTANG_ASSETS (2014)</t>
  </si>
  <si>
    <t>ARD_AMORT_IMPAIR_OF_INTANGIBLES (2004)</t>
  </si>
  <si>
    <t>ARD_AMORT_IMPAIR_OF_INTANGIBLES (2005)</t>
  </si>
  <si>
    <t>ARD_AMORT_IMPAIR_OF_INTANGIBLES (2006)</t>
  </si>
  <si>
    <t>ARD_AMORT_IMPAIR_OF_INTANGIBLES (2007)</t>
  </si>
  <si>
    <t>ARD_AMORT_IMPAIR_OF_INTANGIBLES (2008)</t>
  </si>
  <si>
    <t>ARD_AMORT_IMPAIR_OF_INTANGIBLES (2009)</t>
  </si>
  <si>
    <t>ARD_AMORT_IMPAIR_OF_INTANGIBLES (2010)</t>
  </si>
  <si>
    <t>ARD_AMORT_IMPAIR_OF_INTANGIBLES (2011)</t>
  </si>
  <si>
    <t>ARD_AMORT_IMPAIR_OF_INTANGIBLES (2012)</t>
  </si>
  <si>
    <t>ARD_AMORT_IMPAIR_OF_INTANGIBLES (2013)</t>
  </si>
  <si>
    <t>ARD_AMORT_IMPAIR_OF_INTANGIBLES (2014)</t>
  </si>
  <si>
    <t>ARD_AMORT_OF_INTANGIBLE_ASSETS (2004)</t>
  </si>
  <si>
    <t>ARD_AMORT_OF_INTANGIBLE_ASSETS (2005)</t>
  </si>
  <si>
    <t>ARD_AMORT_OF_INTANGIBLE_ASSETS (2006)</t>
  </si>
  <si>
    <t>ARD_AMORT_OF_INTANGIBLE_ASSETS (2007)</t>
  </si>
  <si>
    <t>ARD_AMORT_OF_INTANGIBLE_ASSETS (2008)</t>
  </si>
  <si>
    <t>ARD_AMORT_OF_INTANGIBLE_ASSETS (2009)</t>
  </si>
  <si>
    <t>ARD_AMORT_OF_INTANGIBLE_ASSETS (2010)</t>
  </si>
  <si>
    <t>ARD_AMORT_OF_INTANGIBLE_ASSETS (2011)</t>
  </si>
  <si>
    <t>ARD_AMORT_OF_INTANGIBLE_ASSETS (2012)</t>
  </si>
  <si>
    <t>ARD_AMORT_OF_INTANGIBLE_ASSETS (2013)</t>
  </si>
  <si>
    <t>ARD_AMORT_OF_INTANGIBLE_ASSETS (2014)</t>
  </si>
  <si>
    <t>ARD_AMORTIZATION_CF (2004)</t>
  </si>
  <si>
    <t>ARD_AMORTIZATION_CF (2005)</t>
  </si>
  <si>
    <t>ARD_AMORTIZATION_CF (2006)</t>
  </si>
  <si>
    <t>ARD_AMORTIZATION_CF (2007)</t>
  </si>
  <si>
    <t>ARD_AMORTIZATION_CF (2008)</t>
  </si>
  <si>
    <t>ARD_AMORTIZATION_CF (2009)</t>
  </si>
  <si>
    <t>ARD_AMORTIZATION_CF (2010)</t>
  </si>
  <si>
    <t>ARD_AMORTIZATION_CF (2011)</t>
  </si>
  <si>
    <t>ARD_AMORTIZATION_CF (2012)</t>
  </si>
  <si>
    <t>ARD_AMORTIZATION_CF (2013)</t>
  </si>
  <si>
    <t>ARD_AMORTIZATION_CF (2014)</t>
  </si>
  <si>
    <t>ARD_AMORTIZATION_GOODWILL_CF (2004)</t>
  </si>
  <si>
    <t>ARD_AMORTIZATION_GOODWILL_CF (2005)</t>
  </si>
  <si>
    <t>ARD_AMORTIZATION_GOODWILL_CF (2006)</t>
  </si>
  <si>
    <t>ARD_AMORTIZATION_GOODWILL_CF (2007)</t>
  </si>
  <si>
    <t>ARD_AMORTIZATION_GOODWILL_CF (2008)</t>
  </si>
  <si>
    <t>ARD_AMORTIZATION_GOODWILL_CF (2009)</t>
  </si>
  <si>
    <t>ARD_AMORTIZATION_GOODWILL_CF (2010)</t>
  </si>
  <si>
    <t>ARD_AMORTIZATION_GOODWILL_CF (2011)</t>
  </si>
  <si>
    <t>ARD_AMORTIZATION_GOODWILL_CF (2012)</t>
  </si>
  <si>
    <t>ARD_AMORTIZATION_GOODWILL_CF (2013)</t>
  </si>
  <si>
    <t>ARD_AMORTIZATION_GOODWILL_CF (2014)</t>
  </si>
  <si>
    <t>ARD_AMORTIZATION_OF_GOODWILL_IS (2004)</t>
  </si>
  <si>
    <t>ARD_AMORTIZATION_OF_GOODWILL_IS (2005)</t>
  </si>
  <si>
    <t>ARD_AMORTIZATION_OF_GOODWILL_IS (2006)</t>
  </si>
  <si>
    <t>ARD_AMORTIZATION_OF_GOODWILL_IS (2007)</t>
  </si>
  <si>
    <t>ARD_AMORTIZATION_OF_GOODWILL_IS (2008)</t>
  </si>
  <si>
    <t>ARD_AMORTIZATION_OF_GOODWILL_IS (2009)</t>
  </si>
  <si>
    <t>ARD_AMORTIZATION_OF_GOODWILL_IS (2010)</t>
  </si>
  <si>
    <t>ARD_AMORTIZATION_OF_GOODWILL_IS (2011)</t>
  </si>
  <si>
    <t>ARD_AMORTIZATION_OF_GOODWILL_IS (2012)</t>
  </si>
  <si>
    <t>ARD_AMORTIZATION_OF_GOODWILL_IS (2013)</t>
  </si>
  <si>
    <t>ARD_AMORTIZATION_OF_GOODWILL_IS (2014)</t>
  </si>
  <si>
    <t>ARD_AMORTIZATION_OF_INTANGIBLE (2004)</t>
  </si>
  <si>
    <t>ARD_AMORTIZATION_OF_INTANGIBLE (2005)</t>
  </si>
  <si>
    <t>ARD_AMORTIZATION_OF_INTANGIBLE (2006)</t>
  </si>
  <si>
    <t>ARD_AMORTIZATION_OF_INTANGIBLE (2007)</t>
  </si>
  <si>
    <t>ARD_AMORTIZATION_OF_INTANGIBLE (2008)</t>
  </si>
  <si>
    <t>ARD_AMORTIZATION_OF_INTANGIBLE (2009)</t>
  </si>
  <si>
    <t>ARD_AMORTIZATION_OF_INTANGIBLE (2010)</t>
  </si>
  <si>
    <t>ARD_AMORTIZATION_OF_INTANGIBLE (2011)</t>
  </si>
  <si>
    <t>ARD_AMORTIZATION_OF_INTANGIBLE (2012)</t>
  </si>
  <si>
    <t>ARD_AMORTIZATION_OF_INTANGIBLE (2013)</t>
  </si>
  <si>
    <t>ARD_AMORTIZATION_OF_INTANGIBLE (2014)</t>
  </si>
  <si>
    <t>ARD_AMORTIZATION_OF_SOFTWARE (2004)</t>
  </si>
  <si>
    <t>ARD_AMORTIZATION_OF_SOFTWARE (2005)</t>
  </si>
  <si>
    <t>ARD_AMORTIZATION_OF_SOFTWARE (2006)</t>
  </si>
  <si>
    <t>ARD_AMORTIZATION_OF_SOFTWARE (2007)</t>
  </si>
  <si>
    <t>ARD_AMORTIZATION_OF_SOFTWARE (2008)</t>
  </si>
  <si>
    <t>ARD_AMORTIZATION_OF_SOFTWARE (2009)</t>
  </si>
  <si>
    <t>ARD_AMORTIZATION_OF_SOFTWARE (2010)</t>
  </si>
  <si>
    <t>ARD_AMORTIZATION_OF_SOFTWARE (2011)</t>
  </si>
  <si>
    <t>ARD_AMORTIZATION_OF_SOFTWARE (2012)</t>
  </si>
  <si>
    <t>ARD_AMORTIZATION_OF_SOFTWARE (2013)</t>
  </si>
  <si>
    <t>ARD_AMORTIZATION_OF_SOFTWARE (2014)</t>
  </si>
  <si>
    <t>ARD_AMORTIZATION_OF_SOFTWARE_IS (2004)</t>
  </si>
  <si>
    <t>ARD_AMORTIZATION_OF_SOFTWARE_IS (2005)</t>
  </si>
  <si>
    <t>ARD_AMORTIZATION_OF_SOFTWARE_IS (2006)</t>
  </si>
  <si>
    <t>ARD_AMORTIZATION_OF_SOFTWARE_IS (2007)</t>
  </si>
  <si>
    <t>ARD_AMORTIZATION_OF_SOFTWARE_IS (2008)</t>
  </si>
  <si>
    <t>ARD_AMORTIZATION_OF_SOFTWARE_IS (2009)</t>
  </si>
  <si>
    <t>ARD_AMORTIZATION_OF_SOFTWARE_IS (2010)</t>
  </si>
  <si>
    <t>ARD_AMORTIZATION_OF_SOFTWARE_IS (2011)</t>
  </si>
  <si>
    <t>ARD_AMORTIZATION_OF_SOFTWARE_IS (2012)</t>
  </si>
  <si>
    <t>ARD_AMORTIZATION_OF_SOFTWARE_IS (2013)</t>
  </si>
  <si>
    <t>ARD_AMORTIZATION_OF_SOFTWARE_IS (2014)</t>
  </si>
  <si>
    <t>ARD_AMOT_IMPAIRMENT_GOODWILL (2004)</t>
  </si>
  <si>
    <t>ARD_AMOT_IMPAIRMENT_GOODWILL (2005)</t>
  </si>
  <si>
    <t>ARD_AMOT_IMPAIRMENT_GOODWILL (2006)</t>
  </si>
  <si>
    <t>ARD_AMOT_IMPAIRMENT_GOODWILL (2007)</t>
  </si>
  <si>
    <t>ARD_AMOT_IMPAIRMENT_GOODWILL (2008)</t>
  </si>
  <si>
    <t>ARD_AMOT_IMPAIRMENT_GOODWILL (2009)</t>
  </si>
  <si>
    <t>ARD_AMOT_IMPAIRMENT_GOODWILL (2010)</t>
  </si>
  <si>
    <t>ARD_AMOT_IMPAIRMENT_GOODWILL (2011)</t>
  </si>
  <si>
    <t>ARD_AMOT_IMPAIRMENT_GOODWILL (2012)</t>
  </si>
  <si>
    <t>ARD_AMOT_IMPAIRMENT_GOODWILL (2013)</t>
  </si>
  <si>
    <t>ARD_AMOT_IMPAIRMENT_GOODWILL (2014)</t>
  </si>
  <si>
    <t>ARD_ASSETS_HELD_FOR_SALE_LT (2004)</t>
  </si>
  <si>
    <t>ARD_ASSETS_HELD_FOR_SALE_LT (2005)</t>
  </si>
  <si>
    <t>ARD_ASSETS_HELD_FOR_SALE_LT (2006)</t>
  </si>
  <si>
    <t>ARD_ASSETS_HELD_FOR_SALE_LT (2007)</t>
  </si>
  <si>
    <t>ARD_ASSETS_HELD_FOR_SALE_LT (2008)</t>
  </si>
  <si>
    <t>ARD_ASSETS_HELD_FOR_SALE_LT (2009)</t>
  </si>
  <si>
    <t>ARD_ASSETS_HELD_FOR_SALE_LT (2010)</t>
  </si>
  <si>
    <t>ARD_ASSETS_HELD_FOR_SALE_LT (2011)</t>
  </si>
  <si>
    <t>ARD_ASSETS_HELD_FOR_SALE_LT (2012)</t>
  </si>
  <si>
    <t>ARD_ASSETS_HELD_FOR_SALE_LT (2013)</t>
  </si>
  <si>
    <t>ARD_ASSETS_HELD_FOR_SALE_LT (2014)</t>
  </si>
  <si>
    <t>ARD_CASH_AND_EQUIVALENTS (2004)</t>
  </si>
  <si>
    <t>ARD_CASH_AND_EQUIVALENTS (2005)</t>
  </si>
  <si>
    <t>ARD_CASH_AND_EQUIVALENTS (2006)</t>
  </si>
  <si>
    <t>ARD_CASH_AND_EQUIVALENTS (2007)</t>
  </si>
  <si>
    <t>ARD_CASH_AND_EQUIVALENTS (2008)</t>
  </si>
  <si>
    <t>ARD_CASH_AND_EQUIVALENTS (2009)</t>
  </si>
  <si>
    <t>ARD_CASH_AND_EQUIVALENTS (2010)</t>
  </si>
  <si>
    <t>ARD_CASH_AND_EQUIVALENTS (2011)</t>
  </si>
  <si>
    <t>ARD_CASH_AND_EQUIVALENTS (2012)</t>
  </si>
  <si>
    <t>ARD_CASH_AND_EQUIVALENTS (2013)</t>
  </si>
  <si>
    <t>ARD_CASH_AND_EQUIVALENTS (2014)</t>
  </si>
  <si>
    <t>ARD_CURRENT_PORTION_OF_LT_DEBT (2004)</t>
  </si>
  <si>
    <t>ARD_CURRENT_PORTION_OF_LT_DEBT (2005)</t>
  </si>
  <si>
    <t>ARD_CURRENT_PORTION_OF_LT_DEBT (2006)</t>
  </si>
  <si>
    <t>ARD_CURRENT_PORTION_OF_LT_DEBT (2007)</t>
  </si>
  <si>
    <t>ARD_CURRENT_PORTION_OF_LT_DEBT (2008)</t>
  </si>
  <si>
    <t>ARD_CURRENT_PORTION_OF_LT_DEBT (2009)</t>
  </si>
  <si>
    <t>ARD_CURRENT_PORTION_OF_LT_DEBT (2010)</t>
  </si>
  <si>
    <t>ARD_CURRENT_PORTION_OF_LT_DEBT (2011)</t>
  </si>
  <si>
    <t>ARD_CURRENT_PORTION_OF_LT_DEBT (2012)</t>
  </si>
  <si>
    <t>ARD_CURRENT_PORTION_OF_LT_DEBT (2013)</t>
  </si>
  <si>
    <t>ARD_CURRENT_PORTION_OF_LT_DEBT (2014)</t>
  </si>
  <si>
    <t>ARD_DEFERRED_COSTS (2004)</t>
  </si>
  <si>
    <t>ARD_DEFERRED_COSTS (2005)</t>
  </si>
  <si>
    <t>ARD_DEFERRED_COSTS (2006)</t>
  </si>
  <si>
    <t>ARD_DEFERRED_COSTS (2007)</t>
  </si>
  <si>
    <t>ARD_DEFERRED_COSTS (2008)</t>
  </si>
  <si>
    <t>ARD_DEFERRED_COSTS (2009)</t>
  </si>
  <si>
    <t>ARD_DEFERRED_COSTS (2010)</t>
  </si>
  <si>
    <t>ARD_DEFERRED_COSTS (2011)</t>
  </si>
  <si>
    <t>ARD_DEFERRED_COSTS (2012)</t>
  </si>
  <si>
    <t>ARD_DEFERRED_COSTS (2013)</t>
  </si>
  <si>
    <t>ARD_DEFERRED_COSTS (2014)</t>
  </si>
  <si>
    <t>ARD_DEFERRED_INC_TAX_ASSET_LT (2004)</t>
  </si>
  <si>
    <t>ARD_DEFERRED_INC_TAX_ASSET_LT (2005)</t>
  </si>
  <si>
    <t>ARD_DEFERRED_INC_TAX_ASSET_LT (2006)</t>
  </si>
  <si>
    <t>ARD_DEFERRED_INC_TAX_ASSET_LT (2007)</t>
  </si>
  <si>
    <t>ARD_DEFERRED_INC_TAX_ASSET_LT (2008)</t>
  </si>
  <si>
    <t>ARD_DEFERRED_INC_TAX_ASSET_LT (2009)</t>
  </si>
  <si>
    <t>ARD_DEFERRED_INC_TAX_ASSET_LT (2010)</t>
  </si>
  <si>
    <t>ARD_DEFERRED_INC_TAX_ASSET_LT (2011)</t>
  </si>
  <si>
    <t>ARD_DEFERRED_INC_TAX_ASSET_LT (2012)</t>
  </si>
  <si>
    <t>ARD_DEFERRED_INC_TAX_ASSET_LT (2013)</t>
  </si>
  <si>
    <t>ARD_DEFERRED_INC_TAX_ASSET_LT (2014)</t>
  </si>
  <si>
    <t>ARD_DEFERRED_TAX_ASSETS_LT (2004)</t>
  </si>
  <si>
    <t>ARD_DEFERRED_TAX_ASSETS_LT (2005)</t>
  </si>
  <si>
    <t>ARD_DEFERRED_TAX_ASSETS_LT (2006)</t>
  </si>
  <si>
    <t>ARD_DEFERRED_TAX_ASSETS_LT (2007)</t>
  </si>
  <si>
    <t>ARD_DEFERRED_TAX_ASSETS_LT (2008)</t>
  </si>
  <si>
    <t>ARD_DEFERRED_TAX_ASSETS_LT (2009)</t>
  </si>
  <si>
    <t>ARD_DEFERRED_TAX_ASSETS_LT (2010)</t>
  </si>
  <si>
    <t>ARD_DEFERRED_TAX_ASSETS_LT (2011)</t>
  </si>
  <si>
    <t>ARD_DEFERRED_TAX_ASSETS_LT (2012)</t>
  </si>
  <si>
    <t>ARD_DEFERRED_TAX_ASSETS_LT (2013)</t>
  </si>
  <si>
    <t>ARD_DEFERRED_TAX_ASSETS_LT (2014)</t>
  </si>
  <si>
    <t>ARD_DEPR_AMORT_AND_WRITE_DOWNS (2004)</t>
  </si>
  <si>
    <t>ARD_DEPR_AMORT_AND_WRITE_DOWNS (2005)</t>
  </si>
  <si>
    <t>ARD_DEPR_AMORT_AND_WRITE_DOWNS (2006)</t>
  </si>
  <si>
    <t>ARD_DEPR_AMORT_AND_WRITE_DOWNS (2007)</t>
  </si>
  <si>
    <t>ARD_DEPR_AMORT_AND_WRITE_DOWNS (2008)</t>
  </si>
  <si>
    <t>ARD_DEPR_AMORT_AND_WRITE_DOWNS (2009)</t>
  </si>
  <si>
    <t>ARD_DEPR_AMORT_AND_WRITE_DOWNS (2010)</t>
  </si>
  <si>
    <t>ARD_DEPR_AMORT_AND_WRITE_DOWNS (2011)</t>
  </si>
  <si>
    <t>ARD_DEPR_AMORT_AND_WRITE_DOWNS (2012)</t>
  </si>
  <si>
    <t>ARD_DEPR_AMORT_AND_WRITE_DOWNS (2013)</t>
  </si>
  <si>
    <t>ARD_DEPR_AMORT_AND_WRITE_DOWNS (2014)</t>
  </si>
  <si>
    <t>ARD_DEPR_IMPAIRMENT_FIXED_ASSETS (2004)</t>
  </si>
  <si>
    <t>ARD_DEPR_IMPAIRMENT_FIXED_ASSETS (2005)</t>
  </si>
  <si>
    <t>ARD_DEPR_IMPAIRMENT_FIXED_ASSETS (2006)</t>
  </si>
  <si>
    <t>ARD_DEPR_IMPAIRMENT_FIXED_ASSETS (2007)</t>
  </si>
  <si>
    <t>ARD_DEPR_IMPAIRMENT_FIXED_ASSETS (2008)</t>
  </si>
  <si>
    <t>ARD_DEPR_IMPAIRMENT_FIXED_ASSETS (2009)</t>
  </si>
  <si>
    <t>ARD_DEPR_IMPAIRMENT_FIXED_ASSETS (2010)</t>
  </si>
  <si>
    <t>ARD_DEPR_IMPAIRMENT_FIXED_ASSETS (2011)</t>
  </si>
  <si>
    <t>ARD_DEPR_IMPAIRMENT_FIXED_ASSETS (2012)</t>
  </si>
  <si>
    <t>ARD_DEPR_IMPAIRMENT_FIXED_ASSETS (2013)</t>
  </si>
  <si>
    <t>ARD_DEPR_IMPAIRMENT_FIXED_ASSETS (2014)</t>
  </si>
  <si>
    <t>ARD_DEPREC_AMORT_WRITE_DOWNS (2004)</t>
  </si>
  <si>
    <t>ARD_DEPREC_AMORT_WRITE_DOWNS (2005)</t>
  </si>
  <si>
    <t>ARD_DEPREC_AMORT_WRITE_DOWNS (2006)</t>
  </si>
  <si>
    <t>ARD_DEPREC_AMORT_WRITE_DOWNS (2007)</t>
  </si>
  <si>
    <t>ARD_DEPREC_AMORT_WRITE_DOWNS (2008)</t>
  </si>
  <si>
    <t>ARD_DEPREC_AMORT_WRITE_DOWNS (2009)</t>
  </si>
  <si>
    <t>ARD_DEPREC_AMORT_WRITE_DOWNS (2010)</t>
  </si>
  <si>
    <t>ARD_DEPREC_AMORT_WRITE_DOWNS (2011)</t>
  </si>
  <si>
    <t>ARD_DEPREC_AMORT_WRITE_DOWNS (2012)</t>
  </si>
  <si>
    <t>ARD_DEPREC_AMORT_WRITE_DOWNS (2013)</t>
  </si>
  <si>
    <t>ARD_DEPREC_AMORT_WRITE_DOWNS (2014)</t>
  </si>
  <si>
    <t>ARD_DEPRECIATION_AMORT_IMPAIRMNT (2004)</t>
  </si>
  <si>
    <t>ARD_DEPRECIATION_AMORT_IMPAIRMNT (2005)</t>
  </si>
  <si>
    <t>ARD_DEPRECIATION_AMORT_IMPAIRMNT (2006)</t>
  </si>
  <si>
    <t>ARD_DEPRECIATION_AMORT_IMPAIRMNT (2007)</t>
  </si>
  <si>
    <t>ARD_DEPRECIATION_AMORT_IMPAIRMNT (2008)</t>
  </si>
  <si>
    <t>ARD_DEPRECIATION_AMORT_IMPAIRMNT (2009)</t>
  </si>
  <si>
    <t>ARD_DEPRECIATION_AMORT_IMPAIRMNT (2010)</t>
  </si>
  <si>
    <t>ARD_DEPRECIATION_AMORT_IMPAIRMNT (2011)</t>
  </si>
  <si>
    <t>ARD_DEPRECIATION_AMORT_IMPAIRMNT (2012)</t>
  </si>
  <si>
    <t>ARD_DEPRECIATION_AMORT_IMPAIRMNT (2013)</t>
  </si>
  <si>
    <t>ARD_DEPRECIATION_AMORT_IMPAIRMNT (2014)</t>
  </si>
  <si>
    <t>ARD_DEPRECIATION_AMORTIZATION (2004)</t>
  </si>
  <si>
    <t>ARD_DEPRECIATION_AMORTIZATION (2005)</t>
  </si>
  <si>
    <t>ARD_DEPRECIATION_AMORTIZATION (2006)</t>
  </si>
  <si>
    <t>ARD_DEPRECIATION_AMORTIZATION (2007)</t>
  </si>
  <si>
    <t>ARD_DEPRECIATION_AMORTIZATION (2008)</t>
  </si>
  <si>
    <t>ARD_DEPRECIATION_AMORTIZATION (2009)</t>
  </si>
  <si>
    <t>ARD_DEPRECIATION_AMORTIZATION (2010)</t>
  </si>
  <si>
    <t>ARD_DEPRECIATION_AMORTIZATION (2011)</t>
  </si>
  <si>
    <t>ARD_DEPRECIATION_AMORTIZATION (2012)</t>
  </si>
  <si>
    <t>ARD_DEPRECIATION_AMORTIZATION (2013)</t>
  </si>
  <si>
    <t>ARD_DEPRECIATION_AMORTIZATION (2014)</t>
  </si>
  <si>
    <t>ARD_DEPRECIATION_AND_AMORT_CF (2004)</t>
  </si>
  <si>
    <t>ARD_DEPRECIATION_AND_AMORT_CF (2005)</t>
  </si>
  <si>
    <t>ARD_DEPRECIATION_AND_AMORT_CF (2006)</t>
  </si>
  <si>
    <t>ARD_DEPRECIATION_AND_AMORT_CF (2007)</t>
  </si>
  <si>
    <t>ARD_DEPRECIATION_AND_AMORT_CF (2008)</t>
  </si>
  <si>
    <t>ARD_DEPRECIATION_AND_AMORT_CF (2009)</t>
  </si>
  <si>
    <t>ARD_DEPRECIATION_AND_AMORT_CF (2010)</t>
  </si>
  <si>
    <t>ARD_DEPRECIATION_AND_AMORT_CF (2011)</t>
  </si>
  <si>
    <t>ARD_DEPRECIATION_AND_AMORT_CF (2012)</t>
  </si>
  <si>
    <t>ARD_DEPRECIATION_AND_AMORT_CF (2013)</t>
  </si>
  <si>
    <t>ARD_DEPRECIATION_AND_AMORT_CF (2014)</t>
  </si>
  <si>
    <t>ARD_DEPRECIATION_EXP (2004)</t>
  </si>
  <si>
    <t>ARD_DEPRECIATION_EXP (2005)</t>
  </si>
  <si>
    <t>ARD_DEPRECIATION_EXP (2006)</t>
  </si>
  <si>
    <t>ARD_DEPRECIATION_EXP (2007)</t>
  </si>
  <si>
    <t>ARD_DEPRECIATION_EXP (2008)</t>
  </si>
  <si>
    <t>ARD_DEPRECIATION_EXP (2009)</t>
  </si>
  <si>
    <t>ARD_DEPRECIATION_EXP (2010)</t>
  </si>
  <si>
    <t>ARD_DEPRECIATION_EXP (2011)</t>
  </si>
  <si>
    <t>ARD_DEPRECIATION_EXP (2012)</t>
  </si>
  <si>
    <t>ARD_DEPRECIATION_EXP (2013)</t>
  </si>
  <si>
    <t>ARD_DEPRECIATION_EXP (2014)</t>
  </si>
  <si>
    <t>ARD_DERIVATIVE_ASSET_LT (2004)</t>
  </si>
  <si>
    <t>ARD_DERIVATIVE_ASSET_LT (2005)</t>
  </si>
  <si>
    <t>ARD_DERIVATIVE_ASSET_LT (2006)</t>
  </si>
  <si>
    <t>ARD_DERIVATIVE_ASSET_LT (2007)</t>
  </si>
  <si>
    <t>ARD_DERIVATIVE_ASSET_LT (2008)</t>
  </si>
  <si>
    <t>ARD_DERIVATIVE_ASSET_LT (2009)</t>
  </si>
  <si>
    <t>ARD_DERIVATIVE_ASSET_LT (2010)</t>
  </si>
  <si>
    <t>ARD_DERIVATIVE_ASSET_LT (2011)</t>
  </si>
  <si>
    <t>ARD_DERIVATIVE_ASSET_LT (2012)</t>
  </si>
  <si>
    <t>ARD_DERIVATIVE_ASSET_LT (2013)</t>
  </si>
  <si>
    <t>ARD_DERIVATIVE_ASSET_LT (2014)</t>
  </si>
  <si>
    <t>ARD_EQY_INVEST_ASSOC_AFFILIATES (2004)</t>
  </si>
  <si>
    <t>ARD_EQY_INVEST_ASSOC_AFFILIATES (2005)</t>
  </si>
  <si>
    <t>ARD_EQY_INVEST_ASSOC_AFFILIATES (2006)</t>
  </si>
  <si>
    <t>ARD_EQY_INVEST_ASSOC_AFFILIATES (2007)</t>
  </si>
  <si>
    <t>ARD_EQY_INVEST_ASSOC_AFFILIATES (2008)</t>
  </si>
  <si>
    <t>ARD_EQY_INVEST_ASSOC_AFFILIATES (2009)</t>
  </si>
  <si>
    <t>ARD_EQY_INVEST_ASSOC_AFFILIATES (2010)</t>
  </si>
  <si>
    <t>ARD_EQY_INVEST_ASSOC_AFFILIATES (2011)</t>
  </si>
  <si>
    <t>ARD_EQY_INVEST_ASSOC_AFFILIATES (2012)</t>
  </si>
  <si>
    <t>ARD_EQY_INVEST_ASSOC_AFFILIATES (2013)</t>
  </si>
  <si>
    <t>ARD_EQY_INVEST_ASSOC_AFFILIATES (2014)</t>
  </si>
  <si>
    <t>ARD_GOODWILL_WRITTEN_OFF_AMOR_IS (2004)</t>
  </si>
  <si>
    <t>ARD_GOODWILL_WRITTEN_OFF_AMOR_IS (2005)</t>
  </si>
  <si>
    <t>ARD_GOODWILL_WRITTEN_OFF_AMOR_IS (2006)</t>
  </si>
  <si>
    <t>ARD_GOODWILL_WRITTEN_OFF_AMOR_IS (2007)</t>
  </si>
  <si>
    <t>ARD_GOODWILL_WRITTEN_OFF_AMOR_IS (2008)</t>
  </si>
  <si>
    <t>ARD_GOODWILL_WRITTEN_OFF_AMOR_IS (2009)</t>
  </si>
  <si>
    <t>ARD_GOODWILL_WRITTEN_OFF_AMOR_IS (2010)</t>
  </si>
  <si>
    <t>ARD_GOODWILL_WRITTEN_OFF_AMOR_IS (2011)</t>
  </si>
  <si>
    <t>ARD_GOODWILL_WRITTEN_OFF_AMOR_IS (2012)</t>
  </si>
  <si>
    <t>ARD_GOODWILL_WRITTEN_OFF_AMOR_IS (2013)</t>
  </si>
  <si>
    <t>ARD_GOODWILL_WRITTEN_OFF_AMOR_IS (2014)</t>
  </si>
  <si>
    <t>ARD_GOODWLL (2004)</t>
  </si>
  <si>
    <t>ARD_GOODWLL (2005)</t>
  </si>
  <si>
    <t>ARD_GOODWLL (2006)</t>
  </si>
  <si>
    <t>ARD_GOODWLL (2007)</t>
  </si>
  <si>
    <t>ARD_GOODWLL (2008)</t>
  </si>
  <si>
    <t>ARD_GOODWLL (2009)</t>
  </si>
  <si>
    <t>ARD_GOODWLL (2010)</t>
  </si>
  <si>
    <t>ARD_GOODWLL (2011)</t>
  </si>
  <si>
    <t>ARD_GOODWLL (2012)</t>
  </si>
  <si>
    <t>ARD_GOODWLL (2013)</t>
  </si>
  <si>
    <t>ARD_GOODWLL (2014)</t>
  </si>
  <si>
    <t>ARD_INTANG_ASSETS_EXCL_GOODWILL (2004)</t>
  </si>
  <si>
    <t>ARD_INTANG_ASSETS_EXCL_GOODWILL (2005)</t>
  </si>
  <si>
    <t>ARD_INTANG_ASSETS_EXCL_GOODWILL (2006)</t>
  </si>
  <si>
    <t>ARD_INTANG_ASSETS_EXCL_GOODWILL (2007)</t>
  </si>
  <si>
    <t>ARD_INTANG_ASSETS_EXCL_GOODWILL (2008)</t>
  </si>
  <si>
    <t>ARD_INTANG_ASSETS_EXCL_GOODWILL (2009)</t>
  </si>
  <si>
    <t>ARD_INTANG_ASSETS_EXCL_GOODWILL (2010)</t>
  </si>
  <si>
    <t>ARD_INTANG_ASSETS_EXCL_GOODWILL (2011)</t>
  </si>
  <si>
    <t>ARD_INTANG_ASSETS_EXCL_GOODWILL (2012)</t>
  </si>
  <si>
    <t>ARD_INTANG_ASSETS_EXCL_GOODWILL (2013)</t>
  </si>
  <si>
    <t>ARD_INTANG_ASSETS_EXCL_GOODWILL (2014)</t>
  </si>
  <si>
    <t>ARD_INVESTMENT_IN_AFFILIATE_JV (2004)</t>
  </si>
  <si>
    <t>ARD_INVESTMENT_IN_AFFILIATE_JV (2005)</t>
  </si>
  <si>
    <t>ARD_INVESTMENT_IN_AFFILIATE_JV (2006)</t>
  </si>
  <si>
    <t>ARD_INVESTMENT_IN_AFFILIATE_JV (2007)</t>
  </si>
  <si>
    <t>ARD_INVESTMENT_IN_AFFILIATE_JV (2008)</t>
  </si>
  <si>
    <t>ARD_INVESTMENT_IN_AFFILIATE_JV (2009)</t>
  </si>
  <si>
    <t>ARD_INVESTMENT_IN_AFFILIATE_JV (2010)</t>
  </si>
  <si>
    <t>ARD_INVESTMENT_IN_AFFILIATE_JV (2011)</t>
  </si>
  <si>
    <t>ARD_INVESTMENT_IN_AFFILIATE_JV (2012)</t>
  </si>
  <si>
    <t>ARD_INVESTMENT_IN_AFFILIATE_JV (2013)</t>
  </si>
  <si>
    <t>ARD_INVESTMENT_IN_AFFILIATE_JV (2014)</t>
  </si>
  <si>
    <t>ARD_LICENSES (2004)</t>
  </si>
  <si>
    <t>ARD_LICENSES (2005)</t>
  </si>
  <si>
    <t>ARD_LICENSES (2006)</t>
  </si>
  <si>
    <t>ARD_LICENSES (2007)</t>
  </si>
  <si>
    <t>ARD_LICENSES (2008)</t>
  </si>
  <si>
    <t>ARD_LICENSES (2009)</t>
  </si>
  <si>
    <t>ARD_LICENSES (2010)</t>
  </si>
  <si>
    <t>ARD_LICENSES (2011)</t>
  </si>
  <si>
    <t>ARD_LICENSES (2012)</t>
  </si>
  <si>
    <t>ARD_LICENSES (2013)</t>
  </si>
  <si>
    <t>ARD_LICENSES (2014)</t>
  </si>
  <si>
    <t>ARD_LONG_TERM_LOANS (2004)</t>
  </si>
  <si>
    <t>ARD_LONG_TERM_LOANS (2005)</t>
  </si>
  <si>
    <t>ARD_LONG_TERM_LOANS (2006)</t>
  </si>
  <si>
    <t>ARD_LONG_TERM_LOANS (2007)</t>
  </si>
  <si>
    <t>ARD_LONG_TERM_LOANS (2008)</t>
  </si>
  <si>
    <t>ARD_LONG_TERM_LOANS (2009)</t>
  </si>
  <si>
    <t>ARD_LONG_TERM_LOANS (2010)</t>
  </si>
  <si>
    <t>ARD_LONG_TERM_LOANS (2011)</t>
  </si>
  <si>
    <t>ARD_LONG_TERM_LOANS (2012)</t>
  </si>
  <si>
    <t>ARD_LONG_TERM_LOANS (2013)</t>
  </si>
  <si>
    <t>ARD_LONG_TERM_LOANS (2014)</t>
  </si>
  <si>
    <t>ARD_LONG_TERM_LOANS_OTHER_DEBTOR (2004)</t>
  </si>
  <si>
    <t>ARD_LONG_TERM_LOANS_OTHER_DEBTOR (2005)</t>
  </si>
  <si>
    <t>ARD_LONG_TERM_LOANS_OTHER_DEBTOR (2006)</t>
  </si>
  <si>
    <t>ARD_LONG_TERM_LOANS_OTHER_DEBTOR (2007)</t>
  </si>
  <si>
    <t>ARD_LONG_TERM_LOANS_OTHER_DEBTOR (2008)</t>
  </si>
  <si>
    <t>ARD_LONG_TERM_LOANS_OTHER_DEBTOR (2009)</t>
  </si>
  <si>
    <t>ARD_LONG_TERM_LOANS_OTHER_DEBTOR (2010)</t>
  </si>
  <si>
    <t>ARD_LONG_TERM_LOANS_OTHER_DEBTOR (2011)</t>
  </si>
  <si>
    <t>ARD_LONG_TERM_LOANS_OTHER_DEBTOR (2012)</t>
  </si>
  <si>
    <t>ARD_LONG_TERM_LOANS_OTHER_DEBTOR (2013)</t>
  </si>
  <si>
    <t>ARD_LONG_TERM_LOANS_OTHER_DEBTOR (2014)</t>
  </si>
  <si>
    <t>ARD_LT_INVEST (2004)</t>
  </si>
  <si>
    <t>ARD_LT_INVEST (2005)</t>
  </si>
  <si>
    <t>ARD_LT_INVEST (2006)</t>
  </si>
  <si>
    <t>ARD_LT_INVEST (2007)</t>
  </si>
  <si>
    <t>ARD_LT_INVEST (2008)</t>
  </si>
  <si>
    <t>ARD_LT_INVEST (2009)</t>
  </si>
  <si>
    <t>ARD_LT_INVEST (2010)</t>
  </si>
  <si>
    <t>ARD_LT_INVEST (2011)</t>
  </si>
  <si>
    <t>ARD_LT_INVEST (2012)</t>
  </si>
  <si>
    <t>ARD_LT_INVEST (2013)</t>
  </si>
  <si>
    <t>ARD_LT_INVEST (2014)</t>
  </si>
  <si>
    <t>ARD_MARKETABLE_SECURITIES (2004)</t>
  </si>
  <si>
    <t>ARD_MARKETABLE_SECURITIES (2005)</t>
  </si>
  <si>
    <t>ARD_MARKETABLE_SECURITIES (2006)</t>
  </si>
  <si>
    <t>ARD_MARKETABLE_SECURITIES (2007)</t>
  </si>
  <si>
    <t>ARD_MARKETABLE_SECURITIES (2008)</t>
  </si>
  <si>
    <t>ARD_MARKETABLE_SECURITIES (2009)</t>
  </si>
  <si>
    <t>ARD_MARKETABLE_SECURITIES (2010)</t>
  </si>
  <si>
    <t>ARD_MARKETABLE_SECURITIES (2011)</t>
  </si>
  <si>
    <t>ARD_MARKETABLE_SECURITIES (2012)</t>
  </si>
  <si>
    <t>ARD_MARKETABLE_SECURITIES (2013)</t>
  </si>
  <si>
    <t>ARD_MARKETABLE_SECURITIES (2014)</t>
  </si>
  <si>
    <t>ARD_NET_EQTY_INVEST_JV_ASSOC (2004)</t>
  </si>
  <si>
    <t>ARD_NET_EQTY_INVEST_JV_ASSOC (2005)</t>
  </si>
  <si>
    <t>ARD_NET_EQTY_INVEST_JV_ASSOC (2006)</t>
  </si>
  <si>
    <t>ARD_NET_EQTY_INVEST_JV_ASSOC (2007)</t>
  </si>
  <si>
    <t>ARD_NET_EQTY_INVEST_JV_ASSOC (2008)</t>
  </si>
  <si>
    <t>ARD_NET_EQTY_INVEST_JV_ASSOC (2009)</t>
  </si>
  <si>
    <t>ARD_NET_EQTY_INVEST_JV_ASSOC (2010)</t>
  </si>
  <si>
    <t>ARD_NET_EQTY_INVEST_JV_ASSOC (2011)</t>
  </si>
  <si>
    <t>ARD_NET_EQTY_INVEST_JV_ASSOC (2012)</t>
  </si>
  <si>
    <t>ARD_NET_EQTY_INVEST_JV_ASSOC (2013)</t>
  </si>
  <si>
    <t>ARD_NET_EQTY_INVEST_JV_ASSOC (2014)</t>
  </si>
  <si>
    <t>ARD_NON_CUR_MKT_SEC (2004)</t>
  </si>
  <si>
    <t>ARD_NON_CUR_MKT_SEC (2005)</t>
  </si>
  <si>
    <t>ARD_NON_CUR_MKT_SEC (2006)</t>
  </si>
  <si>
    <t>ARD_NON_CUR_MKT_SEC (2007)</t>
  </si>
  <si>
    <t>ARD_NON_CUR_MKT_SEC (2008)</t>
  </si>
  <si>
    <t>ARD_NON_CUR_MKT_SEC (2009)</t>
  </si>
  <si>
    <t>ARD_NON_CUR_MKT_SEC (2010)</t>
  </si>
  <si>
    <t>ARD_NON_CUR_MKT_SEC (2011)</t>
  </si>
  <si>
    <t>ARD_NON_CUR_MKT_SEC (2012)</t>
  </si>
  <si>
    <t>ARD_NON_CUR_MKT_SEC (2013)</t>
  </si>
  <si>
    <t>ARD_NON_CUR_MKT_SEC (2014)</t>
  </si>
  <si>
    <t>ARD_OTHER_FINANCIAL_ASSETS_LT (2004)</t>
  </si>
  <si>
    <t>ARD_OTHER_FINANCIAL_ASSETS_LT (2005)</t>
  </si>
  <si>
    <t>ARD_OTHER_FINANCIAL_ASSETS_LT (2006)</t>
  </si>
  <si>
    <t>ARD_OTHER_FINANCIAL_ASSETS_LT (2007)</t>
  </si>
  <si>
    <t>ARD_OTHER_FINANCIAL_ASSETS_LT (2008)</t>
  </si>
  <si>
    <t>ARD_OTHER_FINANCIAL_ASSETS_LT (2009)</t>
  </si>
  <si>
    <t>ARD_OTHER_FINANCIAL_ASSETS_LT (2010)</t>
  </si>
  <si>
    <t>ARD_OTHER_FINANCIAL_ASSETS_LT (2011)</t>
  </si>
  <si>
    <t>ARD_OTHER_FINANCIAL_ASSETS_LT (2012)</t>
  </si>
  <si>
    <t>ARD_OTHER_FINANCIAL_ASSETS_LT (2013)</t>
  </si>
  <si>
    <t>ARD_OTHER_FINANCIAL_ASSETS_LT (2014)</t>
  </si>
  <si>
    <t>ARD_OTHER_INTANGIBLE_ASSET (2004)</t>
  </si>
  <si>
    <t>ARD_OTHER_INTANGIBLE_ASSET (2005)</t>
  </si>
  <si>
    <t>ARD_OTHER_INTANGIBLE_ASSET (2006)</t>
  </si>
  <si>
    <t>ARD_OTHER_INTANGIBLE_ASSET (2007)</t>
  </si>
  <si>
    <t>ARD_OTHER_INTANGIBLE_ASSET (2008)</t>
  </si>
  <si>
    <t>ARD_OTHER_INTANGIBLE_ASSET (2009)</t>
  </si>
  <si>
    <t>ARD_OTHER_INTANGIBLE_ASSET (2010)</t>
  </si>
  <si>
    <t>ARD_OTHER_INTANGIBLE_ASSET (2011)</t>
  </si>
  <si>
    <t>ARD_OTHER_INTANGIBLE_ASSET (2012)</t>
  </si>
  <si>
    <t>ARD_OTHER_INTANGIBLE_ASSET (2013)</t>
  </si>
  <si>
    <t>ARD_OTHER_INTANGIBLE_ASSET (2014)</t>
  </si>
  <si>
    <t>ARD_OTHER_INVEST_OTHER_ASSETS (2004)</t>
  </si>
  <si>
    <t>ARD_OTHER_INVEST_OTHER_ASSETS (2005)</t>
  </si>
  <si>
    <t>ARD_OTHER_INVEST_OTHER_ASSETS (2006)</t>
  </si>
  <si>
    <t>ARD_OTHER_INVEST_OTHER_ASSETS (2007)</t>
  </si>
  <si>
    <t>ARD_OTHER_INVEST_OTHER_ASSETS (2008)</t>
  </si>
  <si>
    <t>ARD_OTHER_INVEST_OTHER_ASSETS (2009)</t>
  </si>
  <si>
    <t>ARD_OTHER_INVEST_OTHER_ASSETS (2010)</t>
  </si>
  <si>
    <t>ARD_OTHER_INVEST_OTHER_ASSETS (2011)</t>
  </si>
  <si>
    <t>ARD_OTHER_INVEST_OTHER_ASSETS (2012)</t>
  </si>
  <si>
    <t>ARD_OTHER_INVEST_OTHER_ASSETS (2013)</t>
  </si>
  <si>
    <t>ARD_OTHER_INVEST_OTHER_ASSETS (2014)</t>
  </si>
  <si>
    <t>ARD_OTHER_NONCURRENT_ASSET (2004)</t>
  </si>
  <si>
    <t>ARD_OTHER_NONCURRENT_ASSET (2005)</t>
  </si>
  <si>
    <t>ARD_OTHER_NONCURRENT_ASSET (2006)</t>
  </si>
  <si>
    <t>ARD_OTHER_NONCURRENT_ASSET (2007)</t>
  </si>
  <si>
    <t>ARD_OTHER_NONCURRENT_ASSET (2008)</t>
  </si>
  <si>
    <t>ARD_OTHER_NONCURRENT_ASSET (2009)</t>
  </si>
  <si>
    <t>ARD_OTHER_NONCURRENT_ASSET (2010)</t>
  </si>
  <si>
    <t>ARD_OTHER_NONCURRENT_ASSET (2011)</t>
  </si>
  <si>
    <t>ARD_OTHER_NONCURRENT_ASSET (2012)</t>
  </si>
  <si>
    <t>ARD_OTHER_NONCURRENT_ASSET (2013)</t>
  </si>
  <si>
    <t>ARD_OTHER_NONCURRENT_ASSET (2014)</t>
  </si>
  <si>
    <t>ARD_OTHER_RECEIVABLES_LT (2004)</t>
  </si>
  <si>
    <t>ARD_OTHER_RECEIVABLES_LT (2005)</t>
  </si>
  <si>
    <t>ARD_OTHER_RECEIVABLES_LT (2006)</t>
  </si>
  <si>
    <t>ARD_OTHER_RECEIVABLES_LT (2007)</t>
  </si>
  <si>
    <t>ARD_OTHER_RECEIVABLES_LT (2008)</t>
  </si>
  <si>
    <t>ARD_OTHER_RECEIVABLES_LT (2009)</t>
  </si>
  <si>
    <t>ARD_OTHER_RECEIVABLES_LT (2010)</t>
  </si>
  <si>
    <t>ARD_OTHER_RECEIVABLES_LT (2011)</t>
  </si>
  <si>
    <t>ARD_OTHER_RECEIVABLES_LT (2012)</t>
  </si>
  <si>
    <t>ARD_OTHER_RECEIVABLES_LT (2013)</t>
  </si>
  <si>
    <t>ARD_OTHER_RECEIVABLES_LT (2014)</t>
  </si>
  <si>
    <t>ARD_PLANT_AND_EQUIPMENT_NET (2004)</t>
  </si>
  <si>
    <t>ARD_PLANT_AND_EQUIPMENT_NET (2005)</t>
  </si>
  <si>
    <t>ARD_PLANT_AND_EQUIPMENT_NET (2006)</t>
  </si>
  <si>
    <t>ARD_PLANT_AND_EQUIPMENT_NET (2007)</t>
  </si>
  <si>
    <t>ARD_PLANT_AND_EQUIPMENT_NET (2008)</t>
  </si>
  <si>
    <t>ARD_PLANT_AND_EQUIPMENT_NET (2009)</t>
  </si>
  <si>
    <t>ARD_PLANT_AND_EQUIPMENT_NET (2010)</t>
  </si>
  <si>
    <t>ARD_PLANT_AND_EQUIPMENT_NET (2011)</t>
  </si>
  <si>
    <t>ARD_PLANT_AND_EQUIPMENT_NET (2012)</t>
  </si>
  <si>
    <t>ARD_PLANT_AND_EQUIPMENT_NET (2013)</t>
  </si>
  <si>
    <t>ARD_PLANT_AND_EQUIPMENT_NET (2014)</t>
  </si>
  <si>
    <t>ARD_PREPAID_PEN_POSTRETIRE_BEN (2004)</t>
  </si>
  <si>
    <t>ARD_PREPAID_PEN_POSTRETIRE_BEN (2005)</t>
  </si>
  <si>
    <t>ARD_PREPAID_PEN_POSTRETIRE_BEN (2006)</t>
  </si>
  <si>
    <t>ARD_PREPAID_PEN_POSTRETIRE_BEN (2007)</t>
  </si>
  <si>
    <t>ARD_PREPAID_PEN_POSTRETIRE_BEN (2008)</t>
  </si>
  <si>
    <t>ARD_PREPAID_PEN_POSTRETIRE_BEN (2009)</t>
  </si>
  <si>
    <t>ARD_PREPAID_PEN_POSTRETIRE_BEN (2010)</t>
  </si>
  <si>
    <t>ARD_PREPAID_PEN_POSTRETIRE_BEN (2011)</t>
  </si>
  <si>
    <t>ARD_PREPAID_PEN_POSTRETIRE_BEN (2012)</t>
  </si>
  <si>
    <t>ARD_PREPAID_PEN_POSTRETIRE_BEN (2013)</t>
  </si>
  <si>
    <t>ARD_PREPAID_PEN_POSTRETIRE_BEN (2014)</t>
  </si>
  <si>
    <t>ARD_PROPERTY_PLANT_EQUIP_NET (2004)</t>
  </si>
  <si>
    <t>ARD_PROPERTY_PLANT_EQUIP_NET (2005)</t>
  </si>
  <si>
    <t>ARD_PROPERTY_PLANT_EQUIP_NET (2006)</t>
  </si>
  <si>
    <t>ARD_PROPERTY_PLANT_EQUIP_NET (2007)</t>
  </si>
  <si>
    <t>ARD_PROPERTY_PLANT_EQUIP_NET (2008)</t>
  </si>
  <si>
    <t>ARD_PROPERTY_PLANT_EQUIP_NET (2009)</t>
  </si>
  <si>
    <t>ARD_PROPERTY_PLANT_EQUIP_NET (2010)</t>
  </si>
  <si>
    <t>ARD_PROPERTY_PLANT_EQUIP_NET (2011)</t>
  </si>
  <si>
    <t>ARD_PROPERTY_PLANT_EQUIP_NET (2012)</t>
  </si>
  <si>
    <t>ARD_PROPERTY_PLANT_EQUIP_NET (2013)</t>
  </si>
  <si>
    <t>ARD_PROPERTY_PLANT_EQUIP_NET (2014)</t>
  </si>
  <si>
    <t>ARD_REVENUES (2004)</t>
  </si>
  <si>
    <t>ARD_REVENUES (2005)</t>
  </si>
  <si>
    <t>ARD_REVENUES (2006)</t>
  </si>
  <si>
    <t>ARD_REVENUES (2007)</t>
  </si>
  <si>
    <t>ARD_REVENUES (2008)</t>
  </si>
  <si>
    <t>ARD_REVENUES (2009)</t>
  </si>
  <si>
    <t>ARD_REVENUES (2010)</t>
  </si>
  <si>
    <t>ARD_REVENUES (2011)</t>
  </si>
  <si>
    <t>ARD_REVENUES (2012)</t>
  </si>
  <si>
    <t>ARD_REVENUES (2013)</t>
  </si>
  <si>
    <t>ARD_REVENUES (2014)</t>
  </si>
  <si>
    <t>ARD_ST_BORROW (2004)</t>
  </si>
  <si>
    <t>ARD_ST_BORROW (2005)</t>
  </si>
  <si>
    <t>ARD_ST_BORROW (2006)</t>
  </si>
  <si>
    <t>ARD_ST_BORROW (2007)</t>
  </si>
  <si>
    <t>ARD_ST_BORROW (2008)</t>
  </si>
  <si>
    <t>ARD_ST_BORROW (2009)</t>
  </si>
  <si>
    <t>ARD_ST_BORROW (2010)</t>
  </si>
  <si>
    <t>ARD_ST_BORROW (2011)</t>
  </si>
  <si>
    <t>ARD_ST_BORROW (2012)</t>
  </si>
  <si>
    <t>ARD_ST_BORROW (2013)</t>
  </si>
  <si>
    <t>ARD_ST_BORROW (2014)</t>
  </si>
  <si>
    <t>ARD_TOT_ASSETS (2004)</t>
  </si>
  <si>
    <t>ARD_TOT_ASSETS (2005)</t>
  </si>
  <si>
    <t>ARD_TOT_ASSETS (2006)</t>
  </si>
  <si>
    <t>ARD_TOT_ASSETS (2007)</t>
  </si>
  <si>
    <t>ARD_TOT_ASSETS (2008)</t>
  </si>
  <si>
    <t>ARD_TOT_ASSETS (2009)</t>
  </si>
  <si>
    <t>ARD_TOT_ASSETS (2010)</t>
  </si>
  <si>
    <t>ARD_TOT_ASSETS (2011)</t>
  </si>
  <si>
    <t>ARD_TOT_ASSETS (2012)</t>
  </si>
  <si>
    <t>ARD_TOT_ASSETS (2013)</t>
  </si>
  <si>
    <t>ARD_TOT_ASSETS (2014)</t>
  </si>
  <si>
    <t>ARD_TOTAL_CUR_ASSETS (2004)</t>
  </si>
  <si>
    <t>ARD_TOTAL_CUR_ASSETS (2005)</t>
  </si>
  <si>
    <t>ARD_TOTAL_CUR_ASSETS (2006)</t>
  </si>
  <si>
    <t>ARD_TOTAL_CUR_ASSETS (2007)</t>
  </si>
  <si>
    <t>ARD_TOTAL_CUR_ASSETS (2008)</t>
  </si>
  <si>
    <t>ARD_TOTAL_CUR_ASSETS (2009)</t>
  </si>
  <si>
    <t>ARD_TOTAL_CUR_ASSETS (2010)</t>
  </si>
  <si>
    <t>ARD_TOTAL_CUR_ASSETS (2011)</t>
  </si>
  <si>
    <t>ARD_TOTAL_CUR_ASSETS (2012)</t>
  </si>
  <si>
    <t>ARD_TOTAL_CUR_ASSETS (2013)</t>
  </si>
  <si>
    <t>ARD_TOTAL_CUR_ASSETS (2014)</t>
  </si>
  <si>
    <t>ARD_TOTAL_CURRENT_LIABILITIES (2004)</t>
  </si>
  <si>
    <t>ARD_TOTAL_CURRENT_LIABILITIES (2005)</t>
  </si>
  <si>
    <t>ARD_TOTAL_CURRENT_LIABILITIES (2006)</t>
  </si>
  <si>
    <t>ARD_TOTAL_CURRENT_LIABILITIES (2007)</t>
  </si>
  <si>
    <t>ARD_TOTAL_CURRENT_LIABILITIES (2008)</t>
  </si>
  <si>
    <t>ARD_TOTAL_CURRENT_LIABILITIES (2009)</t>
  </si>
  <si>
    <t>ARD_TOTAL_CURRENT_LIABILITIES (2010)</t>
  </si>
  <si>
    <t>ARD_TOTAL_CURRENT_LIABILITIES (2011)</t>
  </si>
  <si>
    <t>ARD_TOTAL_CURRENT_LIABILITIES (2012)</t>
  </si>
  <si>
    <t>ARD_TOTAL_CURRENT_LIABILITIES (2013)</t>
  </si>
  <si>
    <t>ARD_TOTAL_CURRENT_LIABILITIES (2014)</t>
  </si>
  <si>
    <t>ARD_TOTAL_INTANGIBLE_ASSET_NET (2004)</t>
  </si>
  <si>
    <t>ARD_TOTAL_INTANGIBLE_ASSET_NET (2005)</t>
  </si>
  <si>
    <t>ARD_TOTAL_INTANGIBLE_ASSET_NET (2006)</t>
  </si>
  <si>
    <t>ARD_TOTAL_INTANGIBLE_ASSET_NET (2007)</t>
  </si>
  <si>
    <t>ARD_TOTAL_INTANGIBLE_ASSET_NET (2008)</t>
  </si>
  <si>
    <t>ARD_TOTAL_INTANGIBLE_ASSET_NET (2009)</t>
  </si>
  <si>
    <t>ARD_TOTAL_INTANGIBLE_ASSET_NET (2010)</t>
  </si>
  <si>
    <t>ARD_TOTAL_INTANGIBLE_ASSET_NET (2011)</t>
  </si>
  <si>
    <t>ARD_TOTAL_INTANGIBLE_ASSET_NET (2012)</t>
  </si>
  <si>
    <t>ARD_TOTAL_INTANGIBLE_ASSET_NET (2013)</t>
  </si>
  <si>
    <t>ARD_TOTAL_INTANGIBLE_ASSET_NET (2014)</t>
  </si>
  <si>
    <t>ARDJ_DEP_INC_STA (2004)</t>
  </si>
  <si>
    <t>ARDJ_DEP_INC_STA (2005)</t>
  </si>
  <si>
    <t>ARDJ_DEP_INC_STA (2006)</t>
  </si>
  <si>
    <t>ARDJ_DEP_INC_STA (2007)</t>
  </si>
  <si>
    <t>ARDJ_DEP_INC_STA (2008)</t>
  </si>
  <si>
    <t>ARDJ_DEP_INC_STA (2009)</t>
  </si>
  <si>
    <t>ARDJ_DEP_INC_STA (2010)</t>
  </si>
  <si>
    <t>ARDJ_DEP_INC_STA (2011)</t>
  </si>
  <si>
    <t>ARDJ_DEP_INC_STA (2012)</t>
  </si>
  <si>
    <t>ARDJ_DEP_INC_STA (2013)</t>
  </si>
  <si>
    <t>ARDJ_DEP_INC_STA (2014)</t>
  </si>
  <si>
    <t>ARDR_AMORT_EXP (2004)</t>
  </si>
  <si>
    <t>ARDR_AMORT_EXP (2005)</t>
  </si>
  <si>
    <t>ARDR_AMORT_EXP (2006)</t>
  </si>
  <si>
    <t>ARDR_AMORT_EXP (2007)</t>
  </si>
  <si>
    <t>ARDR_AMORT_EXP (2008)</t>
  </si>
  <si>
    <t>ARDR_AMORT_EXP (2009)</t>
  </si>
  <si>
    <t>ARDR_AMORT_EXP (2010)</t>
  </si>
  <si>
    <t>ARDR_AMORT_EXP (2011)</t>
  </si>
  <si>
    <t>ARDR_AMORT_EXP (2012)</t>
  </si>
  <si>
    <t>ARDR_AMORT_EXP (2013)</t>
  </si>
  <si>
    <t>ARDR_AMORT_EXP (2014)</t>
  </si>
  <si>
    <t>ARDR_AMORT_IMPAIR_OF_INTANGIBLES (2004)</t>
  </si>
  <si>
    <t>ARDR_AMORT_IMPAIR_OF_INTANGIBLES (2005)</t>
  </si>
  <si>
    <t>ARDR_AMORT_IMPAIR_OF_INTANGIBLES (2006)</t>
  </si>
  <si>
    <t>ARDR_AMORT_IMPAIR_OF_INTANGIBLES (2007)</t>
  </si>
  <si>
    <t>ARDR_AMORT_IMPAIR_OF_INTANGIBLES (2008)</t>
  </si>
  <si>
    <t>ARDR_AMORT_IMPAIR_OF_INTANGIBLES (2009)</t>
  </si>
  <si>
    <t>ARDR_AMORT_IMPAIR_OF_INTANGIBLES (2010)</t>
  </si>
  <si>
    <t>ARDR_AMORT_IMPAIR_OF_INTANGIBLES (2011)</t>
  </si>
  <si>
    <t>ARDR_AMORT_IMPAIR_OF_INTANGIBLES (2012)</t>
  </si>
  <si>
    <t>ARDR_AMORT_IMPAIR_OF_INTANGIBLES (2013)</t>
  </si>
  <si>
    <t>ARDR_AMORT_IMPAIR_OF_INTANGIBLES (2014)</t>
  </si>
  <si>
    <t>ARDR_AMORT_OF_INTANGIBLE_ASSETS (2004)</t>
  </si>
  <si>
    <t>ARDR_AMORT_OF_INTANGIBLE_ASSETS (2005)</t>
  </si>
  <si>
    <t>ARDR_AMORT_OF_INTANGIBLE_ASSETS (2006)</t>
  </si>
  <si>
    <t>ARDR_AMORT_OF_INTANGIBLE_ASSETS (2007)</t>
  </si>
  <si>
    <t>ARDR_AMORT_OF_INTANGIBLE_ASSETS (2008)</t>
  </si>
  <si>
    <t>ARDR_AMORT_OF_INTANGIBLE_ASSETS (2009)</t>
  </si>
  <si>
    <t>ARDR_AMORT_OF_INTANGIBLE_ASSETS (2010)</t>
  </si>
  <si>
    <t>ARDR_AMORT_OF_INTANGIBLE_ASSETS (2011)</t>
  </si>
  <si>
    <t>ARDR_AMORT_OF_INTANGIBLE_ASSETS (2012)</t>
  </si>
  <si>
    <t>ARDR_AMORT_OF_INTANGIBLE_ASSETS (2013)</t>
  </si>
  <si>
    <t>ARDR_AMORT_OF_INTANGIBLE_ASSETS (2014)</t>
  </si>
  <si>
    <t>ARDR_AMORTIZATION_CF (2004)</t>
  </si>
  <si>
    <t>ARDR_AMORTIZATION_CF (2005)</t>
  </si>
  <si>
    <t>ARDR_AMORTIZATION_CF (2006)</t>
  </si>
  <si>
    <t>ARDR_AMORTIZATION_CF (2007)</t>
  </si>
  <si>
    <t>ARDR_AMORTIZATION_CF (2008)</t>
  </si>
  <si>
    <t>ARDR_AMORTIZATION_CF (2009)</t>
  </si>
  <si>
    <t>ARDR_AMORTIZATION_CF (2010)</t>
  </si>
  <si>
    <t>ARDR_AMORTIZATION_CF (2011)</t>
  </si>
  <si>
    <t>ARDR_AMORTIZATION_CF (2012)</t>
  </si>
  <si>
    <t>ARDR_AMORTIZATION_CF (2013)</t>
  </si>
  <si>
    <t>ARDR_AMORTIZATION_CF (2014)</t>
  </si>
  <si>
    <t>ARDR_AMORTIZATION_GOODWILL (2004)</t>
  </si>
  <si>
    <t>ARDR_AMORTIZATION_GOODWILL (2005)</t>
  </si>
  <si>
    <t>ARDR_AMORTIZATION_GOODWILL (2006)</t>
  </si>
  <si>
    <t>ARDR_AMORTIZATION_GOODWILL (2007)</t>
  </si>
  <si>
    <t>ARDR_AMORTIZATION_GOODWILL (2008)</t>
  </si>
  <si>
    <t>ARDR_AMORTIZATION_GOODWILL (2009)</t>
  </si>
  <si>
    <t>ARDR_AMORTIZATION_GOODWILL (2010)</t>
  </si>
  <si>
    <t>ARDR_AMORTIZATION_GOODWILL (2011)</t>
  </si>
  <si>
    <t>ARDR_AMORTIZATION_GOODWILL (2012)</t>
  </si>
  <si>
    <t>ARDR_AMORTIZATION_GOODWILL (2013)</t>
  </si>
  <si>
    <t>ARDR_AMORTIZATION_GOODWILL (2014)</t>
  </si>
  <si>
    <t>ARDR_AMORTIZATION_OF_INTANGIBLE (2004)</t>
  </si>
  <si>
    <t>ARDR_AMORTIZATION_OF_INTANGIBLE (2005)</t>
  </si>
  <si>
    <t>ARDR_AMORTIZATION_OF_INTANGIBLE (2006)</t>
  </si>
  <si>
    <t>ARDR_AMORTIZATION_OF_INTANGIBLE (2007)</t>
  </si>
  <si>
    <t>ARDR_AMORTIZATION_OF_INTANGIBLE (2008)</t>
  </si>
  <si>
    <t>ARDR_AMORTIZATION_OF_INTANGIBLE (2009)</t>
  </si>
  <si>
    <t>ARDR_AMORTIZATION_OF_INTANGIBLE (2010)</t>
  </si>
  <si>
    <t>ARDR_AMORTIZATION_OF_INTANGIBLE (2011)</t>
  </si>
  <si>
    <t>ARDR_AMORTIZATION_OF_INTANGIBLE (2012)</t>
  </si>
  <si>
    <t>ARDR_AMORTIZATION_OF_INTANGIBLE (2013)</t>
  </si>
  <si>
    <t>ARDR_AMORTIZATION_OF_INTANGIBLE (2014)</t>
  </si>
  <si>
    <t>ARDR_AMOT_IMPAIRMENT_GOODWILL (2004)</t>
  </si>
  <si>
    <t>ARDR_AMOT_IMPAIRMENT_GOODWILL (2005)</t>
  </si>
  <si>
    <t>ARDR_AMOT_IMPAIRMENT_GOODWILL (2006)</t>
  </si>
  <si>
    <t>ARDR_AMOT_IMPAIRMENT_GOODWILL (2007)</t>
  </si>
  <si>
    <t>ARDR_AMOT_IMPAIRMENT_GOODWILL (2008)</t>
  </si>
  <si>
    <t>ARDR_AMOT_IMPAIRMENT_GOODWILL (2009)</t>
  </si>
  <si>
    <t>ARDR_AMOT_IMPAIRMENT_GOODWILL (2010)</t>
  </si>
  <si>
    <t>ARDR_AMOT_IMPAIRMENT_GOODWILL (2011)</t>
  </si>
  <si>
    <t>ARDR_AMOT_IMPAIRMENT_GOODWILL (2012)</t>
  </si>
  <si>
    <t>ARDR_AMOT_IMPAIRMENT_GOODWILL (2013)</t>
  </si>
  <si>
    <t>ARDR_AMOT_IMPAIRMENT_GOODWILL (2014)</t>
  </si>
  <si>
    <t>ARDR_CASH_AND_EQUIVALENTS (2004)</t>
  </si>
  <si>
    <t>ARDR_CASH_AND_EQUIVALENTS (2005)</t>
  </si>
  <si>
    <t>ARDR_CASH_AND_EQUIVALENTS (2006)</t>
  </si>
  <si>
    <t>ARDR_CASH_AND_EQUIVALENTS (2007)</t>
  </si>
  <si>
    <t>ARDR_CASH_AND_EQUIVALENTS (2008)</t>
  </si>
  <si>
    <t>ARDR_CASH_AND_EQUIVALENTS (2009)</t>
  </si>
  <si>
    <t>ARDR_CASH_AND_EQUIVALENTS (2010)</t>
  </si>
  <si>
    <t>ARDR_CASH_AND_EQUIVALENTS (2011)</t>
  </si>
  <si>
    <t>ARDR_CASH_AND_EQUIVALENTS (2012)</t>
  </si>
  <si>
    <t>ARDR_CASH_AND_EQUIVALENTS (2013)</t>
  </si>
  <si>
    <t>ARDR_CASH_AND_EQUIVALENTS (2014)</t>
  </si>
  <si>
    <t>ARDR_DEPR_AMORT_IMPAIRMNT (2004)</t>
  </si>
  <si>
    <t>ARDR_DEPR_AMORT_IMPAIRMNT (2005)</t>
  </si>
  <si>
    <t>ARDR_DEPR_AMORT_IMPAIRMNT (2006)</t>
  </si>
  <si>
    <t>ARDR_DEPR_AMORT_IMPAIRMNT (2007)</t>
  </si>
  <si>
    <t>ARDR_DEPR_AMORT_IMPAIRMNT (2008)</t>
  </si>
  <si>
    <t>ARDR_DEPR_AMORT_IMPAIRMNT (2009)</t>
  </si>
  <si>
    <t>ARDR_DEPR_AMORT_IMPAIRMNT (2010)</t>
  </si>
  <si>
    <t>ARDR_DEPR_AMORT_IMPAIRMNT (2011)</t>
  </si>
  <si>
    <t>ARDR_DEPR_AMORT_IMPAIRMNT (2012)</t>
  </si>
  <si>
    <t>ARDR_DEPR_AMORT_IMPAIRMNT (2013)</t>
  </si>
  <si>
    <t>ARDR_DEPR_AMORT_IMPAIRMNT (2014)</t>
  </si>
  <si>
    <t>ARDR_DEPREC_AMORT_WRITE_DOWNS (2004)</t>
  </si>
  <si>
    <t>ARDR_DEPREC_AMORT_WRITE_DOWNS (2005)</t>
  </si>
  <si>
    <t>ARDR_DEPREC_AMORT_WRITE_DOWNS (2006)</t>
  </si>
  <si>
    <t>ARDR_DEPREC_AMORT_WRITE_DOWNS (2007)</t>
  </si>
  <si>
    <t>ARDR_DEPREC_AMORT_WRITE_DOWNS (2008)</t>
  </si>
  <si>
    <t>ARDR_DEPREC_AMORT_WRITE_DOWNS (2009)</t>
  </si>
  <si>
    <t>ARDR_DEPREC_AMORT_WRITE_DOWNS (2010)</t>
  </si>
  <si>
    <t>ARDR_DEPREC_AMORT_WRITE_DOWNS (2011)</t>
  </si>
  <si>
    <t>ARDR_DEPREC_AMORT_WRITE_DOWNS (2012)</t>
  </si>
  <si>
    <t>ARDR_DEPREC_AMORT_WRITE_DOWNS (2013)</t>
  </si>
  <si>
    <t>ARDR_DEPREC_AMORT_WRITE_DOWNS (2014)</t>
  </si>
  <si>
    <t>ARDR_DEPRECIATION_AMORTIZATION (2004)</t>
  </si>
  <si>
    <t>ARDR_DEPRECIATION_AMORTIZATION (2005)</t>
  </si>
  <si>
    <t>ARDR_DEPRECIATION_AMORTIZATION (2006)</t>
  </si>
  <si>
    <t>ARDR_DEPRECIATION_AMORTIZATION (2007)</t>
  </si>
  <si>
    <t>ARDR_DEPRECIATION_AMORTIZATION (2008)</t>
  </si>
  <si>
    <t>ARDR_DEPRECIATION_AMORTIZATION (2009)</t>
  </si>
  <si>
    <t>ARDR_DEPRECIATION_AMORTIZATION (2010)</t>
  </si>
  <si>
    <t>ARDR_DEPRECIATION_AMORTIZATION (2011)</t>
  </si>
  <si>
    <t>ARDR_DEPRECIATION_AMORTIZATION (2012)</t>
  </si>
  <si>
    <t>ARDR_DEPRECIATION_AMORTIZATION (2013)</t>
  </si>
  <si>
    <t>ARDR_DEPRECIATION_AMORTIZATION (2014)</t>
  </si>
  <si>
    <t>ARDR_DEPRECIATION_AND_AMORT_CF (2004)</t>
  </si>
  <si>
    <t>ARDR_DEPRECIATION_AND_AMORT_CF (2005)</t>
  </si>
  <si>
    <t>ARDR_DEPRECIATION_AND_AMORT_CF (2006)</t>
  </si>
  <si>
    <t>ARDR_DEPRECIATION_AND_AMORT_CF (2007)</t>
  </si>
  <si>
    <t>ARDR_DEPRECIATION_AND_AMORT_CF (2008)</t>
  </si>
  <si>
    <t>ARDR_DEPRECIATION_AND_AMORT_CF (2009)</t>
  </si>
  <si>
    <t>ARDR_DEPRECIATION_AND_AMORT_CF (2010)</t>
  </si>
  <si>
    <t>ARDR_DEPRECIATION_AND_AMORT_CF (2011)</t>
  </si>
  <si>
    <t>ARDR_DEPRECIATION_AND_AMORT_CF (2012)</t>
  </si>
  <si>
    <t>ARDR_DEPRECIATION_AND_AMORT_CF (2013)</t>
  </si>
  <si>
    <t>ARDR_DEPRECIATION_AND_AMORT_CF (2014)</t>
  </si>
  <si>
    <t>ARDR_INVEST_UNCONSOL_SUBSID (2004)</t>
  </si>
  <si>
    <t>ARDR_INVEST_UNCONSOL_SUBSID (2005)</t>
  </si>
  <si>
    <t>ARDR_INVEST_UNCONSOL_SUBSID (2006)</t>
  </si>
  <si>
    <t>ARDR_INVEST_UNCONSOL_SUBSID (2007)</t>
  </si>
  <si>
    <t>ARDR_INVEST_UNCONSOL_SUBSID (2008)</t>
  </si>
  <si>
    <t>ARDR_INVEST_UNCONSOL_SUBSID (2009)</t>
  </si>
  <si>
    <t>ARDR_INVEST_UNCONSOL_SUBSID (2010)</t>
  </si>
  <si>
    <t>ARDR_INVEST_UNCONSOL_SUBSID (2011)</t>
  </si>
  <si>
    <t>ARDR_INVEST_UNCONSOL_SUBSID (2012)</t>
  </si>
  <si>
    <t>ARDR_INVEST_UNCONSOL_SUBSID (2013)</t>
  </si>
  <si>
    <t>ARDR_INVEST_UNCONSOL_SUBSID (2014)</t>
  </si>
  <si>
    <t>ARDR_OTHER_INTANGIBLE_ASSET (2004)</t>
  </si>
  <si>
    <t>ARDR_OTHER_INTANGIBLE_ASSET (2005)</t>
  </si>
  <si>
    <t>ARDR_OTHER_INTANGIBLE_ASSET (2006)</t>
  </si>
  <si>
    <t>ARDR_OTHER_INTANGIBLE_ASSET (2007)</t>
  </si>
  <si>
    <t>ARDR_OTHER_INTANGIBLE_ASSET (2008)</t>
  </si>
  <si>
    <t>ARDR_OTHER_INTANGIBLE_ASSET (2009)</t>
  </si>
  <si>
    <t>ARDR_OTHER_INTANGIBLE_ASSET (2010)</t>
  </si>
  <si>
    <t>ARDR_OTHER_INTANGIBLE_ASSET (2011)</t>
  </si>
  <si>
    <t>ARDR_OTHER_INTANGIBLE_ASSET (2012)</t>
  </si>
  <si>
    <t>ARDR_OTHER_INTANGIBLE_ASSET (2013)</t>
  </si>
  <si>
    <t>ARDR_OTHER_INTANGIBLE_ASSET (2014)</t>
  </si>
  <si>
    <t>ARDR_OTHER_INTANGIBLES_NET (2004)</t>
  </si>
  <si>
    <t>ARDR_OTHER_INTANGIBLES_NET (2005)</t>
  </si>
  <si>
    <t>ARDR_OTHER_INTANGIBLES_NET (2006)</t>
  </si>
  <si>
    <t>ARDR_OTHER_INTANGIBLES_NET (2007)</t>
  </si>
  <si>
    <t>ARDR_OTHER_INTANGIBLES_NET (2008)</t>
  </si>
  <si>
    <t>ARDR_OTHER_INTANGIBLES_NET (2009)</t>
  </si>
  <si>
    <t>ARDR_OTHER_INTANGIBLES_NET (2010)</t>
  </si>
  <si>
    <t>ARDR_OTHER_INTANGIBLES_NET (2011)</t>
  </si>
  <si>
    <t>ARDR_OTHER_INTANGIBLES_NET (2012)</t>
  </si>
  <si>
    <t>ARDR_OTHER_INTANGIBLES_NET (2013)</t>
  </si>
  <si>
    <t>ARDR_OTHER_INTANGIBLES_NET (2014)</t>
  </si>
  <si>
    <t>ARDR_OTHER_LT_INVESTMENTS (2004)</t>
  </si>
  <si>
    <t>ARDR_OTHER_LT_INVESTMENTS (2005)</t>
  </si>
  <si>
    <t>ARDR_OTHER_LT_INVESTMENTS (2006)</t>
  </si>
  <si>
    <t>ARDR_OTHER_LT_INVESTMENTS (2007)</t>
  </si>
  <si>
    <t>ARDR_OTHER_LT_INVESTMENTS (2008)</t>
  </si>
  <si>
    <t>ARDR_OTHER_LT_INVESTMENTS (2009)</t>
  </si>
  <si>
    <t>ARDR_OTHER_LT_INVESTMENTS (2010)</t>
  </si>
  <si>
    <t>ARDR_OTHER_LT_INVESTMENTS (2011)</t>
  </si>
  <si>
    <t>ARDR_OTHER_LT_INVESTMENTS (2012)</t>
  </si>
  <si>
    <t>ARDR_OTHER_LT_INVESTMENTS (2013)</t>
  </si>
  <si>
    <t>ARDR_OTHER_LT_INVESTMENTS (2014)</t>
  </si>
  <si>
    <t>ARDR_PROPERTY_PLANT_EQUIP_NET (2004)</t>
  </si>
  <si>
    <t>ARDR_PROPERTY_PLANT_EQUIP_NET (2005)</t>
  </si>
  <si>
    <t>ARDR_PROPERTY_PLANT_EQUIP_NET (2006)</t>
  </si>
  <si>
    <t>ARDR_PROPERTY_PLANT_EQUIP_NET (2007)</t>
  </si>
  <si>
    <t>ARDR_PROPERTY_PLANT_EQUIP_NET (2008)</t>
  </si>
  <si>
    <t>ARDR_PROPERTY_PLANT_EQUIP_NET (2009)</t>
  </si>
  <si>
    <t>ARDR_PROPERTY_PLANT_EQUIP_NET (2010)</t>
  </si>
  <si>
    <t>ARDR_PROPERTY_PLANT_EQUIP_NET (2011)</t>
  </si>
  <si>
    <t>ARDR_PROPERTY_PLANT_EQUIP_NET (2012)</t>
  </si>
  <si>
    <t>ARDR_PROPERTY_PLANT_EQUIP_NET (2013)</t>
  </si>
  <si>
    <t>ARDR_PROPERTY_PLANT_EQUIP_NET (2014)</t>
  </si>
  <si>
    <t>BS_CASH_NEAR_CASH_ITEM (2004)</t>
  </si>
  <si>
    <t>BS_CASH_NEAR_CASH_ITEM (2005)</t>
  </si>
  <si>
    <t>BS_CASH_NEAR_CASH_ITEM (2006)</t>
  </si>
  <si>
    <t>BS_CASH_NEAR_CASH_ITEM (2007)</t>
  </si>
  <si>
    <t>BS_CASH_NEAR_CASH_ITEM (2008)</t>
  </si>
  <si>
    <t>BS_CASH_NEAR_CASH_ITEM (2009)</t>
  </si>
  <si>
    <t>BS_CASH_NEAR_CASH_ITEM (2010)</t>
  </si>
  <si>
    <t>BS_CASH_NEAR_CASH_ITEM (2011)</t>
  </si>
  <si>
    <t>BS_CASH_NEAR_CASH_ITEM (2012)</t>
  </si>
  <si>
    <t>BS_CASH_NEAR_CASH_ITEM (2013)</t>
  </si>
  <si>
    <t>BS_CASH_NEAR_CASH_ITEM (2014)</t>
  </si>
  <si>
    <t>BS_CUR_ASSET_REPORT (2004)</t>
  </si>
  <si>
    <t>BS_CUR_ASSET_REPORT (2005)</t>
  </si>
  <si>
    <t>BS_CUR_ASSET_REPORT (2006)</t>
  </si>
  <si>
    <t>BS_CUR_ASSET_REPORT (2007)</t>
  </si>
  <si>
    <t>BS_CUR_ASSET_REPORT (2008)</t>
  </si>
  <si>
    <t>BS_CUR_ASSET_REPORT (2009)</t>
  </si>
  <si>
    <t>BS_CUR_ASSET_REPORT (2010)</t>
  </si>
  <si>
    <t>BS_CUR_ASSET_REPORT (2011)</t>
  </si>
  <si>
    <t>BS_CUR_ASSET_REPORT (2012)</t>
  </si>
  <si>
    <t>BS_CUR_ASSET_REPORT (2013)</t>
  </si>
  <si>
    <t>BS_CUR_ASSET_REPORT (2014)</t>
  </si>
  <si>
    <t>BS_CUR_LIAB (2004)</t>
  </si>
  <si>
    <t>BS_CUR_LIAB (2005)</t>
  </si>
  <si>
    <t>BS_CUR_LIAB (2006)</t>
  </si>
  <si>
    <t>BS_CUR_LIAB (2007)</t>
  </si>
  <si>
    <t>BS_CUR_LIAB (2008)</t>
  </si>
  <si>
    <t>BS_CUR_LIAB (2009)</t>
  </si>
  <si>
    <t>BS_CUR_LIAB (2010)</t>
  </si>
  <si>
    <t>BS_CUR_LIAB (2011)</t>
  </si>
  <si>
    <t>BS_CUR_LIAB (2012)</t>
  </si>
  <si>
    <t>BS_CUR_LIAB (2013)</t>
  </si>
  <si>
    <t>BS_CUR_LIAB (2014)</t>
  </si>
  <si>
    <t>BS_DISCLOSED_INTANGIBLES (2004)</t>
  </si>
  <si>
    <t>BS_DISCLOSED_INTANGIBLES (2005)</t>
  </si>
  <si>
    <t>BS_DISCLOSED_INTANGIBLES (2006)</t>
  </si>
  <si>
    <t>BS_DISCLOSED_INTANGIBLES (2007)</t>
  </si>
  <si>
    <t>BS_DISCLOSED_INTANGIBLES (2008)</t>
  </si>
  <si>
    <t>BS_DISCLOSED_INTANGIBLES (2009)</t>
  </si>
  <si>
    <t>BS_DISCLOSED_INTANGIBLES (2010)</t>
  </si>
  <si>
    <t>BS_DISCLOSED_INTANGIBLES (2011)</t>
  </si>
  <si>
    <t>BS_DISCLOSED_INTANGIBLES (2012)</t>
  </si>
  <si>
    <t>BS_DISCLOSED_INTANGIBLES (2013)</t>
  </si>
  <si>
    <t>BS_DISCLOSED_INTANGIBLES (2014)</t>
  </si>
  <si>
    <t>BS_GOODWILL (2004)</t>
  </si>
  <si>
    <t>BS_GOODWILL (2005)</t>
  </si>
  <si>
    <t>BS_GOODWILL (2006)</t>
  </si>
  <si>
    <t>BS_GOODWILL (2007)</t>
  </si>
  <si>
    <t>BS_GOODWILL (2008)</t>
  </si>
  <si>
    <t>BS_GOODWILL (2009)</t>
  </si>
  <si>
    <t>BS_GOODWILL (2010)</t>
  </si>
  <si>
    <t>BS_GOODWILL (2011)</t>
  </si>
  <si>
    <t>BS_GOODWILL (2012)</t>
  </si>
  <si>
    <t>BS_GOODWILL (2013)</t>
  </si>
  <si>
    <t>BS_GOODWILL (2014)</t>
  </si>
  <si>
    <t>BS_NET_FIX_ASSET (2004)</t>
  </si>
  <si>
    <t>BS_NET_FIX_ASSET (2005)</t>
  </si>
  <si>
    <t>BS_NET_FIX_ASSET (2006)</t>
  </si>
  <si>
    <t>BS_NET_FIX_ASSET (2007)</t>
  </si>
  <si>
    <t>BS_NET_FIX_ASSET (2008)</t>
  </si>
  <si>
    <t>BS_NET_FIX_ASSET (2009)</t>
  </si>
  <si>
    <t>BS_NET_FIX_ASSET (2010)</t>
  </si>
  <si>
    <t>BS_NET_FIX_ASSET (2011)</t>
  </si>
  <si>
    <t>BS_NET_FIX_ASSET (2012)</t>
  </si>
  <si>
    <t>BS_NET_FIX_ASSET (2013)</t>
  </si>
  <si>
    <t>BS_NET_FIX_ASSET (2014)</t>
  </si>
  <si>
    <t>BS_ST_BORROW (2004)</t>
  </si>
  <si>
    <t>BS_ST_BORROW (2005)</t>
  </si>
  <si>
    <t>BS_ST_BORROW (2006)</t>
  </si>
  <si>
    <t>BS_ST_BORROW (2007)</t>
  </si>
  <si>
    <t>BS_ST_BORROW (2008)</t>
  </si>
  <si>
    <t>BS_ST_BORROW (2009)</t>
  </si>
  <si>
    <t>BS_ST_BORROW (2010)</t>
  </si>
  <si>
    <t>BS_ST_BORROW (2011)</t>
  </si>
  <si>
    <t>BS_ST_BORROW (2012)</t>
  </si>
  <si>
    <t>BS_ST_BORROW (2013)</t>
  </si>
  <si>
    <t>BS_ST_BORROW (2014)</t>
  </si>
  <si>
    <t>BS_ST_DEBT (2004)</t>
  </si>
  <si>
    <t>BS_ST_DEBT (2005)</t>
  </si>
  <si>
    <t>BS_ST_DEBT (2006)</t>
  </si>
  <si>
    <t>BS_ST_DEBT (2007)</t>
  </si>
  <si>
    <t>BS_ST_DEBT (2008)</t>
  </si>
  <si>
    <t>BS_ST_DEBT (2009)</t>
  </si>
  <si>
    <t>BS_ST_DEBT (2010)</t>
  </si>
  <si>
    <t>BS_ST_DEBT (2011)</t>
  </si>
  <si>
    <t>BS_ST_DEBT (2012)</t>
  </si>
  <si>
    <t>BS_ST_DEBT (2013)</t>
  </si>
  <si>
    <t>BS_ST_DEBT (2014)</t>
  </si>
  <si>
    <t>BS_TOT_ASSET (2004)</t>
  </si>
  <si>
    <t>BS_TOT_ASSET (2005)</t>
  </si>
  <si>
    <t>BS_TOT_ASSET (2006)</t>
  </si>
  <si>
    <t>BS_TOT_ASSET (2007)</t>
  </si>
  <si>
    <t>BS_TOT_ASSET (2008)</t>
  </si>
  <si>
    <t>BS_TOT_ASSET (2009)</t>
  </si>
  <si>
    <t>BS_TOT_ASSET (2010)</t>
  </si>
  <si>
    <t>BS_TOT_ASSET (2011)</t>
  </si>
  <si>
    <t>BS_TOT_ASSET (2012)</t>
  </si>
  <si>
    <t>BS_TOT_ASSET (2013)</t>
  </si>
  <si>
    <t>BS_TOT_ASSET (2014)</t>
  </si>
  <si>
    <t>CF_CAP_EXPEND_INC_FIX_ASSET (2004)</t>
  </si>
  <si>
    <t>CF_CAP_EXPEND_INC_FIX_ASSET (2005)</t>
  </si>
  <si>
    <t>CF_CAP_EXPEND_INC_FIX_ASSET (2006)</t>
  </si>
  <si>
    <t>CF_CAP_EXPEND_INC_FIX_ASSET (2007)</t>
  </si>
  <si>
    <t>CF_CAP_EXPEND_INC_FIX_ASSET (2008)</t>
  </si>
  <si>
    <t>CF_CAP_EXPEND_INC_FIX_ASSET (2009)</t>
  </si>
  <si>
    <t>CF_CAP_EXPEND_INC_FIX_ASSET (2010)</t>
  </si>
  <si>
    <t>CF_CAP_EXPEND_INC_FIX_ASSET (2011)</t>
  </si>
  <si>
    <t>CF_CAP_EXPEND_INC_FIX_ASSET (2012)</t>
  </si>
  <si>
    <t>CF_CAP_EXPEND_INC_FIX_ASSET (2013)</t>
  </si>
  <si>
    <t>CF_CAP_EXPEND_INC_FIX_ASSET (2014)</t>
  </si>
  <si>
    <t>CF_CAP_EXPEND_PRPTY_ADD (2004)</t>
  </si>
  <si>
    <t>CF_CAP_EXPEND_PRPTY_ADD (2005)</t>
  </si>
  <si>
    <t>CF_CAP_EXPEND_PRPTY_ADD (2006)</t>
  </si>
  <si>
    <t>CF_CAP_EXPEND_PRPTY_ADD (2007)</t>
  </si>
  <si>
    <t>CF_CAP_EXPEND_PRPTY_ADD (2008)</t>
  </si>
  <si>
    <t>CF_CAP_EXPEND_PRPTY_ADD (2009)</t>
  </si>
  <si>
    <t>CF_CAP_EXPEND_PRPTY_ADD (2010)</t>
  </si>
  <si>
    <t>CF_CAP_EXPEND_PRPTY_ADD (2011)</t>
  </si>
  <si>
    <t>CF_CAP_EXPEND_PRPTY_ADD (2012)</t>
  </si>
  <si>
    <t>CF_CAP_EXPEND_PRPTY_ADD (2013)</t>
  </si>
  <si>
    <t>CF_CAP_EXPEND_PRPTY_ADD (2014)</t>
  </si>
  <si>
    <t>CF_DEPR_AMORT (2004)</t>
  </si>
  <si>
    <t>CF_DEPR_AMORT (2005)</t>
  </si>
  <si>
    <t>CF_DEPR_AMORT (2006)</t>
  </si>
  <si>
    <t>CF_DEPR_AMORT (2007)</t>
  </si>
  <si>
    <t>CF_DEPR_AMORT (2008)</t>
  </si>
  <si>
    <t>CF_DEPR_AMORT (2009)</t>
  </si>
  <si>
    <t>CF_DEPR_AMORT (2010)</t>
  </si>
  <si>
    <t>CF_DEPR_AMORT (2011)</t>
  </si>
  <si>
    <t>CF_DEPR_AMORT (2012)</t>
  </si>
  <si>
    <t>CF_DEPR_AMORT (2013)</t>
  </si>
  <si>
    <t>CF_DEPR_AMORT (2014)</t>
  </si>
  <si>
    <t>EBIT (2004)</t>
  </si>
  <si>
    <t>EBIT (2005)</t>
  </si>
  <si>
    <t>EBIT (2006)</t>
  </si>
  <si>
    <t>EBIT (2007)</t>
  </si>
  <si>
    <t>EBIT (2008)</t>
  </si>
  <si>
    <t>EBIT (2009)</t>
  </si>
  <si>
    <t>EBIT (2010)</t>
  </si>
  <si>
    <t>EBIT (2011)</t>
  </si>
  <si>
    <t>EBIT (2012)</t>
  </si>
  <si>
    <t>EBIT (2013)</t>
  </si>
  <si>
    <t>EBIT (2014)</t>
  </si>
  <si>
    <t>EBITDA (2004)</t>
  </si>
  <si>
    <t>EBITDA (2005)</t>
  </si>
  <si>
    <t>EBITDA (2006)</t>
  </si>
  <si>
    <t>EBITDA (2007)</t>
  </si>
  <si>
    <t>EBITDA (2008)</t>
  </si>
  <si>
    <t>EBITDA (2009)</t>
  </si>
  <si>
    <t>EBITDA (2010)</t>
  </si>
  <si>
    <t>EBITDA (2011)</t>
  </si>
  <si>
    <t>EBITDA (2012)</t>
  </si>
  <si>
    <t>EBITDA (2013)</t>
  </si>
  <si>
    <t>EBITDA (2014)</t>
  </si>
  <si>
    <t>IS_COMP_SALES (2004)</t>
  </si>
  <si>
    <t>IS_COMP_SALES (2005)</t>
  </si>
  <si>
    <t>IS_COMP_SALES (2006)</t>
  </si>
  <si>
    <t>IS_COMP_SALES (2007)</t>
  </si>
  <si>
    <t>IS_COMP_SALES (2008)</t>
  </si>
  <si>
    <t>IS_COMP_SALES (2009)</t>
  </si>
  <si>
    <t>IS_COMP_SALES (2010)</t>
  </si>
  <si>
    <t>IS_COMP_SALES (2011)</t>
  </si>
  <si>
    <t>IS_COMP_SALES (2012)</t>
  </si>
  <si>
    <t>IS_COMP_SALES (2013)</t>
  </si>
  <si>
    <t>IS_COMP_SALES (2014)</t>
  </si>
  <si>
    <t>IS_DEPR_EXP (2004)</t>
  </si>
  <si>
    <t>IS_DEPR_EXP (2005)</t>
  </si>
  <si>
    <t>IS_DEPR_EXP (2006)</t>
  </si>
  <si>
    <t>IS_DEPR_EXP (2007)</t>
  </si>
  <si>
    <t>IS_DEPR_EXP (2008)</t>
  </si>
  <si>
    <t>IS_DEPR_EXP (2009)</t>
  </si>
  <si>
    <t>IS_DEPR_EXP (2010)</t>
  </si>
  <si>
    <t>IS_DEPR_EXP (2011)</t>
  </si>
  <si>
    <t>IS_DEPR_EXP (2012)</t>
  </si>
  <si>
    <t>IS_DEPR_EXP (2013)</t>
  </si>
  <si>
    <t>IS_DEPR_EXP (2014)</t>
  </si>
  <si>
    <t>IS_OPER_INC (2004)</t>
  </si>
  <si>
    <t>IS_OPER_INC (2005)</t>
  </si>
  <si>
    <t>IS_OPER_INC (2006)</t>
  </si>
  <si>
    <t>IS_OPER_INC (2007)</t>
  </si>
  <si>
    <t>IS_OPER_INC (2008)</t>
  </si>
  <si>
    <t>IS_OPER_INC (2009)</t>
  </si>
  <si>
    <t>IS_OPER_INC (2010)</t>
  </si>
  <si>
    <t>IS_OPER_INC (2011)</t>
  </si>
  <si>
    <t>IS_OPER_INC (2012)</t>
  </si>
  <si>
    <t>IS_OPER_INC (2013)</t>
  </si>
  <si>
    <t>IS_OPER_INC (2014)</t>
  </si>
  <si>
    <t>NET DEBT (2004)</t>
  </si>
  <si>
    <t>NET DEBT (2005)</t>
  </si>
  <si>
    <t>NET DEBT (2006)</t>
  </si>
  <si>
    <t>NET DEBT (2007)</t>
  </si>
  <si>
    <t>NET DEBT (2008)</t>
  </si>
  <si>
    <t>NET DEBT (2009)</t>
  </si>
  <si>
    <t>NET DEBT (2010)</t>
  </si>
  <si>
    <t>NET DEBT (2011)</t>
  </si>
  <si>
    <t>NET DEBT (2012)</t>
  </si>
  <si>
    <t>NET DEBT (2013)</t>
  </si>
  <si>
    <t>NET DEBT (2014)</t>
  </si>
  <si>
    <t>SALES_REV_TURN (2004)</t>
  </si>
  <si>
    <t>SALES_REV_TURN (2005)</t>
  </si>
  <si>
    <t>SALES_REV_TURN (2006)</t>
  </si>
  <si>
    <t>SALES_REV_TURN (2007)</t>
  </si>
  <si>
    <t>SALES_REV_TURN (2008)</t>
  </si>
  <si>
    <t>SALES_REV_TURN (2009)</t>
  </si>
  <si>
    <t>SALES_REV_TURN (2010)</t>
  </si>
  <si>
    <t>SALES_REV_TURN (2011)</t>
  </si>
  <si>
    <t>SALES_REV_TURN (2012)</t>
  </si>
  <si>
    <t>SALES_REV_TURN (2013)</t>
  </si>
  <si>
    <t>SALES_REV_TURN (2014)</t>
  </si>
  <si>
    <t>ARDR_OTHER_LT_DEBTORS_NON_REC (2004)</t>
  </si>
  <si>
    <t>ARDR_OTHER_LT_DEBTORS_NON_REC (2005)</t>
  </si>
  <si>
    <t>ARDR_OTHER_LT_DEBTORS_NON_REC (2006)</t>
  </si>
  <si>
    <t>ARDR_OTHER_LT_DEBTORS_NON_REC (2007)</t>
  </si>
  <si>
    <t>ARDR_OTHER_LT_DEBTORS_NON_REC (2008)</t>
  </si>
  <si>
    <t>ARDR_OTHER_LT_DEBTORS_NON_REC (2009)</t>
  </si>
  <si>
    <t>ARDR_OTHER_LT_DEBTORS_NON_REC (2010)</t>
  </si>
  <si>
    <t>ARDR_OTHER_LT_DEBTORS_NON_REC (2011)</t>
  </si>
  <si>
    <t>ARDR_OTHER_LT_DEBTORS_NON_REC (2012)</t>
  </si>
  <si>
    <t>ARDR_OTHER_LT_DEBTORS_NON_REC (2013)</t>
  </si>
  <si>
    <t>ARDR_OTHER_LT_DEBTORS_NON_REC (2014)</t>
  </si>
  <si>
    <t>IS_NET_NON_OPER_LOSS (2004)</t>
  </si>
  <si>
    <t>IS_NET_NON_OPER_LOSS (2005)</t>
  </si>
  <si>
    <t>IS_NET_NON_OPER_LOSS (2006)</t>
  </si>
  <si>
    <t>IS_NET_NON_OPER_LOSS (2007)</t>
  </si>
  <si>
    <t>IS_NET_NON_OPER_LOSS (2008)</t>
  </si>
  <si>
    <t>IS_NET_NON_OPER_LOSS (2009)</t>
  </si>
  <si>
    <t>IS_NET_NON_OPER_LOSS (2010)</t>
  </si>
  <si>
    <t>IS_NET_NON_OPER_LOSS (2011)</t>
  </si>
  <si>
    <t>IS_NET_NON_OPER_LOSS (2012)</t>
  </si>
  <si>
    <t>IS_NET_NON_OPER_LOSS (2013)</t>
  </si>
  <si>
    <t>IS_NET_NON_OPER_LOSS (2014)</t>
  </si>
  <si>
    <t>IS_EQY_EARN_FROM_INVEST_ASSOC (2004)</t>
  </si>
  <si>
    <t>IS_EQY_EARN_FROM_INVEST_ASSOC (2005)</t>
  </si>
  <si>
    <t>IS_EQY_EARN_FROM_INVEST_ASSOC (2006)</t>
  </si>
  <si>
    <t>IS_EQY_EARN_FROM_INVEST_ASSOC (2007)</t>
  </si>
  <si>
    <t>IS_EQY_EARN_FROM_INVEST_ASSOC (2008)</t>
  </si>
  <si>
    <t>IS_EQY_EARN_FROM_INVEST_ASSOC (2009)</t>
  </si>
  <si>
    <t>IS_EQY_EARN_FROM_INVEST_ASSOC (2010)</t>
  </si>
  <si>
    <t>IS_EQY_EARN_FROM_INVEST_ASSOC (2011)</t>
  </si>
  <si>
    <t>IS_EQY_EARN_FROM_INVEST_ASSOC (2012)</t>
  </si>
  <si>
    <t>IS_EQY_EARN_FROM_INVEST_ASSOC (2013)</t>
  </si>
  <si>
    <t>IS_EQY_EARN_FROM_INVEST_ASSOC (2014)</t>
  </si>
  <si>
    <t>BS_LT_INVEST (2004)</t>
  </si>
  <si>
    <t>BS_LT_INVEST (2005)</t>
  </si>
  <si>
    <t>BS_LT_INVEST (2006)</t>
  </si>
  <si>
    <t>BS_LT_INVEST (2007)</t>
  </si>
  <si>
    <t>BS_LT_INVEST (2008)</t>
  </si>
  <si>
    <t>BS_LT_INVEST (2009)</t>
  </si>
  <si>
    <t>BS_LT_INVEST (2010)</t>
  </si>
  <si>
    <t>BS_LT_INVEST (2011)</t>
  </si>
  <si>
    <t>BS_LT_INVEST (2012)</t>
  </si>
  <si>
    <t>BS_LT_INVEST (2013)</t>
  </si>
  <si>
    <t>BS_LT_INVEST (2014)</t>
  </si>
  <si>
    <t>ARDR_TRADE_DEBTORS_REC_LT (2004)</t>
  </si>
  <si>
    <t>ARDR_TRADE_DEBTORS_REC_LT (2005)</t>
  </si>
  <si>
    <t>ARDR_TRADE_DEBTORS_REC_LT (2006)</t>
  </si>
  <si>
    <t>ARDR_TRADE_DEBTORS_REC_LT (2007)</t>
  </si>
  <si>
    <t>ARDR_TRADE_DEBTORS_REC_LT (2008)</t>
  </si>
  <si>
    <t>ARDR_TRADE_DEBTORS_REC_LT (2009)</t>
  </si>
  <si>
    <t>ARDR_TRADE_DEBTORS_REC_LT (2010)</t>
  </si>
  <si>
    <t>ARDR_TRADE_DEBTORS_REC_LT (2011)</t>
  </si>
  <si>
    <t>ARDR_TRADE_DEBTORS_REC_LT (2012)</t>
  </si>
  <si>
    <t>ARDR_TRADE_DEBTORS_REC_LT (2013)</t>
  </si>
  <si>
    <t>ARDR_TRADE_DEBTORS_REC_LT (2014)</t>
  </si>
  <si>
    <t>ARDR_DEPOSITS_GUARANTEES (2004)</t>
  </si>
  <si>
    <t>ARDR_DEPOSITS_GUARANTEES (2005)</t>
  </si>
  <si>
    <t>ARDR_DEPOSITS_GUARANTEES (2006)</t>
  </si>
  <si>
    <t>ARDR_DEPOSITS_GUARANTEES (2007)</t>
  </si>
  <si>
    <t>ARDR_DEPOSITS_GUARANTEES (2008)</t>
  </si>
  <si>
    <t>ARDR_DEPOSITS_GUARANTEES (2009)</t>
  </si>
  <si>
    <t>ARDR_DEPOSITS_GUARANTEES (2010)</t>
  </si>
  <si>
    <t>ARDR_DEPOSITS_GUARANTEES (2011)</t>
  </si>
  <si>
    <t>ARDR_DEPOSITS_GUARANTEES (2012)</t>
  </si>
  <si>
    <t>ARDR_DEPOSITS_GUARANTEES (2013)</t>
  </si>
  <si>
    <t>ARDR_DEPOSITS_GUARANTEES (2014)</t>
  </si>
  <si>
    <t>ARDR_OTHER_RECEIVABLE_NET (2004)</t>
  </si>
  <si>
    <t>ARDR_OTHER_RECEIVABLE_NET (2005)</t>
  </si>
  <si>
    <t>ARDR_OTHER_RECEIVABLE_NET (2006)</t>
  </si>
  <si>
    <t>ARDR_OTHER_RECEIVABLE_NET (2007)</t>
  </si>
  <si>
    <t>ARDR_OTHER_RECEIVABLE_NET (2008)</t>
  </si>
  <si>
    <t>ARDR_OTHER_RECEIVABLE_NET (2009)</t>
  </si>
  <si>
    <t>ARDR_OTHER_RECEIVABLE_NET (2010)</t>
  </si>
  <si>
    <t>ARDR_OTHER_RECEIVABLE_NET (2011)</t>
  </si>
  <si>
    <t>ARDR_OTHER_RECEIVABLE_NET (2012)</t>
  </si>
  <si>
    <t>ARDR_OTHER_RECEIVABLE_NET (2013)</t>
  </si>
  <si>
    <t>ARDR_OTHER_RECEIVABLE_NET (2014)</t>
  </si>
  <si>
    <t>BRITAIN</t>
  </si>
  <si>
    <t>Capex/Sales</t>
  </si>
  <si>
    <t>ARD_ST_INVEST</t>
  </si>
  <si>
    <t>ARD_ST_INVEST (2004)</t>
  </si>
  <si>
    <t>ARD_ST_INVEST (2005)</t>
  </si>
  <si>
    <t>ARD_ST_INVEST (2006)</t>
  </si>
  <si>
    <t>ARD_ST_INVEST (2007)</t>
  </si>
  <si>
    <t>ARD_ST_INVEST (2008)</t>
  </si>
  <si>
    <t>ARD_ST_INVEST (2009)</t>
  </si>
  <si>
    <t>ARD_ST_INVEST (2010)</t>
  </si>
  <si>
    <t>ARD_ST_INVEST (2011)</t>
  </si>
  <si>
    <t>ARD_ST_INVEST (2012)</t>
  </si>
  <si>
    <t>ARD_ST_INVEST (2013)</t>
  </si>
  <si>
    <t>ARD_ST_INVEST (2014)</t>
  </si>
  <si>
    <t>NWC (outflow)/inflow</t>
  </si>
  <si>
    <t>TSS US Equity</t>
  </si>
  <si>
    <t>FIS US Equity</t>
  </si>
  <si>
    <t>Method 1 or 2</t>
  </si>
  <si>
    <t>CAPEX (FAS)</t>
  </si>
  <si>
    <t>Capex/Dep. Ratio (Forecasted)</t>
  </si>
  <si>
    <t>Capex/Dep. Ratio (Override)</t>
  </si>
  <si>
    <t xml:space="preserve">Use flat ave. IA/Amort. </t>
  </si>
  <si>
    <t>Flatline</t>
  </si>
  <si>
    <t>same fromulas in all years</t>
  </si>
  <si>
    <t>Color key</t>
  </si>
  <si>
    <t>Checks</t>
  </si>
  <si>
    <t>EBITA Margin delta</t>
  </si>
  <si>
    <t>EBIT Margin delta</t>
  </si>
  <si>
    <t>Depreciation % Sales</t>
  </si>
  <si>
    <t>EBITDA Margin delta</t>
  </si>
  <si>
    <t>ARD_PURCH_CAPITAL_COMP_SOFTWARE</t>
  </si>
  <si>
    <t>ARD_PURCH_CAPITAL_COMP_SOFTWARE (2004)</t>
  </si>
  <si>
    <t>ARD_PURCH_CAPITAL_COMP_SOFTWARE (2005)</t>
  </si>
  <si>
    <t>ARD_PURCH_CAPITAL_COMP_SOFTWARE (2006)</t>
  </si>
  <si>
    <t>ARD_PURCH_CAPITAL_COMP_SOFTWARE (2007)</t>
  </si>
  <si>
    <t>ARD_PURCH_CAPITAL_COMP_SOFTWARE (2008)</t>
  </si>
  <si>
    <t>ARD_PURCH_CAPITAL_COMP_SOFTWARE (2009)</t>
  </si>
  <si>
    <t>ARD_PURCH_CAPITAL_COMP_SOFTWARE (2010)</t>
  </si>
  <si>
    <t>ARD_PURCH_CAPITAL_COMP_SOFTWARE (2011)</t>
  </si>
  <si>
    <t>ARD_PURCH_CAPITAL_COMP_SOFTWARE (2012)</t>
  </si>
  <si>
    <t>ARD_PURCH_CAPITAL_COMP_SOFTWARE (2013)</t>
  </si>
  <si>
    <t>ARD_PURCH_CAPITAL_COMP_SOFTWARE (2014)</t>
  </si>
  <si>
    <t>Purchased/Capitalized Computer Software</t>
  </si>
  <si>
    <t>Investment in intangibles workings</t>
  </si>
  <si>
    <t>Intangibles investment (FAS)</t>
  </si>
  <si>
    <t>This line has been changed to exclude CF Amort and Dep</t>
  </si>
  <si>
    <t>Depreciation - HC</t>
  </si>
  <si>
    <t>IC % change</t>
  </si>
  <si>
    <t>IC (ex-gw) % change</t>
  </si>
  <si>
    <t>Ticker</t>
  </si>
  <si>
    <t>Amortization - HC</t>
  </si>
  <si>
    <t>Calculation (method 2: implied from D&amp;A)</t>
  </si>
  <si>
    <t>Calculation (method 1: EBITDA - Dep - EBIT)</t>
  </si>
  <si>
    <t>Checklist</t>
  </si>
  <si>
    <t xml:space="preserve">Amortization </t>
  </si>
  <si>
    <t>Amortization switches</t>
  </si>
  <si>
    <t>Capex OK?</t>
  </si>
  <si>
    <t>calculation options</t>
  </si>
  <si>
    <t>method 1</t>
  </si>
  <si>
    <t>method 2</t>
  </si>
  <si>
    <t>method 3</t>
  </si>
  <si>
    <t>WIN GR Equity</t>
  </si>
  <si>
    <t>DBD US Equity</t>
  </si>
  <si>
    <t>NCR US Equity</t>
  </si>
  <si>
    <t>002152 CH Equity</t>
  </si>
  <si>
    <t>AMORT_OF_GOODWILL (2015)</t>
  </si>
  <si>
    <t>ARD_ALLOW_FOR_DOUBTFUL_ACCTS_LT (2015)</t>
  </si>
  <si>
    <t>ARD_AMORT_EXP (2015)</t>
  </si>
  <si>
    <t>ARD_AMORT_IMPAIR_INTANG_ASSETS (2015)</t>
  </si>
  <si>
    <t>ARD_AMORT_IMPAIR_OF_INTANGIBLES (2015)</t>
  </si>
  <si>
    <t>ARD_AMORT_OF_INTANGIBLE_ASSETS (2015)</t>
  </si>
  <si>
    <t>ARD_AMORTIZATION_CF (2015)</t>
  </si>
  <si>
    <t>ARD_AMORTIZATION_GOODWILL_CF (2015)</t>
  </si>
  <si>
    <t>ARD_AMORTIZATION_OF_GOODWILL_IS (2015)</t>
  </si>
  <si>
    <t>ARD_AMORTIZATION_OF_INTANGIBLE (2015)</t>
  </si>
  <si>
    <t>ARD_AMORTIZATION_OF_SOFTWARE (2015)</t>
  </si>
  <si>
    <t>ARD_AMORTIZATION_OF_SOFTWARE_IS (2015)</t>
  </si>
  <si>
    <t>ARD_AMOT_IMPAIRMENT_GOODWILL (2015)</t>
  </si>
  <si>
    <t>ARD_ASSETS_HELD_FOR_SALE_LT (2015)</t>
  </si>
  <si>
    <t>ARD_CASH_AND_EQUIVALENTS (2015)</t>
  </si>
  <si>
    <t>ARD_CURRENT_PORTION_OF_LT_DEBT (2015)</t>
  </si>
  <si>
    <t>ARD_DEFERRED_COSTS (2015)</t>
  </si>
  <si>
    <t>ARD_DEFERRED_INC_TAX_ASSET_LT (2015)</t>
  </si>
  <si>
    <t>ARD_DEFERRED_TAX_ASSETS_LT (2015)</t>
  </si>
  <si>
    <t>ARD_DEPR_AMORT_AND_WRITE_DOWNS (2015)</t>
  </si>
  <si>
    <t>ARD_DEPR_IMPAIRMENT_FIXED_ASSETS (2015)</t>
  </si>
  <si>
    <t>ARD_DEPREC_AMORT_WRITE_DOWNS (2015)</t>
  </si>
  <si>
    <t>ARD_DEPRECIATION_AMORT_IMPAIRMNT (2015)</t>
  </si>
  <si>
    <t>ARD_DEPRECIATION_AMORTIZATION (2015)</t>
  </si>
  <si>
    <t>ARD_DEPRECIATION_AND_AMORT_CF (2015)</t>
  </si>
  <si>
    <t>ARD_DEPRECIATION_EXP (2015)</t>
  </si>
  <si>
    <t>ARD_DERIVATIVE_ASSET_LT (2015)</t>
  </si>
  <si>
    <t>ARD_EQY_INVEST_ASSOC_AFFILIATES (2015)</t>
  </si>
  <si>
    <t>ARD_GOODWILL_WRITTEN_OFF_AMOR_IS (2015)</t>
  </si>
  <si>
    <t>ARD_GOODWLL (2015)</t>
  </si>
  <si>
    <t>ARD_INTANG_ASSETS_EXCL_GOODWILL (2015)</t>
  </si>
  <si>
    <t>ARD_INVESTMENT_IN_AFFILIATE_JV (2015)</t>
  </si>
  <si>
    <t>ARD_LICENSES (2015)</t>
  </si>
  <si>
    <t>ARD_LONG_TERM_LOANS (2015)</t>
  </si>
  <si>
    <t>ARD_LONG_TERM_LOANS_OTHER_DEBTOR (2015)</t>
  </si>
  <si>
    <t>ARD_LT_INVEST (2015)</t>
  </si>
  <si>
    <t>ARD_MARKETABLE_SECURITIES (2015)</t>
  </si>
  <si>
    <t>ARD_NET_EQTY_INVEST_JV_ASSOC (2015)</t>
  </si>
  <si>
    <t>ARD_NON_CUR_MKT_SEC (2015)</t>
  </si>
  <si>
    <t>ARD_OTHER_FINANCIAL_ASSETS_LT (2015)</t>
  </si>
  <si>
    <t>ARD_OTHER_INTANGIBLE_ASSET (2015)</t>
  </si>
  <si>
    <t>ARD_OTHER_INVEST_OTHER_ASSETS (2015)</t>
  </si>
  <si>
    <t>ARD_OTHER_NONCURRENT_ASSET (2015)</t>
  </si>
  <si>
    <t>ARD_OTHER_RECEIVABLES_LT (2015)</t>
  </si>
  <si>
    <t>ARD_PLANT_AND_EQUIPMENT_NET (2015)</t>
  </si>
  <si>
    <t>ARD_PREPAID_PEN_POSTRETIRE_BEN (2015)</t>
  </si>
  <si>
    <t>ARD_PROPERTY_PLANT_EQUIP_NET (2015)</t>
  </si>
  <si>
    <t>ARD_REVENUES (2015)</t>
  </si>
  <si>
    <t>ARD_ST_BORROW (2015)</t>
  </si>
  <si>
    <t>ARD_TOT_ASSETS (2015)</t>
  </si>
  <si>
    <t>ARD_TOTAL_CUR_ASSETS (2015)</t>
  </si>
  <si>
    <t>ARD_TOTAL_CURRENT_LIABILITIES (2015)</t>
  </si>
  <si>
    <t>ARD_TOTAL_INTANGIBLE_ASSET_NET (2015)</t>
  </si>
  <si>
    <t>ARDJ_DEP_INC_STA (2015)</t>
  </si>
  <si>
    <t>ARDR_AMORT_EXP (2015)</t>
  </si>
  <si>
    <t>ARDR_AMORT_IMPAIR_OF_INTANGIBLES (2015)</t>
  </si>
  <si>
    <t>ARDR_AMORT_OF_INTANGIBLE_ASSETS (2015)</t>
  </si>
  <si>
    <t>ARDR_AMORTIZATION_CF (2015)</t>
  </si>
  <si>
    <t>ARDR_AMORTIZATION_GOODWILL (2015)</t>
  </si>
  <si>
    <t>ARD_PURCH_CAPITAL_COMP_SOFTWARE (2015)</t>
  </si>
  <si>
    <t>ARDR_AMORTIZATION_OF_INTANGIBLE (2015)</t>
  </si>
  <si>
    <t>ARDR_AMOT_IMPAIRMENT_GOODWILL (2015)</t>
  </si>
  <si>
    <t>ARDR_CASH_AND_EQUIVALENTS (2015)</t>
  </si>
  <si>
    <t>ARDR_DEPR_AMORT_IMPAIRMNT (2015)</t>
  </si>
  <si>
    <t>ARDR_DEPREC_AMORT_WRITE_DOWNS (2015)</t>
  </si>
  <si>
    <t>ARDR_DEPRECIATION_AMORTIZATION (2015)</t>
  </si>
  <si>
    <t>ARDR_DEPRECIATION_AND_AMORT_CF (2015)</t>
  </si>
  <si>
    <t>ARDR_INVEST_UNCONSOL_SUBSID (2015)</t>
  </si>
  <si>
    <t>ARDR_OTHER_INTANGIBLE_ASSET (2015)</t>
  </si>
  <si>
    <t>ARDR_OTHER_INTANGIBLES_NET (2015)</t>
  </si>
  <si>
    <t>ARDR_OTHER_LT_INVESTMENTS (2015)</t>
  </si>
  <si>
    <t>ARDR_PROPERTY_PLANT_EQUIP_NET (2015)</t>
  </si>
  <si>
    <t>BS_CASH_NEAR_CASH_ITEM (2015)</t>
  </si>
  <si>
    <t>BS_CUR_ASSET_REPORT (2015)</t>
  </si>
  <si>
    <t>BS_CUR_LIAB (2015)</t>
  </si>
  <si>
    <t>BS_DISCLOSED_INTANGIBLES (2015)</t>
  </si>
  <si>
    <t>BS_GOODWILL (2015)</t>
  </si>
  <si>
    <t>BS_NET_FIX_ASSET (2015)</t>
  </si>
  <si>
    <t>BS_ST_BORROW (2015)</t>
  </si>
  <si>
    <t>BS_ST_DEBT (2015)</t>
  </si>
  <si>
    <t>BS_TOT_ASSET (2015)</t>
  </si>
  <si>
    <t>CF_CAP_EXPEND_INC_FIX_ASSET (2015)</t>
  </si>
  <si>
    <t>CF_CAP_EXPEND_PRPTY_ADD (2015)</t>
  </si>
  <si>
    <t>CF_DEPR_AMORT (2015)</t>
  </si>
  <si>
    <t>EBIT (2015)</t>
  </si>
  <si>
    <t>EBITDA (2015)</t>
  </si>
  <si>
    <t>IS_COMP_SALES (2015)</t>
  </si>
  <si>
    <t>IS_DEPR_EXP (2015)</t>
  </si>
  <si>
    <t>IS_OPER_INC (2015)</t>
  </si>
  <si>
    <t>NET DEBT (2015)</t>
  </si>
  <si>
    <t>SALES_REV_TURN (2015)</t>
  </si>
  <si>
    <t>ARDR_OTHER_LT_DEBTORS_NON_REC (2015)</t>
  </si>
  <si>
    <t>IS_NET_NON_OPER_LOSS (2015)</t>
  </si>
  <si>
    <t>IS_EQY_EARN_FROM_INVEST_ASSOC (2015)</t>
  </si>
  <si>
    <t>BS_LT_INVEST (2015)</t>
  </si>
  <si>
    <t>ARDR_TRADE_DEBTORS_REC_LT (2015)</t>
  </si>
  <si>
    <t>ARDR_DEPOSITS_GUARANTEES (2015)</t>
  </si>
  <si>
    <t>ARDR_OTHER_RECEIVABLE_NET (2015)</t>
  </si>
  <si>
    <t>ARD_ST_INVEST (2015)</t>
  </si>
  <si>
    <t>ARD_INVESTMENT_PROPERTY</t>
  </si>
  <si>
    <t>ARD_INVESTMENT_PROPERTY (2004)</t>
  </si>
  <si>
    <t>ARD_INVESTMENT_PROPERTY (2005)</t>
  </si>
  <si>
    <t>ARD_INVESTMENT_PROPERTY (2006)</t>
  </si>
  <si>
    <t>ARD_INVESTMENT_PROPERTY (2007)</t>
  </si>
  <si>
    <t>ARD_INVESTMENT_PROPERTY (2008)</t>
  </si>
  <si>
    <t>ARD_INVESTMENT_PROPERTY (2009)</t>
  </si>
  <si>
    <t>ARD_INVESTMENT_PROPERTY (2010)</t>
  </si>
  <si>
    <t>ARD_INVESTMENT_PROPERTY (2011)</t>
  </si>
  <si>
    <t>ARD_INVESTMENT_PROPERTY (2012)</t>
  </si>
  <si>
    <t>ARD_INVESTMENT_PROPERTY (2013)</t>
  </si>
  <si>
    <t>ARD_INVESTMENT_PROPERTY (2014)</t>
  </si>
  <si>
    <t>ARD_INVESTMENT_PROPERTY (2015)</t>
  </si>
  <si>
    <t>18Y</t>
  </si>
  <si>
    <t>Bloomberg (method 7) Blank</t>
  </si>
  <si>
    <t>(blank)</t>
  </si>
  <si>
    <t>CHECK!</t>
  </si>
  <si>
    <t>Bloomberg (method 2) (holder)</t>
  </si>
  <si>
    <t>ARD_TRADE_DEBTORS_RECEIVABLES_LT</t>
  </si>
  <si>
    <t>ARD_TRADE_DEBTORS_RECEIVABLES_LT (2004)</t>
  </si>
  <si>
    <t>ARD_TRADE_DEBTORS_RECEIVABLES_LT (2005)</t>
  </si>
  <si>
    <t>ARD_TRADE_DEBTORS_RECEIVABLES_LT (2006)</t>
  </si>
  <si>
    <t>ARD_TRADE_DEBTORS_RECEIVABLES_LT (2007)</t>
  </si>
  <si>
    <t>ARD_TRADE_DEBTORS_RECEIVABLES_LT (2008)</t>
  </si>
  <si>
    <t>ARD_TRADE_DEBTORS_RECEIVABLES_LT (2009)</t>
  </si>
  <si>
    <t>ARD_TRADE_DEBTORS_RECEIVABLES_LT (2010)</t>
  </si>
  <si>
    <t>ARD_TRADE_DEBTORS_RECEIVABLES_LT (2011)</t>
  </si>
  <si>
    <t>ARD_TRADE_DEBTORS_RECEIVABLES_LT (2012)</t>
  </si>
  <si>
    <t>ARD_TRADE_DEBTORS_RECEIVABLES_LT (2013)</t>
  </si>
  <si>
    <t>ARD_TRADE_DEBTORS_RECEIVABLES_LT (2014)</t>
  </si>
  <si>
    <t>ARD_TRADE_DEBTORS_RECEIVABLES_LT (2015)</t>
  </si>
  <si>
    <t>ARD_OTHER_LT_INVESTMENTS</t>
  </si>
  <si>
    <t>ARD_OTHER_LT_INVESTMENTS (2004)</t>
  </si>
  <si>
    <t>ARD_OTHER_LT_INVESTMENTS (2005)</t>
  </si>
  <si>
    <t>ARD_OTHER_LT_INVESTMENTS (2006)</t>
  </si>
  <si>
    <t>ARD_OTHER_LT_INVESTMENTS (2007)</t>
  </si>
  <si>
    <t>ARD_OTHER_LT_INVESTMENTS (2008)</t>
  </si>
  <si>
    <t>ARD_OTHER_LT_INVESTMENTS (2009)</t>
  </si>
  <si>
    <t>ARD_OTHER_LT_INVESTMENTS (2010)</t>
  </si>
  <si>
    <t>ARD_OTHER_LT_INVESTMENTS (2011)</t>
  </si>
  <si>
    <t>ARD_OTHER_LT_INVESTMENTS (2012)</t>
  </si>
  <si>
    <t>ARD_OTHER_LT_INVESTMENTS (2013)</t>
  </si>
  <si>
    <t>ARD_OTHER_LT_INVESTMENTS (2014)</t>
  </si>
  <si>
    <t>ARD_OTHER_LT_INVESTMENTS (2015)</t>
  </si>
  <si>
    <t>FAS Ticker</t>
  </si>
  <si>
    <t>hard coded</t>
  </si>
  <si>
    <t>STABLE?</t>
  </si>
  <si>
    <t>PPE Turnover</t>
  </si>
  <si>
    <t>Current Assets</t>
  </si>
  <si>
    <t>Other Noncurrent Assets</t>
  </si>
  <si>
    <t>Other Noncurrent Assets - Adj.</t>
  </si>
  <si>
    <t>Note</t>
  </si>
  <si>
    <t>Other Assets includes Intagibles that should be removed</t>
  </si>
  <si>
    <t xml:space="preserve">Years to Capex/dep. </t>
  </si>
  <si>
    <t xml:space="preserve">Nomalisation at </t>
  </si>
  <si>
    <t>ARD_INVEST_SEC_AVAIL_FOR_SALE (2004)</t>
  </si>
  <si>
    <t>ARD_INVEST_SEC_AVAIL_FOR_SALE (2005)</t>
  </si>
  <si>
    <t>ARD_INVEST_SEC_AVAIL_FOR_SALE (2006)</t>
  </si>
  <si>
    <t>ARD_INVEST_SEC_AVAIL_FOR_SALE (2007)</t>
  </si>
  <si>
    <t>ARD_INVEST_SEC_AVAIL_FOR_SALE (2008)</t>
  </si>
  <si>
    <t>ARD_INVEST_SEC_AVAIL_FOR_SALE (2009)</t>
  </si>
  <si>
    <t>ARD_INVEST_SEC_AVAIL_FOR_SALE (2010)</t>
  </si>
  <si>
    <t>ARD_INVEST_SEC_AVAIL_FOR_SALE (2011)</t>
  </si>
  <si>
    <t>ARD_INVEST_SEC_AVAIL_FOR_SALE (2012)</t>
  </si>
  <si>
    <t>ARD_INVEST_SEC_AVAIL_FOR_SALE (2013)</t>
  </si>
  <si>
    <t>ARD_INVEST_SEC_AVAIL_FOR_SALE (2014)</t>
  </si>
  <si>
    <t>ARD_INVEST_SEC_AVAIL_FOR_SALE (2015)</t>
  </si>
  <si>
    <t>ARD_INVEST_SEC_AVAIL_FOR_SALE</t>
  </si>
  <si>
    <t>Bloomberg (field 4)</t>
  </si>
  <si>
    <t>ARD_PURCHASE_OF_INTANGIBLES (2004)</t>
  </si>
  <si>
    <t>ARD_PURCHASE_OF_INTANGIBLES (2005)</t>
  </si>
  <si>
    <t>ARD_PURCHASE_OF_INTANGIBLES (2006)</t>
  </si>
  <si>
    <t>ARD_PURCHASE_OF_INTANGIBLES (2007)</t>
  </si>
  <si>
    <t>ARD_PURCHASE_OF_INTANGIBLES (2008)</t>
  </si>
  <si>
    <t>ARD_PURCHASE_OF_INTANGIBLES (2009)</t>
  </si>
  <si>
    <t>ARD_PURCHASE_OF_INTANGIBLES (2010)</t>
  </si>
  <si>
    <t>ARD_PURCHASE_OF_INTANGIBLES (2011)</t>
  </si>
  <si>
    <t>ARD_PURCHASE_OF_INTANGIBLES (2012)</t>
  </si>
  <si>
    <t>ARD_PURCHASE_OF_INTANGIBLES (2013)</t>
  </si>
  <si>
    <t>ARD_PURCHASE_OF_INTANGIBLES (2014)</t>
  </si>
  <si>
    <t>ARD_PURCHASE_OF_INTANGIBLES (2015)</t>
  </si>
  <si>
    <t>ARD_PURCHASE_OF_INTANGIBLES</t>
  </si>
  <si>
    <t>ARD_PENSION_POSTRETIREMNT_LIAB</t>
  </si>
  <si>
    <t>CF_ACQ_OF_FXD_&amp;_INTANGIBLES</t>
  </si>
  <si>
    <t>CF_ACQUISITION_OF_INTANG_ASSETS</t>
  </si>
  <si>
    <t>ARDR_PURCHASE_OF_INTANGIBLES</t>
  </si>
  <si>
    <t>ARD_ADDITIONS_FIXED_INTANG_ASSET</t>
  </si>
  <si>
    <t>IS_R&amp;D_GAAP</t>
  </si>
  <si>
    <t>IS_OPEX_R&amp;D_GAAP</t>
  </si>
  <si>
    <t>ARD_R&amp;D_EXPENDITURES</t>
  </si>
  <si>
    <t>IS_R&amp;D_EXPENSE_NONGAAP_ADJUST</t>
  </si>
  <si>
    <t>ARD_ACQUIRED_IN_PROCESS_R&amp;D</t>
  </si>
  <si>
    <t>ARDR_ACQUIRED_IN_PROCESS_R&amp;D</t>
  </si>
  <si>
    <t>ARD_R&amp;D_EXPENSES_WITHIN_SGA</t>
  </si>
  <si>
    <t>ARD_R&amp;D_EXPENSES_WITHIN_CGS</t>
  </si>
  <si>
    <t>ARDR_R&amp;D_EXPENDITURES</t>
  </si>
  <si>
    <t>ARDR_EXPEND_INCUR_ON_R&amp;D_RECUR</t>
  </si>
  <si>
    <t>ARDR_R&amp;D_EXPENSES_WITHIN_SGA</t>
  </si>
  <si>
    <t>ARDR_R_D_EXPENSES_COG</t>
  </si>
  <si>
    <t>ARDR_NON_GAAP_R&amp;D</t>
  </si>
  <si>
    <t>CF_ACQ_OF_FXD_&amp;_INTANGIBLES (2004)</t>
  </si>
  <si>
    <t>CF_ACQ_OF_FXD_&amp;_INTANGIBLES (2005)</t>
  </si>
  <si>
    <t>CF_ACQ_OF_FXD_&amp;_INTANGIBLES (2006)</t>
  </si>
  <si>
    <t>CF_ACQ_OF_FXD_&amp;_INTANGIBLES (2007)</t>
  </si>
  <si>
    <t>CF_ACQ_OF_FXD_&amp;_INTANGIBLES (2008)</t>
  </si>
  <si>
    <t>CF_ACQ_OF_FXD_&amp;_INTANGIBLES (2009)</t>
  </si>
  <si>
    <t>CF_ACQ_OF_FXD_&amp;_INTANGIBLES (2010)</t>
  </si>
  <si>
    <t>CF_ACQ_OF_FXD_&amp;_INTANGIBLES (2011)</t>
  </si>
  <si>
    <t>CF_ACQ_OF_FXD_&amp;_INTANGIBLES (2012)</t>
  </si>
  <si>
    <t>CF_ACQ_OF_FXD_&amp;_INTANGIBLES (2013)</t>
  </si>
  <si>
    <t>CF_ACQ_OF_FXD_&amp;_INTANGIBLES (2014)</t>
  </si>
  <si>
    <t>CF_ACQ_OF_FXD_&amp;_INTANGIBLES (2015)</t>
  </si>
  <si>
    <t>CF_ACQUISITION_OF_INTANG_ASSETS (2004)</t>
  </si>
  <si>
    <t>CF_ACQUISITION_OF_INTANG_ASSETS (2005)</t>
  </si>
  <si>
    <t>CF_ACQUISITION_OF_INTANG_ASSETS (2006)</t>
  </si>
  <si>
    <t>CF_ACQUISITION_OF_INTANG_ASSETS (2007)</t>
  </si>
  <si>
    <t>CF_ACQUISITION_OF_INTANG_ASSETS (2008)</t>
  </si>
  <si>
    <t>CF_ACQUISITION_OF_INTANG_ASSETS (2009)</t>
  </si>
  <si>
    <t>CF_ACQUISITION_OF_INTANG_ASSETS (2010)</t>
  </si>
  <si>
    <t>CF_ACQUISITION_OF_INTANG_ASSETS (2011)</t>
  </si>
  <si>
    <t>CF_ACQUISITION_OF_INTANG_ASSETS (2012)</t>
  </si>
  <si>
    <t>CF_ACQUISITION_OF_INTANG_ASSETS (2013)</t>
  </si>
  <si>
    <t>CF_ACQUISITION_OF_INTANG_ASSETS (2014)</t>
  </si>
  <si>
    <t>CF_ACQUISITION_OF_INTANG_ASSETS (2015)</t>
  </si>
  <si>
    <t>ARDR_PURCHASE_OF_INTANGIBLES (2004)</t>
  </si>
  <si>
    <t>ARDR_PURCHASE_OF_INTANGIBLES (2005)</t>
  </si>
  <si>
    <t>ARDR_PURCHASE_OF_INTANGIBLES (2006)</t>
  </si>
  <si>
    <t>ARDR_PURCHASE_OF_INTANGIBLES (2007)</t>
  </si>
  <si>
    <t>ARDR_PURCHASE_OF_INTANGIBLES (2008)</t>
  </si>
  <si>
    <t>ARDR_PURCHASE_OF_INTANGIBLES (2009)</t>
  </si>
  <si>
    <t>ARDR_PURCHASE_OF_INTANGIBLES (2010)</t>
  </si>
  <si>
    <t>ARDR_PURCHASE_OF_INTANGIBLES (2011)</t>
  </si>
  <si>
    <t>ARDR_PURCHASE_OF_INTANGIBLES (2012)</t>
  </si>
  <si>
    <t>ARDR_PURCHASE_OF_INTANGIBLES (2013)</t>
  </si>
  <si>
    <t>ARDR_PURCHASE_OF_INTANGIBLES (2014)</t>
  </si>
  <si>
    <t>ARDR_PURCHASE_OF_INTANGIBLES (2015)</t>
  </si>
  <si>
    <t>ARD_ADDITIONS_FIXED_INTANG_ASSET (2004)</t>
  </si>
  <si>
    <t>ARD_ADDITIONS_FIXED_INTANG_ASSET (2005)</t>
  </si>
  <si>
    <t>ARD_ADDITIONS_FIXED_INTANG_ASSET (2006)</t>
  </si>
  <si>
    <t>ARD_ADDITIONS_FIXED_INTANG_ASSET (2007)</t>
  </si>
  <si>
    <t>ARD_ADDITIONS_FIXED_INTANG_ASSET (2008)</t>
  </si>
  <si>
    <t>ARD_ADDITIONS_FIXED_INTANG_ASSET (2009)</t>
  </si>
  <si>
    <t>ARD_ADDITIONS_FIXED_INTANG_ASSET (2010)</t>
  </si>
  <si>
    <t>ARD_ADDITIONS_FIXED_INTANG_ASSET (2011)</t>
  </si>
  <si>
    <t>ARD_ADDITIONS_FIXED_INTANG_ASSET (2012)</t>
  </si>
  <si>
    <t>ARD_ADDITIONS_FIXED_INTANG_ASSET (2013)</t>
  </si>
  <si>
    <t>ARD_ADDITIONS_FIXED_INTANG_ASSET (2014)</t>
  </si>
  <si>
    <t>ARD_ADDITIONS_FIXED_INTANG_ASSET (2015)</t>
  </si>
  <si>
    <t>IS_R&amp;D_GAAP (2004)</t>
  </si>
  <si>
    <t>IS_R&amp;D_GAAP (2005)</t>
  </si>
  <si>
    <t>IS_R&amp;D_GAAP (2006)</t>
  </si>
  <si>
    <t>IS_R&amp;D_GAAP (2007)</t>
  </si>
  <si>
    <t>IS_R&amp;D_GAAP (2008)</t>
  </si>
  <si>
    <t>IS_R&amp;D_GAAP (2009)</t>
  </si>
  <si>
    <t>IS_R&amp;D_GAAP (2010)</t>
  </si>
  <si>
    <t>IS_R&amp;D_GAAP (2011)</t>
  </si>
  <si>
    <t>IS_R&amp;D_GAAP (2012)</t>
  </si>
  <si>
    <t>IS_R&amp;D_GAAP (2013)</t>
  </si>
  <si>
    <t>IS_R&amp;D_GAAP (2014)</t>
  </si>
  <si>
    <t>IS_R&amp;D_GAAP (2015)</t>
  </si>
  <si>
    <t>IS_OPEX_R&amp;D_GAAP (2004)</t>
  </si>
  <si>
    <t>IS_OPEX_R&amp;D_GAAP (2005)</t>
  </si>
  <si>
    <t>IS_OPEX_R&amp;D_GAAP (2006)</t>
  </si>
  <si>
    <t>IS_OPEX_R&amp;D_GAAP (2007)</t>
  </si>
  <si>
    <t>IS_OPEX_R&amp;D_GAAP (2008)</t>
  </si>
  <si>
    <t>IS_OPEX_R&amp;D_GAAP (2009)</t>
  </si>
  <si>
    <t>IS_OPEX_R&amp;D_GAAP (2010)</t>
  </si>
  <si>
    <t>IS_OPEX_R&amp;D_GAAP (2011)</t>
  </si>
  <si>
    <t>IS_OPEX_R&amp;D_GAAP (2012)</t>
  </si>
  <si>
    <t>IS_OPEX_R&amp;D_GAAP (2013)</t>
  </si>
  <si>
    <t>IS_OPEX_R&amp;D_GAAP (2014)</t>
  </si>
  <si>
    <t>IS_OPEX_R&amp;D_GAAP (2015)</t>
  </si>
  <si>
    <t>ARD_R&amp;D_EXPENDITURES (2004)</t>
  </si>
  <si>
    <t>ARD_R&amp;D_EXPENDITURES (2005)</t>
  </si>
  <si>
    <t>ARD_R&amp;D_EXPENDITURES (2006)</t>
  </si>
  <si>
    <t>ARD_R&amp;D_EXPENDITURES (2007)</t>
  </si>
  <si>
    <t>ARD_R&amp;D_EXPENDITURES (2008)</t>
  </si>
  <si>
    <t>ARD_R&amp;D_EXPENDITURES (2009)</t>
  </si>
  <si>
    <t>ARD_R&amp;D_EXPENDITURES (2010)</t>
  </si>
  <si>
    <t>ARD_R&amp;D_EXPENDITURES (2011)</t>
  </si>
  <si>
    <t>ARD_R&amp;D_EXPENDITURES (2012)</t>
  </si>
  <si>
    <t>ARD_R&amp;D_EXPENDITURES (2013)</t>
  </si>
  <si>
    <t>ARD_R&amp;D_EXPENDITURES (2014)</t>
  </si>
  <si>
    <t>ARD_R&amp;D_EXPENDITURES (2015)</t>
  </si>
  <si>
    <t>IS_R&amp;D_EXPENSE_NONGAAP_ADJUST (2004)</t>
  </si>
  <si>
    <t>IS_R&amp;D_EXPENSE_NONGAAP_ADJUST (2005)</t>
  </si>
  <si>
    <t>IS_R&amp;D_EXPENSE_NONGAAP_ADJUST (2006)</t>
  </si>
  <si>
    <t>IS_R&amp;D_EXPENSE_NONGAAP_ADJUST (2007)</t>
  </si>
  <si>
    <t>IS_R&amp;D_EXPENSE_NONGAAP_ADJUST (2008)</t>
  </si>
  <si>
    <t>IS_R&amp;D_EXPENSE_NONGAAP_ADJUST (2009)</t>
  </si>
  <si>
    <t>IS_R&amp;D_EXPENSE_NONGAAP_ADJUST (2010)</t>
  </si>
  <si>
    <t>IS_R&amp;D_EXPENSE_NONGAAP_ADJUST (2011)</t>
  </si>
  <si>
    <t>IS_R&amp;D_EXPENSE_NONGAAP_ADJUST (2012)</t>
  </si>
  <si>
    <t>IS_R&amp;D_EXPENSE_NONGAAP_ADJUST (2013)</t>
  </si>
  <si>
    <t>IS_R&amp;D_EXPENSE_NONGAAP_ADJUST (2014)</t>
  </si>
  <si>
    <t>IS_R&amp;D_EXPENSE_NONGAAP_ADJUST (2015)</t>
  </si>
  <si>
    <t>ARD_ACQUIRED_IN_PROCESS_R&amp;D (2004)</t>
  </si>
  <si>
    <t>ARD_ACQUIRED_IN_PROCESS_R&amp;D (2005)</t>
  </si>
  <si>
    <t>ARD_ACQUIRED_IN_PROCESS_R&amp;D (2006)</t>
  </si>
  <si>
    <t>ARD_ACQUIRED_IN_PROCESS_R&amp;D (2007)</t>
  </si>
  <si>
    <t>ARD_ACQUIRED_IN_PROCESS_R&amp;D (2008)</t>
  </si>
  <si>
    <t>ARD_ACQUIRED_IN_PROCESS_R&amp;D (2009)</t>
  </si>
  <si>
    <t>ARD_ACQUIRED_IN_PROCESS_R&amp;D (2010)</t>
  </si>
  <si>
    <t>ARD_ACQUIRED_IN_PROCESS_R&amp;D (2011)</t>
  </si>
  <si>
    <t>ARD_ACQUIRED_IN_PROCESS_R&amp;D (2012)</t>
  </si>
  <si>
    <t>ARD_ACQUIRED_IN_PROCESS_R&amp;D (2013)</t>
  </si>
  <si>
    <t>ARD_ACQUIRED_IN_PROCESS_R&amp;D (2014)</t>
  </si>
  <si>
    <t>ARD_ACQUIRED_IN_PROCESS_R&amp;D (2015)</t>
  </si>
  <si>
    <t>ARDR_ACQUIRED_IN_PROCESS_R&amp;D (2004)</t>
  </si>
  <si>
    <t>ARDR_ACQUIRED_IN_PROCESS_R&amp;D (2005)</t>
  </si>
  <si>
    <t>ARDR_ACQUIRED_IN_PROCESS_R&amp;D (2006)</t>
  </si>
  <si>
    <t>ARDR_ACQUIRED_IN_PROCESS_R&amp;D (2007)</t>
  </si>
  <si>
    <t>ARDR_ACQUIRED_IN_PROCESS_R&amp;D (2008)</t>
  </si>
  <si>
    <t>ARDR_ACQUIRED_IN_PROCESS_R&amp;D (2009)</t>
  </si>
  <si>
    <t>ARDR_ACQUIRED_IN_PROCESS_R&amp;D (2010)</t>
  </si>
  <si>
    <t>ARDR_ACQUIRED_IN_PROCESS_R&amp;D (2011)</t>
  </si>
  <si>
    <t>ARDR_ACQUIRED_IN_PROCESS_R&amp;D (2012)</t>
  </si>
  <si>
    <t>ARDR_ACQUIRED_IN_PROCESS_R&amp;D (2013)</t>
  </si>
  <si>
    <t>ARDR_ACQUIRED_IN_PROCESS_R&amp;D (2014)</t>
  </si>
  <si>
    <t>ARDR_ACQUIRED_IN_PROCESS_R&amp;D (2015)</t>
  </si>
  <si>
    <t>ARD_R&amp;D_EXPENSES_WITHIN_SGA (2004)</t>
  </si>
  <si>
    <t>ARD_R&amp;D_EXPENSES_WITHIN_SGA (2005)</t>
  </si>
  <si>
    <t>ARD_R&amp;D_EXPENSES_WITHIN_SGA (2006)</t>
  </si>
  <si>
    <t>ARD_R&amp;D_EXPENSES_WITHIN_SGA (2007)</t>
  </si>
  <si>
    <t>ARD_R&amp;D_EXPENSES_WITHIN_SGA (2008)</t>
  </si>
  <si>
    <t>ARD_R&amp;D_EXPENSES_WITHIN_SGA (2009)</t>
  </si>
  <si>
    <t>ARD_R&amp;D_EXPENSES_WITHIN_SGA (2010)</t>
  </si>
  <si>
    <t>ARD_R&amp;D_EXPENSES_WITHIN_SGA (2011)</t>
  </si>
  <si>
    <t>ARD_R&amp;D_EXPENSES_WITHIN_SGA (2012)</t>
  </si>
  <si>
    <t>ARD_R&amp;D_EXPENSES_WITHIN_SGA (2013)</t>
  </si>
  <si>
    <t>ARD_R&amp;D_EXPENSES_WITHIN_SGA (2014)</t>
  </si>
  <si>
    <t>ARD_R&amp;D_EXPENSES_WITHIN_SGA (2015)</t>
  </si>
  <si>
    <t>ARD_R&amp;D_EXPENSES_WITHIN_CGS (2004)</t>
  </si>
  <si>
    <t>ARD_R&amp;D_EXPENSES_WITHIN_CGS (2005)</t>
  </si>
  <si>
    <t>ARD_R&amp;D_EXPENSES_WITHIN_CGS (2006)</t>
  </si>
  <si>
    <t>ARD_R&amp;D_EXPENSES_WITHIN_CGS (2007)</t>
  </si>
  <si>
    <t>ARD_R&amp;D_EXPENSES_WITHIN_CGS (2008)</t>
  </si>
  <si>
    <t>ARD_R&amp;D_EXPENSES_WITHIN_CGS (2009)</t>
  </si>
  <si>
    <t>ARD_R&amp;D_EXPENSES_WITHIN_CGS (2010)</t>
  </si>
  <si>
    <t>ARD_R&amp;D_EXPENSES_WITHIN_CGS (2011)</t>
  </si>
  <si>
    <t>ARD_R&amp;D_EXPENSES_WITHIN_CGS (2012)</t>
  </si>
  <si>
    <t>ARD_R&amp;D_EXPENSES_WITHIN_CGS (2013)</t>
  </si>
  <si>
    <t>ARD_R&amp;D_EXPENSES_WITHIN_CGS (2014)</t>
  </si>
  <si>
    <t>ARD_R&amp;D_EXPENSES_WITHIN_CGS (2015)</t>
  </si>
  <si>
    <t>ARDR_R&amp;D_EXPENDITURES (2004)</t>
  </si>
  <si>
    <t>ARDR_R&amp;D_EXPENDITURES (2005)</t>
  </si>
  <si>
    <t>ARDR_R&amp;D_EXPENDITURES (2006)</t>
  </si>
  <si>
    <t>ARDR_R&amp;D_EXPENDITURES (2007)</t>
  </si>
  <si>
    <t>ARDR_R&amp;D_EXPENDITURES (2008)</t>
  </si>
  <si>
    <t>ARDR_R&amp;D_EXPENDITURES (2009)</t>
  </si>
  <si>
    <t>ARDR_R&amp;D_EXPENDITURES (2010)</t>
  </si>
  <si>
    <t>ARDR_R&amp;D_EXPENDITURES (2011)</t>
  </si>
  <si>
    <t>ARDR_R&amp;D_EXPENDITURES (2012)</t>
  </si>
  <si>
    <t>ARDR_R&amp;D_EXPENDITURES (2013)</t>
  </si>
  <si>
    <t>ARDR_R&amp;D_EXPENDITURES (2014)</t>
  </si>
  <si>
    <t>ARDR_R&amp;D_EXPENDITURES (2015)</t>
  </si>
  <si>
    <t>ARDR_EXPEND_INCUR_ON_R&amp;D_RECUR (2004)</t>
  </si>
  <si>
    <t>ARDR_EXPEND_INCUR_ON_R&amp;D_RECUR (2005)</t>
  </si>
  <si>
    <t>ARDR_EXPEND_INCUR_ON_R&amp;D_RECUR (2006)</t>
  </si>
  <si>
    <t>ARDR_EXPEND_INCUR_ON_R&amp;D_RECUR (2007)</t>
  </si>
  <si>
    <t>ARDR_EXPEND_INCUR_ON_R&amp;D_RECUR (2008)</t>
  </si>
  <si>
    <t>ARDR_EXPEND_INCUR_ON_R&amp;D_RECUR (2009)</t>
  </si>
  <si>
    <t>ARDR_EXPEND_INCUR_ON_R&amp;D_RECUR (2010)</t>
  </si>
  <si>
    <t>ARDR_EXPEND_INCUR_ON_R&amp;D_RECUR (2011)</t>
  </si>
  <si>
    <t>ARDR_EXPEND_INCUR_ON_R&amp;D_RECUR (2012)</t>
  </si>
  <si>
    <t>ARDR_EXPEND_INCUR_ON_R&amp;D_RECUR (2013)</t>
  </si>
  <si>
    <t>ARDR_EXPEND_INCUR_ON_R&amp;D_RECUR (2014)</t>
  </si>
  <si>
    <t>ARDR_EXPEND_INCUR_ON_R&amp;D_RECUR (2015)</t>
  </si>
  <si>
    <t>ARDR_R&amp;D_EXPENSES_WITHIN_SGA (2004)</t>
  </si>
  <si>
    <t>ARDR_R&amp;D_EXPENSES_WITHIN_SGA (2005)</t>
  </si>
  <si>
    <t>ARDR_R&amp;D_EXPENSES_WITHIN_SGA (2006)</t>
  </si>
  <si>
    <t>ARDR_R&amp;D_EXPENSES_WITHIN_SGA (2007)</t>
  </si>
  <si>
    <t>ARDR_R&amp;D_EXPENSES_WITHIN_SGA (2008)</t>
  </si>
  <si>
    <t>ARDR_R&amp;D_EXPENSES_WITHIN_SGA (2009)</t>
  </si>
  <si>
    <t>ARDR_R&amp;D_EXPENSES_WITHIN_SGA (2010)</t>
  </si>
  <si>
    <t>ARDR_R&amp;D_EXPENSES_WITHIN_SGA (2011)</t>
  </si>
  <si>
    <t>ARDR_R&amp;D_EXPENSES_WITHIN_SGA (2012)</t>
  </si>
  <si>
    <t>ARDR_R&amp;D_EXPENSES_WITHIN_SGA (2013)</t>
  </si>
  <si>
    <t>ARDR_R&amp;D_EXPENSES_WITHIN_SGA (2014)</t>
  </si>
  <si>
    <t>ARDR_R&amp;D_EXPENSES_WITHIN_SGA (2015)</t>
  </si>
  <si>
    <t>ARDR_R_D_EXPENSES_COG (2004)</t>
  </si>
  <si>
    <t>ARDR_R_D_EXPENSES_COG (2005)</t>
  </si>
  <si>
    <t>ARDR_R_D_EXPENSES_COG (2006)</t>
  </si>
  <si>
    <t>ARDR_R_D_EXPENSES_COG (2007)</t>
  </si>
  <si>
    <t>ARDR_R_D_EXPENSES_COG (2008)</t>
  </si>
  <si>
    <t>ARDR_R_D_EXPENSES_COG (2009)</t>
  </si>
  <si>
    <t>ARDR_R_D_EXPENSES_COG (2010)</t>
  </si>
  <si>
    <t>ARDR_R_D_EXPENSES_COG (2011)</t>
  </si>
  <si>
    <t>ARDR_R_D_EXPENSES_COG (2012)</t>
  </si>
  <si>
    <t>ARDR_R_D_EXPENSES_COG (2013)</t>
  </si>
  <si>
    <t>ARDR_R_D_EXPENSES_COG (2014)</t>
  </si>
  <si>
    <t>ARDR_R_D_EXPENSES_COG (2015)</t>
  </si>
  <si>
    <t>ARDR_NON_GAAP_R&amp;D (2004)</t>
  </si>
  <si>
    <t>ARDR_NON_GAAP_R&amp;D (2005)</t>
  </si>
  <si>
    <t>ARDR_NON_GAAP_R&amp;D (2006)</t>
  </si>
  <si>
    <t>ARDR_NON_GAAP_R&amp;D (2007)</t>
  </si>
  <si>
    <t>ARDR_NON_GAAP_R&amp;D (2008)</t>
  </si>
  <si>
    <t>ARDR_NON_GAAP_R&amp;D (2009)</t>
  </si>
  <si>
    <t>ARDR_NON_GAAP_R&amp;D (2010)</t>
  </si>
  <si>
    <t>ARDR_NON_GAAP_R&amp;D (2011)</t>
  </si>
  <si>
    <t>ARDR_NON_GAAP_R&amp;D (2012)</t>
  </si>
  <si>
    <t>ARDR_NON_GAAP_R&amp;D (2013)</t>
  </si>
  <si>
    <t>ARDR_NON_GAAP_R&amp;D (2014)</t>
  </si>
  <si>
    <t>ARDR_NON_GAAP_R&amp;D (2015)</t>
  </si>
  <si>
    <t>R&amp;D Expense</t>
  </si>
  <si>
    <t>R&amp;D CAPEX</t>
  </si>
  <si>
    <t>Intangibles investment (Bloomberg)</t>
  </si>
  <si>
    <t>Intangibles investment (Forecasted)</t>
  </si>
  <si>
    <t>Intangibles investment/Sales Ratio</t>
  </si>
  <si>
    <t>AMORT_OF_GOODWILL (2016)</t>
  </si>
  <si>
    <t>ARD_ALLOW_FOR_DOUBTFUL_ACCTS_LT (2016)</t>
  </si>
  <si>
    <t>ARD_AMORT_EXP (2016)</t>
  </si>
  <si>
    <t>ARD_AMORT_IMPAIR_INTANG_ASSETS (2016)</t>
  </si>
  <si>
    <t>ARD_AMORT_IMPAIR_OF_INTANGIBLES (2016)</t>
  </si>
  <si>
    <t>ARD_AMORT_OF_INTANGIBLE_ASSETS (2016)</t>
  </si>
  <si>
    <t>ARD_AMORTIZATION_CF (2016)</t>
  </si>
  <si>
    <t>ARD_AMORTIZATION_GOODWILL_CF (2016)</t>
  </si>
  <si>
    <t>ARD_AMORTIZATION_OF_GOODWILL_IS (2016)</t>
  </si>
  <si>
    <t>ARD_AMORTIZATION_OF_INTANGIBLE (2016)</t>
  </si>
  <si>
    <t>ARD_AMORTIZATION_OF_SOFTWARE (2016)</t>
  </si>
  <si>
    <t>ARD_AMORTIZATION_OF_SOFTWARE_IS (2016)</t>
  </si>
  <si>
    <t>ARD_AMOT_IMPAIRMENT_GOODWILL (2016)</t>
  </si>
  <si>
    <t>ARD_ASSETS_HELD_FOR_SALE_LT (2016)</t>
  </si>
  <si>
    <t>ARD_CASH_AND_EQUIVALENTS (2016)</t>
  </si>
  <si>
    <t>ARD_CURRENT_PORTION_OF_LT_DEBT (2016)</t>
  </si>
  <si>
    <t>ARD_DEFERRED_COSTS (2016)</t>
  </si>
  <si>
    <t>ARD_DEFERRED_INC_TAX_ASSET_LT (2016)</t>
  </si>
  <si>
    <t>ARD_DEFERRED_TAX_ASSETS_LT (2016)</t>
  </si>
  <si>
    <t>ARD_DEPR_AMORT_AND_WRITE_DOWNS (2016)</t>
  </si>
  <si>
    <t>ARD_DEPR_IMPAIRMENT_FIXED_ASSETS (2016)</t>
  </si>
  <si>
    <t>ARD_DEPREC_AMORT_WRITE_DOWNS (2016)</t>
  </si>
  <si>
    <t>ARD_DEPRECIATION_AMORT_IMPAIRMNT (2016)</t>
  </si>
  <si>
    <t>ARD_DEPRECIATION_AMORTIZATION (2016)</t>
  </si>
  <si>
    <t>ARD_DEPRECIATION_AND_AMORT_CF (2016)</t>
  </si>
  <si>
    <t>ARD_DEPRECIATION_EXP (2016)</t>
  </si>
  <si>
    <t>ARD_DERIVATIVE_ASSET_LT (2016)</t>
  </si>
  <si>
    <t>ARD_EQY_INVEST_ASSOC_AFFILIATES (2016)</t>
  </si>
  <si>
    <t>ARD_GOODWILL_WRITTEN_OFF_AMOR_IS (2016)</t>
  </si>
  <si>
    <t>ARD_GOODWLL (2016)</t>
  </si>
  <si>
    <t>ARD_INTANG_ASSETS_EXCL_GOODWILL (2016)</t>
  </si>
  <si>
    <t>ARD_INVESTMENT_IN_AFFILIATE_JV (2016)</t>
  </si>
  <si>
    <t>ARD_LICENSES (2016)</t>
  </si>
  <si>
    <t>ARD_LONG_TERM_LOANS (2016)</t>
  </si>
  <si>
    <t>ARD_LONG_TERM_LOANS_OTHER_DEBTOR (2016)</t>
  </si>
  <si>
    <t>ARD_LT_INVEST (2016)</t>
  </si>
  <si>
    <t>ARD_OTHER_LT_INVESTMENTS (2016)</t>
  </si>
  <si>
    <t>ARD_MARKETABLE_SECURITIES (2016)</t>
  </si>
  <si>
    <t>ARD_INVESTMENT_PROPERTY (2016)</t>
  </si>
  <si>
    <t>ARD_NET_EQTY_INVEST_JV_ASSOC (2016)</t>
  </si>
  <si>
    <t>ARD_NON_CUR_MKT_SEC (2016)</t>
  </si>
  <si>
    <t>ARD_OTHER_FINANCIAL_ASSETS_LT (2016)</t>
  </si>
  <si>
    <t>ARD_OTHER_INTANGIBLE_ASSET (2016)</t>
  </si>
  <si>
    <t>ARD_OTHER_INVEST_OTHER_ASSETS (2016)</t>
  </si>
  <si>
    <t>ARD_OTHER_NONCURRENT_ASSET (2016)</t>
  </si>
  <si>
    <t>ARD_OTHER_RECEIVABLES_LT (2016)</t>
  </si>
  <si>
    <t>ARD_PLANT_AND_EQUIPMENT_NET (2016)</t>
  </si>
  <si>
    <t>ARD_PREPAID_PEN_POSTRETIRE_BEN (2016)</t>
  </si>
  <si>
    <t>ARD_PROPERTY_PLANT_EQUIP_NET (2016)</t>
  </si>
  <si>
    <t>ARD_REVENUES (2016)</t>
  </si>
  <si>
    <t>ARD_ST_BORROW (2016)</t>
  </si>
  <si>
    <t>ARD_TOT_ASSETS (2016)</t>
  </si>
  <si>
    <t>ARD_TOTAL_CUR_ASSETS (2016)</t>
  </si>
  <si>
    <t>ARD_TOTAL_CURRENT_LIABILITIES (2016)</t>
  </si>
  <si>
    <t>ARD_TOTAL_INTANGIBLE_ASSET_NET (2016)</t>
  </si>
  <si>
    <t>ARD_TRADE_DEBTORS_RECEIVABLES_LT (2016)</t>
  </si>
  <si>
    <t>ARDJ_DEP_INC_STA (2016)</t>
  </si>
  <si>
    <t>ARDR_AMORT_EXP (2016)</t>
  </si>
  <si>
    <t>ARDR_AMORT_IMPAIR_OF_INTANGIBLES (2016)</t>
  </si>
  <si>
    <t>ARDR_AMORT_OF_INTANGIBLE_ASSETS (2016)</t>
  </si>
  <si>
    <t>ARDR_AMORTIZATION_CF (2016)</t>
  </si>
  <si>
    <t>ARDR_AMORTIZATION_GOODWILL (2016)</t>
  </si>
  <si>
    <t>ARD_PURCH_CAPITAL_COMP_SOFTWARE (2016)</t>
  </si>
  <si>
    <t>ARDR_AMORTIZATION_OF_INTANGIBLE (2016)</t>
  </si>
  <si>
    <t>ARDR_AMOT_IMPAIRMENT_GOODWILL (2016)</t>
  </si>
  <si>
    <t>ARDR_CASH_AND_EQUIVALENTS (2016)</t>
  </si>
  <si>
    <t>ARDR_DEPR_AMORT_IMPAIRMNT (2016)</t>
  </si>
  <si>
    <t>ARDR_DEPREC_AMORT_WRITE_DOWNS (2016)</t>
  </si>
  <si>
    <t>ARDR_DEPRECIATION_AMORTIZATION (2016)</t>
  </si>
  <si>
    <t>ARDR_DEPRECIATION_AND_AMORT_CF (2016)</t>
  </si>
  <si>
    <t>ARDR_INVEST_UNCONSOL_SUBSID (2016)</t>
  </si>
  <si>
    <t>ARDR_OTHER_INTANGIBLE_ASSET (2016)</t>
  </si>
  <si>
    <t>ARDR_OTHER_INTANGIBLES_NET (2016)</t>
  </si>
  <si>
    <t>ARDR_OTHER_LT_INVESTMENTS (2016)</t>
  </si>
  <si>
    <t>ARDR_PROPERTY_PLANT_EQUIP_NET (2016)</t>
  </si>
  <si>
    <t>BS_CASH_NEAR_CASH_ITEM (2016)</t>
  </si>
  <si>
    <t>BS_CUR_ASSET_REPORT (2016)</t>
  </si>
  <si>
    <t>BS_CUR_LIAB (2016)</t>
  </si>
  <si>
    <t>BS_DISCLOSED_INTANGIBLES (2016)</t>
  </si>
  <si>
    <t>BS_GOODWILL (2016)</t>
  </si>
  <si>
    <t>BS_NET_FIX_ASSET (2016)</t>
  </si>
  <si>
    <t>BS_ST_BORROW (2016)</t>
  </si>
  <si>
    <t>BS_ST_DEBT (2016)</t>
  </si>
  <si>
    <t>BS_TOT_ASSET (2016)</t>
  </si>
  <si>
    <t>CF_CAP_EXPEND_INC_FIX_ASSET (2016)</t>
  </si>
  <si>
    <t>CF_CAP_EXPEND_PRPTY_ADD (2016)</t>
  </si>
  <si>
    <t>CF_DEPR_AMORT (2016)</t>
  </si>
  <si>
    <t>EBIT (2016)</t>
  </si>
  <si>
    <t>EBITDA (2016)</t>
  </si>
  <si>
    <t>IS_COMP_SALES (2016)</t>
  </si>
  <si>
    <t>IS_DEPR_EXP (2016)</t>
  </si>
  <si>
    <t>IS_OPER_INC (2016)</t>
  </si>
  <si>
    <t>NET DEBT (2016)</t>
  </si>
  <si>
    <t>SALES_REV_TURN (2016)</t>
  </si>
  <si>
    <t>ARD_PURCHASE_OF_INTANGIBLES (2016)</t>
  </si>
  <si>
    <t>CF_ACQ_OF_FXD_&amp;_INTANGIBLES (2016)</t>
  </si>
  <si>
    <t>CF_ACQUISITION_OF_INTANG_ASSETS (2016)</t>
  </si>
  <si>
    <t>ARDR_PURCHASE_OF_INTANGIBLES (2016)</t>
  </si>
  <si>
    <t>ARD_ADDITIONS_FIXED_INTANG_ASSET (2016)</t>
  </si>
  <si>
    <t>IS_R&amp;D_GAAP (2016)</t>
  </si>
  <si>
    <t>IS_OPEX_R&amp;D_GAAP (2016)</t>
  </si>
  <si>
    <t>ARD_R&amp;D_EXPENDITURES (2016)</t>
  </si>
  <si>
    <t>IS_R&amp;D_EXPENSE_NONGAAP_ADJUST (2016)</t>
  </si>
  <si>
    <t>ARD_ACQUIRED_IN_PROCESS_R&amp;D (2016)</t>
  </si>
  <si>
    <t>ARDR_ACQUIRED_IN_PROCESS_R&amp;D (2016)</t>
  </si>
  <si>
    <t>ARD_R&amp;D_EXPENSES_WITHIN_SGA (2016)</t>
  </si>
  <si>
    <t>ARD_R&amp;D_EXPENSES_WITHIN_CGS (2016)</t>
  </si>
  <si>
    <t>ARDR_R&amp;D_EXPENDITURES (2016)</t>
  </si>
  <si>
    <t>ARDR_EXPEND_INCUR_ON_R&amp;D_RECUR (2016)</t>
  </si>
  <si>
    <t>ARDR_R&amp;D_EXPENSES_WITHIN_SGA (2016)</t>
  </si>
  <si>
    <t>ARDR_R_D_EXPENSES_COG (2016)</t>
  </si>
  <si>
    <t>ARDR_NON_GAAP_R&amp;D (2016)</t>
  </si>
  <si>
    <t>ARD_INVEST_SEC_AVAIL_FOR_SALE (2016)</t>
  </si>
  <si>
    <t>ARDR_OTHER_LT_DEBTORS_NON_REC (2016)</t>
  </si>
  <si>
    <t>IS_NET_NON_OPER_LOSS (2016)</t>
  </si>
  <si>
    <t>IS_EQY_EARN_FROM_INVEST_ASSOC (2016)</t>
  </si>
  <si>
    <t>BS_LT_INVEST (2016)</t>
  </si>
  <si>
    <t>ARDR_TRADE_DEBTORS_REC_LT (2016)</t>
  </si>
  <si>
    <t>ARDR_DEPOSITS_GUARANTEES (2016)</t>
  </si>
  <si>
    <t>ARDR_OTHER_RECEIVABLE_NET (2016)</t>
  </si>
  <si>
    <t>ARD_ST_INVEST (2016)</t>
  </si>
  <si>
    <t>ARDR_OTHER_FINL_ASSETS_LT</t>
  </si>
  <si>
    <t>ARDR_OTHER_FINL_ASSETS_LT (2004)</t>
  </si>
  <si>
    <t>ARDR_OTHER_FINL_ASSETS_LT (2005)</t>
  </si>
  <si>
    <t>ARDR_OTHER_FINL_ASSETS_LT (2006)</t>
  </si>
  <si>
    <t>ARDR_OTHER_FINL_ASSETS_LT (2007)</t>
  </si>
  <si>
    <t>ARDR_OTHER_FINL_ASSETS_LT (2008)</t>
  </si>
  <si>
    <t>ARDR_OTHER_FINL_ASSETS_LT (2009)</t>
  </si>
  <si>
    <t>ARDR_OTHER_FINL_ASSETS_LT (2010)</t>
  </si>
  <si>
    <t>ARDR_OTHER_FINL_ASSETS_LT (2011)</t>
  </si>
  <si>
    <t>ARDR_OTHER_FINL_ASSETS_LT (2012)</t>
  </si>
  <si>
    <t>ARDR_OTHER_FINL_ASSETS_LT (2013)</t>
  </si>
  <si>
    <t>ARDR_OTHER_FINL_ASSETS_LT (2014)</t>
  </si>
  <si>
    <t>ARDR_OTHER_FINL_ASSETS_LT (2015)</t>
  </si>
  <si>
    <t>ARDR_OTHER_FINL_ASSETS_LT (2016)</t>
  </si>
  <si>
    <t>ARDR_INVEST_SEC_AVAIL_FOR_SALE</t>
  </si>
  <si>
    <t>ARDR_FINANCE_RECEIVABLES_LT</t>
  </si>
  <si>
    <t>Net Debt/EBITDA</t>
  </si>
  <si>
    <t>Net debt for ND/EBITDA</t>
  </si>
  <si>
    <t>This intentionally has a lag</t>
  </si>
  <si>
    <t>Method 1 (Normalisation)</t>
  </si>
  <si>
    <t>Method 2 (Historical)</t>
  </si>
  <si>
    <t>ARDR_INVEST_SEC_AVAIL_FOR_SALE (2004)</t>
  </si>
  <si>
    <t>ARDR_INVEST_SEC_AVAIL_FOR_SALE (2005)</t>
  </si>
  <si>
    <t>ARDR_INVEST_SEC_AVAIL_FOR_SALE (2006)</t>
  </si>
  <si>
    <t>ARDR_INVEST_SEC_AVAIL_FOR_SALE (2007)</t>
  </si>
  <si>
    <t>ARDR_INVEST_SEC_AVAIL_FOR_SALE (2008)</t>
  </si>
  <si>
    <t>ARDR_INVEST_SEC_AVAIL_FOR_SALE (2009)</t>
  </si>
  <si>
    <t>ARDR_INVEST_SEC_AVAIL_FOR_SALE (2010)</t>
  </si>
  <si>
    <t>ARDR_INVEST_SEC_AVAIL_FOR_SALE (2011)</t>
  </si>
  <si>
    <t>ARDR_INVEST_SEC_AVAIL_FOR_SALE (2012)</t>
  </si>
  <si>
    <t>ARDR_INVEST_SEC_AVAIL_FOR_SALE (2013)</t>
  </si>
  <si>
    <t>ARDR_INVEST_SEC_AVAIL_FOR_SALE (2014)</t>
  </si>
  <si>
    <t>ARDR_INVEST_SEC_AVAIL_FOR_SALE (2015)</t>
  </si>
  <si>
    <t>ARDR_INVEST_SEC_AVAIL_FOR_SALE (2016)</t>
  </si>
  <si>
    <t>ARDR_FINANCE_RECEIVABLES_LT (2004)</t>
  </si>
  <si>
    <t>ARDR_FINANCE_RECEIVABLES_LT (2005)</t>
  </si>
  <si>
    <t>ARDR_FINANCE_RECEIVABLES_LT (2006)</t>
  </si>
  <si>
    <t>ARDR_FINANCE_RECEIVABLES_LT (2007)</t>
  </si>
  <si>
    <t>ARDR_FINANCE_RECEIVABLES_LT (2008)</t>
  </si>
  <si>
    <t>ARDR_FINANCE_RECEIVABLES_LT (2009)</t>
  </si>
  <si>
    <t>ARDR_FINANCE_RECEIVABLES_LT (2010)</t>
  </si>
  <si>
    <t>ARDR_FINANCE_RECEIVABLES_LT (2011)</t>
  </si>
  <si>
    <t>ARDR_FINANCE_RECEIVABLES_LT (2012)</t>
  </si>
  <si>
    <t>ARDR_FINANCE_RECEIVABLES_LT (2013)</t>
  </si>
  <si>
    <t>ARDR_FINANCE_RECEIVABLES_LT (2014)</t>
  </si>
  <si>
    <t>ARDR_FINANCE_RECEIVABLES_LT (2015)</t>
  </si>
  <si>
    <t>ARDR_FINANCE_RECEIVABLES_LT (2016)</t>
  </si>
  <si>
    <t>ARM LN Equity</t>
  </si>
  <si>
    <t>IFX GR Equity</t>
  </si>
  <si>
    <t>AMS SW Equity</t>
  </si>
  <si>
    <t>DLG GY Equity</t>
  </si>
  <si>
    <t>ELG GR Equity</t>
  </si>
  <si>
    <t>STM FP Equity</t>
  </si>
  <si>
    <t>PFL LN Equity</t>
  </si>
  <si>
    <t>IMG LN Equity</t>
  </si>
  <si>
    <t>ASML NA Equity</t>
  </si>
  <si>
    <t>ASM NA Equity</t>
  </si>
  <si>
    <t>WPG LN Equity</t>
  </si>
  <si>
    <t>ING FP Equity</t>
  </si>
  <si>
    <t>WDI GY Equity</t>
  </si>
  <si>
    <t>WLN FP Equity</t>
  </si>
  <si>
    <t>PAYS LN Equity</t>
  </si>
  <si>
    <t>SCH LN Equity</t>
  </si>
  <si>
    <t xml:space="preserve">Total CAPEX </t>
  </si>
  <si>
    <t>19Y</t>
  </si>
  <si>
    <t>EBITDA_ADJUSTED</t>
  </si>
  <si>
    <t>20Y</t>
  </si>
  <si>
    <t>21Y</t>
  </si>
  <si>
    <t>EBITDA_ADJUSTED (2015)</t>
  </si>
  <si>
    <t>EBITDA_ADJUSTED (2016)</t>
  </si>
  <si>
    <t>BEST_EBIT (2019E)</t>
  </si>
  <si>
    <t>BEST_EBITDA (2019E)</t>
  </si>
  <si>
    <t>BEST_NET_DEBT (2019E)</t>
  </si>
  <si>
    <t>BEST_OPP (2019E)</t>
  </si>
  <si>
    <t>BEST_SALES (2019E)</t>
  </si>
  <si>
    <t>BEST_EBIT (2020E)</t>
  </si>
  <si>
    <t>BEST_EBITDA (2020E)</t>
  </si>
  <si>
    <t>BEST_NET_DEBT (2020E)</t>
  </si>
  <si>
    <t>BEST_OPP (2020E)</t>
  </si>
  <si>
    <t>BEST_SALES (2020E)</t>
  </si>
  <si>
    <t>BEST_CAPEX (2019E)</t>
  </si>
  <si>
    <t>BEST_CAPEX (2020E)</t>
  </si>
  <si>
    <t>Below for Later</t>
  </si>
  <si>
    <t>R&amp;D Capex / Amort. Ratio</t>
  </si>
  <si>
    <t>EBITDA_ADJUSTED (2004)</t>
  </si>
  <si>
    <t>EBITDA_ADJUSTED (2005)</t>
  </si>
  <si>
    <t>EBITDA_ADJUSTED (2006)</t>
  </si>
  <si>
    <t>EBITDA_ADJUSTED (2007)</t>
  </si>
  <si>
    <t>EBITDA_ADJUSTED (2008)</t>
  </si>
  <si>
    <t>EBITDA_ADJUSTED (2009)</t>
  </si>
  <si>
    <t>EBITDA_ADJUSTED (2010)</t>
  </si>
  <si>
    <t>EBITDA_ADJUSTED (2011)</t>
  </si>
  <si>
    <t>EBITDA_ADJUSTED (2012)</t>
  </si>
  <si>
    <t>EBITDA_ADJUSTED (2013)</t>
  </si>
  <si>
    <t>EBITDA_ADJUSTED (2014)</t>
  </si>
  <si>
    <t>Method 0 (FAS)</t>
  </si>
  <si>
    <t xml:space="preserve">PPE CAPEX </t>
  </si>
  <si>
    <t xml:space="preserve">PPE CAPEX / Total CAPEX </t>
  </si>
  <si>
    <t>AMORT_OF_GOODWILL (2017)</t>
  </si>
  <si>
    <t>AMORT_OF_GOODWILL (2018)</t>
  </si>
  <si>
    <t>ARD_ALLOW_FOR_DOUBTFUL_ACCTS_LT (2017)</t>
  </si>
  <si>
    <t>ARD_ALLOW_FOR_DOUBTFUL_ACCTS_LT (2018)</t>
  </si>
  <si>
    <t>ARD_AMORT_EXP (2017)</t>
  </si>
  <si>
    <t>ARD_AMORT_EXP (2018)</t>
  </si>
  <si>
    <t>ARD_AMORT_IMPAIR_INTANG_ASSETS (2017)</t>
  </si>
  <si>
    <t>ARD_AMORT_IMPAIR_INTANG_ASSETS (2018)</t>
  </si>
  <si>
    <t>ARD_AMORT_IMPAIR_OF_INTANGIBLES (2017)</t>
  </si>
  <si>
    <t>ARD_AMORT_IMPAIR_OF_INTANGIBLES (2018)</t>
  </si>
  <si>
    <t>ARD_AMORT_OF_INTANGIBLE_ASSETS (2017)</t>
  </si>
  <si>
    <t>ARD_AMORT_OF_INTANGIBLE_ASSETS (2018)</t>
  </si>
  <si>
    <t>ARD_AMORTIZATION_CF (2017)</t>
  </si>
  <si>
    <t>ARD_AMORTIZATION_CF (2018)</t>
  </si>
  <si>
    <t>ARD_AMORTIZATION_GOODWILL_CF (2017)</t>
  </si>
  <si>
    <t>ARD_AMORTIZATION_GOODWILL_CF (2018)</t>
  </si>
  <si>
    <t>ARD_AMORTIZATION_OF_GOODWILL_IS (2017)</t>
  </si>
  <si>
    <t>ARD_AMORTIZATION_OF_GOODWILL_IS (2018)</t>
  </si>
  <si>
    <t>ARD_AMORTIZATION_OF_INTANGIBLE (2017)</t>
  </si>
  <si>
    <t>ARD_AMORTIZATION_OF_INTANGIBLE (2018)</t>
  </si>
  <si>
    <t>ARD_AMORTIZATION_OF_SOFTWARE (2017)</t>
  </si>
  <si>
    <t>ARD_AMORTIZATION_OF_SOFTWARE (2018)</t>
  </si>
  <si>
    <t>ARD_AMORTIZATION_OF_SOFTWARE_IS (2017)</t>
  </si>
  <si>
    <t>ARD_AMORTIZATION_OF_SOFTWARE_IS (2018)</t>
  </si>
  <si>
    <t>ARD_AMOT_IMPAIRMENT_GOODWILL (2017)</t>
  </si>
  <si>
    <t>ARD_AMOT_IMPAIRMENT_GOODWILL (2018)</t>
  </si>
  <si>
    <t>ARD_ASSETS_HELD_FOR_SALE_LT (2017)</t>
  </si>
  <si>
    <t>ARD_ASSETS_HELD_FOR_SALE_LT (2018)</t>
  </si>
  <si>
    <t>ARD_CASH_AND_EQUIVALENTS (2017)</t>
  </si>
  <si>
    <t>ARD_CASH_AND_EQUIVALENTS (2018)</t>
  </si>
  <si>
    <t>ARD_CURRENT_PORTION_OF_LT_DEBT (2017)</t>
  </si>
  <si>
    <t>ARD_CURRENT_PORTION_OF_LT_DEBT (2018)</t>
  </si>
  <si>
    <t>ARD_DEFERRED_COSTS (2017)</t>
  </si>
  <si>
    <t>ARD_DEFERRED_COSTS (2018)</t>
  </si>
  <si>
    <t>ARD_DEFERRED_INC_TAX_ASSET_LT (2017)</t>
  </si>
  <si>
    <t>ARD_DEFERRED_INC_TAX_ASSET_LT (2018)</t>
  </si>
  <si>
    <t>ARD_DEFERRED_TAX_ASSETS_LT (2017)</t>
  </si>
  <si>
    <t>ARD_DEFERRED_TAX_ASSETS_LT (2018)</t>
  </si>
  <si>
    <t>ARD_DEPR_AMORT_AND_WRITE_DOWNS (2017)</t>
  </si>
  <si>
    <t>ARD_DEPR_AMORT_AND_WRITE_DOWNS (2018)</t>
  </si>
  <si>
    <t>ARD_DEPR_IMPAIRMENT_FIXED_ASSETS (2017)</t>
  </si>
  <si>
    <t>ARD_DEPR_IMPAIRMENT_FIXED_ASSETS (2018)</t>
  </si>
  <si>
    <t>ARD_DEPREC_AMORT_WRITE_DOWNS (2017)</t>
  </si>
  <si>
    <t>ARD_DEPREC_AMORT_WRITE_DOWNS (2018)</t>
  </si>
  <si>
    <t>ARD_DEPRECIATION_AMORT_IMPAIRMNT (2017)</t>
  </si>
  <si>
    <t>ARD_DEPRECIATION_AMORT_IMPAIRMNT (2018)</t>
  </si>
  <si>
    <t>ARD_DEPRECIATION_AMORTIZATION (2017)</t>
  </si>
  <si>
    <t>ARD_DEPRECIATION_AMORTIZATION (2018)</t>
  </si>
  <si>
    <t>ARD_DEPRECIATION_AND_AMORT_CF (2017)</t>
  </si>
  <si>
    <t>ARD_DEPRECIATION_AND_AMORT_CF (2018)</t>
  </si>
  <si>
    <t>ARD_DEPRECIATION_EXP (2017)</t>
  </si>
  <si>
    <t>ARD_DEPRECIATION_EXP (2018)</t>
  </si>
  <si>
    <t>ARD_DERIVATIVE_ASSET_LT (2017)</t>
  </si>
  <si>
    <t>ARD_DERIVATIVE_ASSET_LT (2018)</t>
  </si>
  <si>
    <t>ARD_EQY_INVEST_ASSOC_AFFILIATES (2017)</t>
  </si>
  <si>
    <t>ARD_EQY_INVEST_ASSOC_AFFILIATES (2018)</t>
  </si>
  <si>
    <t>ARD_GOODWILL_WRITTEN_OFF_AMOR_IS (2017)</t>
  </si>
  <si>
    <t>ARD_GOODWILL_WRITTEN_OFF_AMOR_IS (2018)</t>
  </si>
  <si>
    <t>ARD_GOODWLL (2017)</t>
  </si>
  <si>
    <t>ARD_GOODWLL (2018)</t>
  </si>
  <si>
    <t>ARD_INTANG_ASSETS_EXCL_GOODWILL (2017)</t>
  </si>
  <si>
    <t>ARD_INTANG_ASSETS_EXCL_GOODWILL (2018)</t>
  </si>
  <si>
    <t>ARD_INVESTMENT_IN_AFFILIATE_JV (2017)</t>
  </si>
  <si>
    <t>ARD_INVESTMENT_IN_AFFILIATE_JV (2018)</t>
  </si>
  <si>
    <t>ARD_LICENSES (2017)</t>
  </si>
  <si>
    <t>ARD_LICENSES (2018)</t>
  </si>
  <si>
    <t>ARD_LONG_TERM_LOANS (2017)</t>
  </si>
  <si>
    <t>ARD_LONG_TERM_LOANS (2018)</t>
  </si>
  <si>
    <t>ARD_LONG_TERM_LOANS_OTHER_DEBTOR (2017)</t>
  </si>
  <si>
    <t>ARD_LONG_TERM_LOANS_OTHER_DEBTOR (2018)</t>
  </si>
  <si>
    <t>ARD_LT_INVEST (2017)</t>
  </si>
  <si>
    <t>ARD_LT_INVEST (2018)</t>
  </si>
  <si>
    <t>ARD_OTHER_LT_INVESTMENTS (2017)</t>
  </si>
  <si>
    <t>ARD_OTHER_LT_INVESTMENTS (2018)</t>
  </si>
  <si>
    <t>ARD_MARKETABLE_SECURITIES (2017)</t>
  </si>
  <si>
    <t>ARD_MARKETABLE_SECURITIES (2018)</t>
  </si>
  <si>
    <t>ARD_INVESTMENT_PROPERTY (2017)</t>
  </si>
  <si>
    <t>ARD_INVESTMENT_PROPERTY (2018)</t>
  </si>
  <si>
    <t>ARD_NET_EQTY_INVEST_JV_ASSOC (2017)</t>
  </si>
  <si>
    <t>ARD_NET_EQTY_INVEST_JV_ASSOC (2018)</t>
  </si>
  <si>
    <t>ARD_NON_CUR_MKT_SEC (2017)</t>
  </si>
  <si>
    <t>ARD_NON_CUR_MKT_SEC (2018)</t>
  </si>
  <si>
    <t>ARD_OTHER_FINANCIAL_ASSETS_LT (2017)</t>
  </si>
  <si>
    <t>ARD_OTHER_FINANCIAL_ASSETS_LT (2018)</t>
  </si>
  <si>
    <t>ARD_OTHER_INTANGIBLE_ASSET (2017)</t>
  </si>
  <si>
    <t>ARD_OTHER_INTANGIBLE_ASSET (2018)</t>
  </si>
  <si>
    <t>ARD_OTHER_INVEST_OTHER_ASSETS (2017)</t>
  </si>
  <si>
    <t>ARD_OTHER_INVEST_OTHER_ASSETS (2018)</t>
  </si>
  <si>
    <t>ARD_OTHER_NONCURRENT_ASSET (2017)</t>
  </si>
  <si>
    <t>ARD_OTHER_NONCURRENT_ASSET (2018)</t>
  </si>
  <si>
    <t>ARD_OTHER_RECEIVABLES_LT (2017)</t>
  </si>
  <si>
    <t>ARD_OTHER_RECEIVABLES_LT (2018)</t>
  </si>
  <si>
    <t>ARD_PLANT_AND_EQUIPMENT_NET (2017)</t>
  </si>
  <si>
    <t>ARD_PLANT_AND_EQUIPMENT_NET (2018)</t>
  </si>
  <si>
    <t>ARD_PREPAID_PEN_POSTRETIRE_BEN (2017)</t>
  </si>
  <si>
    <t>ARD_PREPAID_PEN_POSTRETIRE_BEN (2018)</t>
  </si>
  <si>
    <t>ARD_PROPERTY_PLANT_EQUIP_NET (2017)</t>
  </si>
  <si>
    <t>ARD_PROPERTY_PLANT_EQUIP_NET (2018)</t>
  </si>
  <si>
    <t>ARD_REVENUES (2017)</t>
  </si>
  <si>
    <t>ARD_REVENUES (2018)</t>
  </si>
  <si>
    <t>ARD_ST_BORROW (2017)</t>
  </si>
  <si>
    <t>ARD_ST_BORROW (2018)</t>
  </si>
  <si>
    <t>ARD_TOT_ASSETS (2017)</t>
  </si>
  <si>
    <t>ARD_TOT_ASSETS (2018)</t>
  </si>
  <si>
    <t>ARD_TOTAL_CUR_ASSETS (2017)</t>
  </si>
  <si>
    <t>ARD_TOTAL_CUR_ASSETS (2018)</t>
  </si>
  <si>
    <t>ARD_TOTAL_CURRENT_LIABILITIES (2017)</t>
  </si>
  <si>
    <t>ARD_TOTAL_CURRENT_LIABILITIES (2018)</t>
  </si>
  <si>
    <t>ARD_TOTAL_INTANGIBLE_ASSET_NET (2017)</t>
  </si>
  <si>
    <t>ARD_TOTAL_INTANGIBLE_ASSET_NET (2018)</t>
  </si>
  <si>
    <t>ARD_TRADE_DEBTORS_RECEIVABLES_LT (2017)</t>
  </si>
  <si>
    <t>ARD_TRADE_DEBTORS_RECEIVABLES_LT (2018)</t>
  </si>
  <si>
    <t>ARDJ_DEP_INC_STA (2017)</t>
  </si>
  <si>
    <t>ARDJ_DEP_INC_STA (2018)</t>
  </si>
  <si>
    <t>ARDR_AMORT_EXP (2017)</t>
  </si>
  <si>
    <t>ARDR_AMORT_EXP (2018)</t>
  </si>
  <si>
    <t>ARDR_AMORT_IMPAIR_OF_INTANGIBLES (2017)</t>
  </si>
  <si>
    <t>ARDR_AMORT_IMPAIR_OF_INTANGIBLES (2018)</t>
  </si>
  <si>
    <t>ARDR_AMORT_OF_INTANGIBLE_ASSETS (2017)</t>
  </si>
  <si>
    <t>ARDR_AMORT_OF_INTANGIBLE_ASSETS (2018)</t>
  </si>
  <si>
    <t>ARDR_AMORTIZATION_CF (2017)</t>
  </si>
  <si>
    <t>ARDR_AMORTIZATION_CF (2018)</t>
  </si>
  <si>
    <t>ARDR_AMORTIZATION_GOODWILL (2017)</t>
  </si>
  <si>
    <t>ARDR_AMORTIZATION_GOODWILL (2018)</t>
  </si>
  <si>
    <t>ARD_PURCH_CAPITAL_COMP_SOFTWARE (2017)</t>
  </si>
  <si>
    <t>ARD_PURCH_CAPITAL_COMP_SOFTWARE (2018)</t>
  </si>
  <si>
    <t>ARDR_AMORTIZATION_OF_INTANGIBLE (2017)</t>
  </si>
  <si>
    <t>ARDR_AMORTIZATION_OF_INTANGIBLE (2018)</t>
  </si>
  <si>
    <t>ARDR_AMOT_IMPAIRMENT_GOODWILL (2017)</t>
  </si>
  <si>
    <t>ARDR_AMOT_IMPAIRMENT_GOODWILL (2018)</t>
  </si>
  <si>
    <t>ARDR_CASH_AND_EQUIVALENTS (2017)</t>
  </si>
  <si>
    <t>ARDR_CASH_AND_EQUIVALENTS (2018)</t>
  </si>
  <si>
    <t>ARDR_DEPR_AMORT_IMPAIRMNT (2017)</t>
  </si>
  <si>
    <t>ARDR_DEPR_AMORT_IMPAIRMNT (2018)</t>
  </si>
  <si>
    <t>ARDR_DEPREC_AMORT_WRITE_DOWNS (2017)</t>
  </si>
  <si>
    <t>ARDR_DEPREC_AMORT_WRITE_DOWNS (2018)</t>
  </si>
  <si>
    <t>ARDR_DEPRECIATION_AMORTIZATION (2017)</t>
  </si>
  <si>
    <t>ARDR_DEPRECIATION_AMORTIZATION (2018)</t>
  </si>
  <si>
    <t>ARDR_DEPRECIATION_AND_AMORT_CF (2017)</t>
  </si>
  <si>
    <t>ARDR_DEPRECIATION_AND_AMORT_CF (2018)</t>
  </si>
  <si>
    <t>ARDR_INVEST_UNCONSOL_SUBSID (2017)</t>
  </si>
  <si>
    <t>ARDR_INVEST_UNCONSOL_SUBSID (2018)</t>
  </si>
  <si>
    <t>ARDR_OTHER_INTANGIBLE_ASSET (2017)</t>
  </si>
  <si>
    <t>ARDR_OTHER_INTANGIBLE_ASSET (2018)</t>
  </si>
  <si>
    <t>ARDR_OTHER_INTANGIBLES_NET (2017)</t>
  </si>
  <si>
    <t>ARDR_OTHER_INTANGIBLES_NET (2018)</t>
  </si>
  <si>
    <t>ARDR_OTHER_LT_INVESTMENTS (2017)</t>
  </si>
  <si>
    <t>ARDR_OTHER_LT_INVESTMENTS (2018)</t>
  </si>
  <si>
    <t>ARDR_PROPERTY_PLANT_EQUIP_NET (2017)</t>
  </si>
  <si>
    <t>ARDR_PROPERTY_PLANT_EQUIP_NET (2018)</t>
  </si>
  <si>
    <t>BS_CASH_NEAR_CASH_ITEM (2017)</t>
  </si>
  <si>
    <t>BS_CASH_NEAR_CASH_ITEM (2018)</t>
  </si>
  <si>
    <t>BS_CUR_ASSET_REPORT (2017)</t>
  </si>
  <si>
    <t>BS_CUR_ASSET_REPORT (2018)</t>
  </si>
  <si>
    <t>BS_CUR_LIAB (2017)</t>
  </si>
  <si>
    <t>BS_CUR_LIAB (2018)</t>
  </si>
  <si>
    <t>BS_DISCLOSED_INTANGIBLES (2017)</t>
  </si>
  <si>
    <t>BS_DISCLOSED_INTANGIBLES (2018)</t>
  </si>
  <si>
    <t>BS_GOODWILL (2017)</t>
  </si>
  <si>
    <t>BS_GOODWILL (2018)</t>
  </si>
  <si>
    <t>BS_NET_FIX_ASSET (2017)</t>
  </si>
  <si>
    <t>BS_NET_FIX_ASSET (2018)</t>
  </si>
  <si>
    <t>BS_ST_BORROW (2017)</t>
  </si>
  <si>
    <t>BS_ST_BORROW (2018)</t>
  </si>
  <si>
    <t>BS_ST_DEBT (2017)</t>
  </si>
  <si>
    <t>BS_ST_DEBT (2018)</t>
  </si>
  <si>
    <t>BS_TOT_ASSET (2017)</t>
  </si>
  <si>
    <t>BS_TOT_ASSET (2018)</t>
  </si>
  <si>
    <t>CF_CAP_EXPEND_INC_FIX_ASSET (2017)</t>
  </si>
  <si>
    <t>CF_CAP_EXPEND_INC_FIX_ASSET (2018)</t>
  </si>
  <si>
    <t>CF_CAP_EXPEND_PRPTY_ADD (2017)</t>
  </si>
  <si>
    <t>CF_CAP_EXPEND_PRPTY_ADD (2018)</t>
  </si>
  <si>
    <t>CF_DEPR_AMORT (2017)</t>
  </si>
  <si>
    <t>CF_DEPR_AMORT (2018)</t>
  </si>
  <si>
    <t>EBIT (2017)</t>
  </si>
  <si>
    <t>EBIT (2018)</t>
  </si>
  <si>
    <t>EBITDA (2017)</t>
  </si>
  <si>
    <t>EBITDA (2018)</t>
  </si>
  <si>
    <t>EBITDA_ADJUSTED (2017)</t>
  </si>
  <si>
    <t>EBITDA_ADJUSTED (2018)</t>
  </si>
  <si>
    <t>IS_COMP_SALES (2017)</t>
  </si>
  <si>
    <t>IS_COMP_SALES (2018)</t>
  </si>
  <si>
    <t>IS_DEPR_EXP (2017)</t>
  </si>
  <si>
    <t>IS_DEPR_EXP (2018)</t>
  </si>
  <si>
    <t>IS_OPER_INC (2017)</t>
  </si>
  <si>
    <t>IS_OPER_INC (2018)</t>
  </si>
  <si>
    <t>NET DEBT (2017)</t>
  </si>
  <si>
    <t>NET DEBT (2018)</t>
  </si>
  <si>
    <t>SALES_REV_TURN (2017)</t>
  </si>
  <si>
    <t>SALES_REV_TURN (2018)</t>
  </si>
  <si>
    <t>ARD_PURCHASE_OF_INTANGIBLES (2017)</t>
  </si>
  <si>
    <t>ARD_PURCHASE_OF_INTANGIBLES (2018)</t>
  </si>
  <si>
    <t>CF_ACQ_OF_FXD_&amp;_INTANGIBLES (2017)</t>
  </si>
  <si>
    <t>CF_ACQ_OF_FXD_&amp;_INTANGIBLES (2018)</t>
  </si>
  <si>
    <t>CF_ACQUISITION_OF_INTANG_ASSETS (2017)</t>
  </si>
  <si>
    <t>CF_ACQUISITION_OF_INTANG_ASSETS (2018)</t>
  </si>
  <si>
    <t>ARDR_PURCHASE_OF_INTANGIBLES (2017)</t>
  </si>
  <si>
    <t>ARDR_PURCHASE_OF_INTANGIBLES (2018)</t>
  </si>
  <si>
    <t>ARD_ADDITIONS_FIXED_INTANG_ASSET (2017)</t>
  </si>
  <si>
    <t>ARD_ADDITIONS_FIXED_INTANG_ASSET (2018)</t>
  </si>
  <si>
    <t>IS_R&amp;D_GAAP (2017)</t>
  </si>
  <si>
    <t>IS_R&amp;D_GAAP (2018)</t>
  </si>
  <si>
    <t>IS_OPEX_R&amp;D_GAAP (2017)</t>
  </si>
  <si>
    <t>IS_OPEX_R&amp;D_GAAP (2018)</t>
  </si>
  <si>
    <t>ARD_R&amp;D_EXPENDITURES (2017)</t>
  </si>
  <si>
    <t>ARD_R&amp;D_EXPENDITURES (2018)</t>
  </si>
  <si>
    <t>IS_R&amp;D_EXPENSE_NONGAAP_ADJUST (2017)</t>
  </si>
  <si>
    <t>IS_R&amp;D_EXPENSE_NONGAAP_ADJUST (2018)</t>
  </si>
  <si>
    <t>ARD_ACQUIRED_IN_PROCESS_R&amp;D (2017)</t>
  </si>
  <si>
    <t>ARD_ACQUIRED_IN_PROCESS_R&amp;D (2018)</t>
  </si>
  <si>
    <t>ARDR_ACQUIRED_IN_PROCESS_R&amp;D (2017)</t>
  </si>
  <si>
    <t>ARDR_ACQUIRED_IN_PROCESS_R&amp;D (2018)</t>
  </si>
  <si>
    <t>ARD_R&amp;D_EXPENSES_WITHIN_SGA (2017)</t>
  </si>
  <si>
    <t>ARD_R&amp;D_EXPENSES_WITHIN_SGA (2018)</t>
  </si>
  <si>
    <t>ARD_R&amp;D_EXPENSES_WITHIN_CGS (2017)</t>
  </si>
  <si>
    <t>ARD_R&amp;D_EXPENSES_WITHIN_CGS (2018)</t>
  </si>
  <si>
    <t>ARDR_R&amp;D_EXPENDITURES (2017)</t>
  </si>
  <si>
    <t>ARDR_R&amp;D_EXPENDITURES (2018)</t>
  </si>
  <si>
    <t>ARDR_EXPEND_INCUR_ON_R&amp;D_RECUR (2017)</t>
  </si>
  <si>
    <t>ARDR_EXPEND_INCUR_ON_R&amp;D_RECUR (2018)</t>
  </si>
  <si>
    <t>ARDR_R&amp;D_EXPENSES_WITHIN_SGA (2017)</t>
  </si>
  <si>
    <t>ARDR_R&amp;D_EXPENSES_WITHIN_SGA (2018)</t>
  </si>
  <si>
    <t>ARDR_R_D_EXPENSES_COG (2017)</t>
  </si>
  <si>
    <t>ARDR_R_D_EXPENSES_COG (2018)</t>
  </si>
  <si>
    <t>ARDR_NON_GAAP_R&amp;D (2017)</t>
  </si>
  <si>
    <t>ARDR_NON_GAAP_R&amp;D (2018)</t>
  </si>
  <si>
    <t>ARD_INVEST_SEC_AVAIL_FOR_SALE (2017)</t>
  </si>
  <si>
    <t>ARD_INVEST_SEC_AVAIL_FOR_SALE (2018)</t>
  </si>
  <si>
    <t>ARDR_OTHER_LT_DEBTORS_NON_REC (2017)</t>
  </si>
  <si>
    <t>ARDR_OTHER_LT_DEBTORS_NON_REC (2018)</t>
  </si>
  <si>
    <t>IS_NET_NON_OPER_LOSS (2017)</t>
  </si>
  <si>
    <t>IS_NET_NON_OPER_LOSS (2018)</t>
  </si>
  <si>
    <t>IS_EQY_EARN_FROM_INVEST_ASSOC (2017)</t>
  </si>
  <si>
    <t>IS_EQY_EARN_FROM_INVEST_ASSOC (2018)</t>
  </si>
  <si>
    <t>BS_LT_INVEST (2017)</t>
  </si>
  <si>
    <t>BS_LT_INVEST (2018)</t>
  </si>
  <si>
    <t>ARDR_TRADE_DEBTORS_REC_LT (2017)</t>
  </si>
  <si>
    <t>ARDR_TRADE_DEBTORS_REC_LT (2018)</t>
  </si>
  <si>
    <t>ARDR_DEPOSITS_GUARANTEES (2017)</t>
  </si>
  <si>
    <t>ARDR_DEPOSITS_GUARANTEES (2018)</t>
  </si>
  <si>
    <t>ARDR_OTHER_RECEIVABLE_NET (2017)</t>
  </si>
  <si>
    <t>ARDR_OTHER_RECEIVABLE_NET (2018)</t>
  </si>
  <si>
    <t>ARD_ST_INVEST (2017)</t>
  </si>
  <si>
    <t>ARD_ST_INVEST (2018)</t>
  </si>
  <si>
    <t>ARDR_OTHER_FINL_ASSETS_LT (2017)</t>
  </si>
  <si>
    <t>ARDR_OTHER_FINL_ASSETS_LT (2018)</t>
  </si>
  <si>
    <t>ARDR_INVEST_SEC_AVAIL_FOR_SALE (2017)</t>
  </si>
  <si>
    <t>ARDR_INVEST_SEC_AVAIL_FOR_SALE (2018)</t>
  </si>
  <si>
    <t>ARDR_FINANCE_RECEIVABLES_LT (2017)</t>
  </si>
  <si>
    <t>ARDR_FINANCE_RECEIVABLES_LT (2018)</t>
  </si>
  <si>
    <t>RPC LN  Equity</t>
  </si>
  <si>
    <t>CAPEX (Forecasted, with PPE/Total Capex)</t>
  </si>
  <si>
    <t>Depreciation (Calc. / Est.)</t>
  </si>
  <si>
    <t>22Y</t>
  </si>
  <si>
    <t>BEST_EBIT (2021E)</t>
  </si>
  <si>
    <t>BEST_EBITDA (2021E)</t>
  </si>
  <si>
    <t>BEST_NET_DEBT (2021E)</t>
  </si>
  <si>
    <t>BEST_OPP (2021E)</t>
  </si>
  <si>
    <t>BEST_SALES (2021E)</t>
  </si>
  <si>
    <t>BEST_CAPEX (2021E)</t>
  </si>
  <si>
    <t>BEST_EBIT (2022E)</t>
  </si>
  <si>
    <t>BEST_EBITDA (2022E)</t>
  </si>
  <si>
    <t>BEST_NET_DEBT (2022E)</t>
  </si>
  <si>
    <t>BEST_OPP (2022E)</t>
  </si>
  <si>
    <t>BEST_SALES (2022E)</t>
  </si>
  <si>
    <t>BEST_CAPEX (2022E)</t>
  </si>
  <si>
    <t>BS BLOOMBEG DATA</t>
  </si>
  <si>
    <t>CF_CASH_FROM_OPER</t>
  </si>
  <si>
    <t>CF_FREE_CASH_FLOW_FIRM</t>
  </si>
  <si>
    <t>ARDR_STOCK_BASED_COMPENSATION</t>
  </si>
  <si>
    <t>ARDR_OTHER_NON_CASH_ITEMS</t>
  </si>
  <si>
    <t>ARDR_CHANGE_OTHER_PROVISIONS</t>
  </si>
  <si>
    <t>ARDR_GAIN_LOSS_SALES_FIX_ASSETS</t>
  </si>
  <si>
    <t>ARD_INT_REC_FROM_INVESTING_ACT</t>
  </si>
  <si>
    <t>ARD_CASH_PAID_FOR_INTEREST</t>
  </si>
  <si>
    <t>ARD_CASH_PAID_FOR_TAXES</t>
  </si>
  <si>
    <t>OTHER_NON_CASH_ADJ_LESS_DETAILED</t>
  </si>
  <si>
    <t>ARD_PENSION_POSTRETIREMNT_LIAB (2004)</t>
  </si>
  <si>
    <t>ARD_PENSION_POSTRETIREMNT_LIAB (2005)</t>
  </si>
  <si>
    <t>ARD_PENSION_POSTRETIREMNT_LIAB (2006)</t>
  </si>
  <si>
    <t>ARD_PENSION_POSTRETIREMNT_LIAB (2007)</t>
  </si>
  <si>
    <t>ARD_PENSION_POSTRETIREMNT_LIAB (2008)</t>
  </si>
  <si>
    <t>ARD_PENSION_POSTRETIREMNT_LIAB (2009)</t>
  </si>
  <si>
    <t>ARD_PENSION_POSTRETIREMNT_LIAB (2010)</t>
  </si>
  <si>
    <t>ARD_PENSION_POSTRETIREMNT_LIAB (2011)</t>
  </si>
  <si>
    <t>ARD_PENSION_POSTRETIREMNT_LIAB (2012)</t>
  </si>
  <si>
    <t>ARD_PENSION_POSTRETIREMNT_LIAB (2013)</t>
  </si>
  <si>
    <t>ARD_PENSION_POSTRETIREMNT_LIAB (2014)</t>
  </si>
  <si>
    <t>ARD_PENSION_POSTRETIREMNT_LIAB (2015)</t>
  </si>
  <si>
    <t>ARD_PENSION_POSTRETIREMNT_LIAB (2016)</t>
  </si>
  <si>
    <t>ARD_PENSION_POSTRETIREMNT_LIAB (2017)</t>
  </si>
  <si>
    <t>ARD_PENSION_POSTRETIREMNT_LIAB (2018)</t>
  </si>
  <si>
    <t>CF_CASH_FROM_OPER (2004)</t>
  </si>
  <si>
    <t>CF_CASH_FROM_OPER (2005)</t>
  </si>
  <si>
    <t>CF_CASH_FROM_OPER (2006)</t>
  </si>
  <si>
    <t>CF_CASH_FROM_OPER (2007)</t>
  </si>
  <si>
    <t>CF_CASH_FROM_OPER (2008)</t>
  </si>
  <si>
    <t>CF_CASH_FROM_OPER (2009)</t>
  </si>
  <si>
    <t>CF_CASH_FROM_OPER (2010)</t>
  </si>
  <si>
    <t>CF_CASH_FROM_OPER (2011)</t>
  </si>
  <si>
    <t>CF_CASH_FROM_OPER (2012)</t>
  </si>
  <si>
    <t>CF_CASH_FROM_OPER (2013)</t>
  </si>
  <si>
    <t>CF_CASH_FROM_OPER (2014)</t>
  </si>
  <si>
    <t>CF_CASH_FROM_OPER (2015)</t>
  </si>
  <si>
    <t>CF_CASH_FROM_OPER (2016)</t>
  </si>
  <si>
    <t>CF_CASH_FROM_OPER (2017)</t>
  </si>
  <si>
    <t>CF_CASH_FROM_OPER (2018)</t>
  </si>
  <si>
    <t>CF_FREE_CASH_FLOW_FIRM (2004)</t>
  </si>
  <si>
    <t>CF_FREE_CASH_FLOW_FIRM (2005)</t>
  </si>
  <si>
    <t>CF_FREE_CASH_FLOW_FIRM (2006)</t>
  </si>
  <si>
    <t>CF_FREE_CASH_FLOW_FIRM (2007)</t>
  </si>
  <si>
    <t>CF_FREE_CASH_FLOW_FIRM (2008)</t>
  </si>
  <si>
    <t>CF_FREE_CASH_FLOW_FIRM (2009)</t>
  </si>
  <si>
    <t>CF_FREE_CASH_FLOW_FIRM (2010)</t>
  </si>
  <si>
    <t>CF_FREE_CASH_FLOW_FIRM (2011)</t>
  </si>
  <si>
    <t>CF_FREE_CASH_FLOW_FIRM (2012)</t>
  </si>
  <si>
    <t>CF_FREE_CASH_FLOW_FIRM (2013)</t>
  </si>
  <si>
    <t>CF_FREE_CASH_FLOW_FIRM (2014)</t>
  </si>
  <si>
    <t>CF_FREE_CASH_FLOW_FIRM (2015)</t>
  </si>
  <si>
    <t>CF_FREE_CASH_FLOW_FIRM (2016)</t>
  </si>
  <si>
    <t>CF_FREE_CASH_FLOW_FIRM (2017)</t>
  </si>
  <si>
    <t>CF_FREE_CASH_FLOW_FIRM (2018)</t>
  </si>
  <si>
    <t>OTHER_NON_CASH_ADJ_LESS_DETAILED (2004)</t>
  </si>
  <si>
    <t>OTHER_NON_CASH_ADJ_LESS_DETAILED (2005)</t>
  </si>
  <si>
    <t>OTHER_NON_CASH_ADJ_LESS_DETAILED (2006)</t>
  </si>
  <si>
    <t>OTHER_NON_CASH_ADJ_LESS_DETAILED (2007)</t>
  </si>
  <si>
    <t>OTHER_NON_CASH_ADJ_LESS_DETAILED (2008)</t>
  </si>
  <si>
    <t>OTHER_NON_CASH_ADJ_LESS_DETAILED (2009)</t>
  </si>
  <si>
    <t>OTHER_NON_CASH_ADJ_LESS_DETAILED (2010)</t>
  </si>
  <si>
    <t>OTHER_NON_CASH_ADJ_LESS_DETAILED (2011)</t>
  </si>
  <si>
    <t>OTHER_NON_CASH_ADJ_LESS_DETAILED (2012)</t>
  </si>
  <si>
    <t>OTHER_NON_CASH_ADJ_LESS_DETAILED (2013)</t>
  </si>
  <si>
    <t>OTHER_NON_CASH_ADJ_LESS_DETAILED (2014)</t>
  </si>
  <si>
    <t>OTHER_NON_CASH_ADJ_LESS_DETAILED (2015)</t>
  </si>
  <si>
    <t>OTHER_NON_CASH_ADJ_LESS_DETAILED (2016)</t>
  </si>
  <si>
    <t>OTHER_NON_CASH_ADJ_LESS_DETAILED (2017)</t>
  </si>
  <si>
    <t>OTHER_NON_CASH_ADJ_LESS_DETAILED (2018)</t>
  </si>
  <si>
    <t>ARDR_STOCK_BASED_COMPENSATION (2004)</t>
  </si>
  <si>
    <t>ARDR_STOCK_BASED_COMPENSATION (2005)</t>
  </si>
  <si>
    <t>ARDR_STOCK_BASED_COMPENSATION (2006)</t>
  </si>
  <si>
    <t>ARDR_STOCK_BASED_COMPENSATION (2007)</t>
  </si>
  <si>
    <t>ARDR_STOCK_BASED_COMPENSATION (2008)</t>
  </si>
  <si>
    <t>ARDR_STOCK_BASED_COMPENSATION (2009)</t>
  </si>
  <si>
    <t>ARDR_STOCK_BASED_COMPENSATION (2010)</t>
  </si>
  <si>
    <t>ARDR_STOCK_BASED_COMPENSATION (2011)</t>
  </si>
  <si>
    <t>ARDR_STOCK_BASED_COMPENSATION (2012)</t>
  </si>
  <si>
    <t>ARDR_STOCK_BASED_COMPENSATION (2013)</t>
  </si>
  <si>
    <t>ARDR_STOCK_BASED_COMPENSATION (2014)</t>
  </si>
  <si>
    <t>ARDR_STOCK_BASED_COMPENSATION (2015)</t>
  </si>
  <si>
    <t>ARDR_STOCK_BASED_COMPENSATION (2016)</t>
  </si>
  <si>
    <t>ARDR_STOCK_BASED_COMPENSATION (2017)</t>
  </si>
  <si>
    <t>ARDR_STOCK_BASED_COMPENSATION (2018)</t>
  </si>
  <si>
    <t>ARDR_OTHER_NON_CASH_ITEMS (2004)</t>
  </si>
  <si>
    <t>ARDR_OTHER_NON_CASH_ITEMS (2005)</t>
  </si>
  <si>
    <t>ARDR_OTHER_NON_CASH_ITEMS (2006)</t>
  </si>
  <si>
    <t>ARDR_OTHER_NON_CASH_ITEMS (2007)</t>
  </si>
  <si>
    <t>ARDR_OTHER_NON_CASH_ITEMS (2008)</t>
  </si>
  <si>
    <t>ARDR_OTHER_NON_CASH_ITEMS (2009)</t>
  </si>
  <si>
    <t>ARDR_OTHER_NON_CASH_ITEMS (2010)</t>
  </si>
  <si>
    <t>ARDR_OTHER_NON_CASH_ITEMS (2011)</t>
  </si>
  <si>
    <t>ARDR_OTHER_NON_CASH_ITEMS (2012)</t>
  </si>
  <si>
    <t>ARDR_OTHER_NON_CASH_ITEMS (2013)</t>
  </si>
  <si>
    <t>ARDR_OTHER_NON_CASH_ITEMS (2014)</t>
  </si>
  <si>
    <t>ARDR_OTHER_NON_CASH_ITEMS (2015)</t>
  </si>
  <si>
    <t>ARDR_OTHER_NON_CASH_ITEMS (2016)</t>
  </si>
  <si>
    <t>ARDR_OTHER_NON_CASH_ITEMS (2017)</t>
  </si>
  <si>
    <t>ARDR_OTHER_NON_CASH_ITEMS (2018)</t>
  </si>
  <si>
    <t>ARDR_CHANGE_OTHER_PROVISIONS (2004)</t>
  </si>
  <si>
    <t>ARDR_CHANGE_OTHER_PROVISIONS (2005)</t>
  </si>
  <si>
    <t>ARDR_CHANGE_OTHER_PROVISIONS (2006)</t>
  </si>
  <si>
    <t>ARDR_CHANGE_OTHER_PROVISIONS (2007)</t>
  </si>
  <si>
    <t>ARDR_CHANGE_OTHER_PROVISIONS (2008)</t>
  </si>
  <si>
    <t>ARDR_CHANGE_OTHER_PROVISIONS (2009)</t>
  </si>
  <si>
    <t>ARDR_CHANGE_OTHER_PROVISIONS (2010)</t>
  </si>
  <si>
    <t>ARDR_CHANGE_OTHER_PROVISIONS (2011)</t>
  </si>
  <si>
    <t>ARDR_CHANGE_OTHER_PROVISIONS (2012)</t>
  </si>
  <si>
    <t>ARDR_CHANGE_OTHER_PROVISIONS (2013)</t>
  </si>
  <si>
    <t>ARDR_CHANGE_OTHER_PROVISIONS (2014)</t>
  </si>
  <si>
    <t>ARDR_CHANGE_OTHER_PROVISIONS (2015)</t>
  </si>
  <si>
    <t>ARDR_CHANGE_OTHER_PROVISIONS (2016)</t>
  </si>
  <si>
    <t>ARDR_CHANGE_OTHER_PROVISIONS (2017)</t>
  </si>
  <si>
    <t>ARDR_CHANGE_OTHER_PROVISIONS (2018)</t>
  </si>
  <si>
    <t>ARDR_GAIN_LOSS_SALES_FIX_ASSETS (2004)</t>
  </si>
  <si>
    <t>ARDR_GAIN_LOSS_SALES_FIX_ASSETS (2005)</t>
  </si>
  <si>
    <t>ARDR_GAIN_LOSS_SALES_FIX_ASSETS (2006)</t>
  </si>
  <si>
    <t>ARDR_GAIN_LOSS_SALES_FIX_ASSETS (2007)</t>
  </si>
  <si>
    <t>ARDR_GAIN_LOSS_SALES_FIX_ASSETS (2008)</t>
  </si>
  <si>
    <t>ARDR_GAIN_LOSS_SALES_FIX_ASSETS (2009)</t>
  </si>
  <si>
    <t>ARDR_GAIN_LOSS_SALES_FIX_ASSETS (2010)</t>
  </si>
  <si>
    <t>ARDR_GAIN_LOSS_SALES_FIX_ASSETS (2011)</t>
  </si>
  <si>
    <t>ARDR_GAIN_LOSS_SALES_FIX_ASSETS (2012)</t>
  </si>
  <si>
    <t>ARDR_GAIN_LOSS_SALES_FIX_ASSETS (2013)</t>
  </si>
  <si>
    <t>ARDR_GAIN_LOSS_SALES_FIX_ASSETS (2014)</t>
  </si>
  <si>
    <t>ARDR_GAIN_LOSS_SALES_FIX_ASSETS (2015)</t>
  </si>
  <si>
    <t>ARDR_GAIN_LOSS_SALES_FIX_ASSETS (2016)</t>
  </si>
  <si>
    <t>ARDR_GAIN_LOSS_SALES_FIX_ASSETS (2017)</t>
  </si>
  <si>
    <t>ARDR_GAIN_LOSS_SALES_FIX_ASSETS (2018)</t>
  </si>
  <si>
    <t>ARD_INT_REC_FROM_INVESTING_ACT (2004)</t>
  </si>
  <si>
    <t>ARD_INT_REC_FROM_INVESTING_ACT (2005)</t>
  </si>
  <si>
    <t>ARD_INT_REC_FROM_INVESTING_ACT (2006)</t>
  </si>
  <si>
    <t>ARD_INT_REC_FROM_INVESTING_ACT (2007)</t>
  </si>
  <si>
    <t>ARD_INT_REC_FROM_INVESTING_ACT (2008)</t>
  </si>
  <si>
    <t>ARD_INT_REC_FROM_INVESTING_ACT (2009)</t>
  </si>
  <si>
    <t>ARD_INT_REC_FROM_INVESTING_ACT (2010)</t>
  </si>
  <si>
    <t>ARD_INT_REC_FROM_INVESTING_ACT (2011)</t>
  </si>
  <si>
    <t>ARD_INT_REC_FROM_INVESTING_ACT (2012)</t>
  </si>
  <si>
    <t>ARD_INT_REC_FROM_INVESTING_ACT (2013)</t>
  </si>
  <si>
    <t>ARD_INT_REC_FROM_INVESTING_ACT (2014)</t>
  </si>
  <si>
    <t>ARD_INT_REC_FROM_INVESTING_ACT (2015)</t>
  </si>
  <si>
    <t>ARD_INT_REC_FROM_INVESTING_ACT (2016)</t>
  </si>
  <si>
    <t>ARD_INT_REC_FROM_INVESTING_ACT (2017)</t>
  </si>
  <si>
    <t>ARD_INT_REC_FROM_INVESTING_ACT (2018)</t>
  </si>
  <si>
    <t>ARD_CASH_PAID_FOR_INTEREST (2004)</t>
  </si>
  <si>
    <t>ARD_CASH_PAID_FOR_INTEREST (2005)</t>
  </si>
  <si>
    <t>ARD_CASH_PAID_FOR_INTEREST (2006)</t>
  </si>
  <si>
    <t>ARD_CASH_PAID_FOR_INTEREST (2007)</t>
  </si>
  <si>
    <t>ARD_CASH_PAID_FOR_INTEREST (2008)</t>
  </si>
  <si>
    <t>ARD_CASH_PAID_FOR_INTEREST (2009)</t>
  </si>
  <si>
    <t>ARD_CASH_PAID_FOR_INTEREST (2010)</t>
  </si>
  <si>
    <t>ARD_CASH_PAID_FOR_INTEREST (2011)</t>
  </si>
  <si>
    <t>ARD_CASH_PAID_FOR_INTEREST (2012)</t>
  </si>
  <si>
    <t>ARD_CASH_PAID_FOR_INTEREST (2013)</t>
  </si>
  <si>
    <t>ARD_CASH_PAID_FOR_INTEREST (2014)</t>
  </si>
  <si>
    <t>ARD_CASH_PAID_FOR_INTEREST (2015)</t>
  </si>
  <si>
    <t>ARD_CASH_PAID_FOR_INTEREST (2016)</t>
  </si>
  <si>
    <t>ARD_CASH_PAID_FOR_INTEREST (2017)</t>
  </si>
  <si>
    <t>ARD_CASH_PAID_FOR_INTEREST (2018)</t>
  </si>
  <si>
    <t>ARD_CASH_PAID_FOR_TAXES (2004)</t>
  </si>
  <si>
    <t>ARD_CASH_PAID_FOR_TAXES (2005)</t>
  </si>
  <si>
    <t>ARD_CASH_PAID_FOR_TAXES (2006)</t>
  </si>
  <si>
    <t>ARD_CASH_PAID_FOR_TAXES (2007)</t>
  </si>
  <si>
    <t>ARD_CASH_PAID_FOR_TAXES (2008)</t>
  </si>
  <si>
    <t>ARD_CASH_PAID_FOR_TAXES (2009)</t>
  </si>
  <si>
    <t>ARD_CASH_PAID_FOR_TAXES (2010)</t>
  </si>
  <si>
    <t>ARD_CASH_PAID_FOR_TAXES (2011)</t>
  </si>
  <si>
    <t>ARD_CASH_PAID_FOR_TAXES (2012)</t>
  </si>
  <si>
    <t>ARD_CASH_PAID_FOR_TAXES (2013)</t>
  </si>
  <si>
    <t>ARD_CASH_PAID_FOR_TAXES (2014)</t>
  </si>
  <si>
    <t>ARD_CASH_PAID_FOR_TAXES (2015)</t>
  </si>
  <si>
    <t>ARD_CASH_PAID_FOR_TAXES (2016)</t>
  </si>
  <si>
    <t>ARD_CASH_PAID_FOR_TAXES (2017)</t>
  </si>
  <si>
    <t>ARD_CASH_PAID_FOR_TAXES (2018)</t>
  </si>
  <si>
    <t>ARD_TOT_CASH_FLOWS_FROM_OPS</t>
  </si>
  <si>
    <t>ARDR_CHG_IN_ACCOUNTS_RECEIVABLE</t>
  </si>
  <si>
    <t>ARD_CHANGE_IN_ACCOUNTS_PAYABLE</t>
  </si>
  <si>
    <t>ARD_CHANGE_IN_INVENTORIES</t>
  </si>
  <si>
    <t>ARD_CHANGE_IN_OTHER_CUR_ASSETS</t>
  </si>
  <si>
    <t>ARD_CHANGE_IN_PREPAID_EXP</t>
  </si>
  <si>
    <t>ARD_CHG_IN_ACC_COMP_PAY_EXP</t>
  </si>
  <si>
    <t>ARD_CHG_IN_ACCOUNTS_RECEIVABLE</t>
  </si>
  <si>
    <t>ARD_CHG_IN_OTHER_CURRENT_LIAB</t>
  </si>
  <si>
    <t>ARD_CHNG_TRADE_PAY_OTH_CUR_LIAB</t>
  </si>
  <si>
    <t>ARD_INCR_DECR_IN_TRADE_OTHER_REC</t>
  </si>
  <si>
    <t>ARDR_CHANGE_IN_INVENTORIES</t>
  </si>
  <si>
    <t>ARDR_CHG_IN_INC_TAX_PAYABLE_REC</t>
  </si>
  <si>
    <t>ARDR_CHNG_TRADE_PAY_OTH_CUR_LIAB</t>
  </si>
  <si>
    <t>ARDR_INCR_DECR_IN_PROVISIONS</t>
  </si>
  <si>
    <t>ARDR_INCR_DECR_IN_TRADE_OTH_REC</t>
  </si>
  <si>
    <t>CF_ACCT_RCV_UNBILLED_REV</t>
  </si>
  <si>
    <t>CF_CHANGE_IN_INVENTORIES</t>
  </si>
  <si>
    <t>CF_INC_DEC_IN_OT_OP_AST_LIAB</t>
  </si>
  <si>
    <t>INC_DEC_IN_OT_OP_AST_LIAB_DETAIL</t>
  </si>
  <si>
    <t>ARD_TOT_CASH_FLOWS_FROM_OPS (2004)</t>
  </si>
  <si>
    <t>ARD_TOT_CASH_FLOWS_FROM_OPS (2005)</t>
  </si>
  <si>
    <t>ARD_TOT_CASH_FLOWS_FROM_OPS (2006)</t>
  </si>
  <si>
    <t>ARD_TOT_CASH_FLOWS_FROM_OPS (2007)</t>
  </si>
  <si>
    <t>ARD_TOT_CASH_FLOWS_FROM_OPS (2008)</t>
  </si>
  <si>
    <t>ARD_TOT_CASH_FLOWS_FROM_OPS (2009)</t>
  </si>
  <si>
    <t>ARD_TOT_CASH_FLOWS_FROM_OPS (2010)</t>
  </si>
  <si>
    <t>ARD_TOT_CASH_FLOWS_FROM_OPS (2011)</t>
  </si>
  <si>
    <t>ARD_TOT_CASH_FLOWS_FROM_OPS (2012)</t>
  </si>
  <si>
    <t>ARD_TOT_CASH_FLOWS_FROM_OPS (2013)</t>
  </si>
  <si>
    <t>ARD_TOT_CASH_FLOWS_FROM_OPS (2014)</t>
  </si>
  <si>
    <t>ARD_TOT_CASH_FLOWS_FROM_OPS (2015)</t>
  </si>
  <si>
    <t>ARD_TOT_CASH_FLOWS_FROM_OPS (2016)</t>
  </si>
  <si>
    <t>ARD_TOT_CASH_FLOWS_FROM_OPS (2017)</t>
  </si>
  <si>
    <t>ARD_TOT_CASH_FLOWS_FROM_OPS (2018)</t>
  </si>
  <si>
    <t>ARDR_CHG_IN_ACCOUNTS_RECEIVABLE (2004)</t>
  </si>
  <si>
    <t>ARDR_CHG_IN_ACCOUNTS_RECEIVABLE (2005)</t>
  </si>
  <si>
    <t>ARDR_CHG_IN_ACCOUNTS_RECEIVABLE (2006)</t>
  </si>
  <si>
    <t>ARDR_CHG_IN_ACCOUNTS_RECEIVABLE (2007)</t>
  </si>
  <si>
    <t>ARDR_CHG_IN_ACCOUNTS_RECEIVABLE (2008)</t>
  </si>
  <si>
    <t>ARDR_CHG_IN_ACCOUNTS_RECEIVABLE (2009)</t>
  </si>
  <si>
    <t>ARDR_CHG_IN_ACCOUNTS_RECEIVABLE (2010)</t>
  </si>
  <si>
    <t>ARDR_CHG_IN_ACCOUNTS_RECEIVABLE (2011)</t>
  </si>
  <si>
    <t>ARDR_CHG_IN_ACCOUNTS_RECEIVABLE (2012)</t>
  </si>
  <si>
    <t>ARDR_CHG_IN_ACCOUNTS_RECEIVABLE (2013)</t>
  </si>
  <si>
    <t>ARDR_CHG_IN_ACCOUNTS_RECEIVABLE (2014)</t>
  </si>
  <si>
    <t>ARDR_CHG_IN_ACCOUNTS_RECEIVABLE (2015)</t>
  </si>
  <si>
    <t>ARDR_CHG_IN_ACCOUNTS_RECEIVABLE (2016)</t>
  </si>
  <si>
    <t>ARDR_CHG_IN_ACCOUNTS_RECEIVABLE (2017)</t>
  </si>
  <si>
    <t>ARDR_CHG_IN_ACCOUNTS_RECEIVABLE (2018)</t>
  </si>
  <si>
    <t>ARD_CHANGE_IN_ACCOUNTS_PAYABLE (2004)</t>
  </si>
  <si>
    <t>ARD_CHANGE_IN_ACCOUNTS_PAYABLE (2005)</t>
  </si>
  <si>
    <t>ARD_CHANGE_IN_ACCOUNTS_PAYABLE (2006)</t>
  </si>
  <si>
    <t>ARD_CHANGE_IN_ACCOUNTS_PAYABLE (2007)</t>
  </si>
  <si>
    <t>ARD_CHANGE_IN_ACCOUNTS_PAYABLE (2008)</t>
  </si>
  <si>
    <t>ARD_CHANGE_IN_ACCOUNTS_PAYABLE (2009)</t>
  </si>
  <si>
    <t>ARD_CHANGE_IN_ACCOUNTS_PAYABLE (2010)</t>
  </si>
  <si>
    <t>ARD_CHANGE_IN_ACCOUNTS_PAYABLE (2011)</t>
  </si>
  <si>
    <t>ARD_CHANGE_IN_ACCOUNTS_PAYABLE (2012)</t>
  </si>
  <si>
    <t>ARD_CHANGE_IN_ACCOUNTS_PAYABLE (2013)</t>
  </si>
  <si>
    <t>ARD_CHANGE_IN_ACCOUNTS_PAYABLE (2014)</t>
  </si>
  <si>
    <t>ARD_CHANGE_IN_ACCOUNTS_PAYABLE (2015)</t>
  </si>
  <si>
    <t>ARD_CHANGE_IN_ACCOUNTS_PAYABLE (2016)</t>
  </si>
  <si>
    <t>ARD_CHANGE_IN_ACCOUNTS_PAYABLE (2017)</t>
  </si>
  <si>
    <t>ARD_CHANGE_IN_ACCOUNTS_PAYABLE (2018)</t>
  </si>
  <si>
    <t>ARD_CHANGE_IN_INVENTORIES (2004)</t>
  </si>
  <si>
    <t>ARD_CHANGE_IN_INVENTORIES (2005)</t>
  </si>
  <si>
    <t>ARD_CHANGE_IN_INVENTORIES (2006)</t>
  </si>
  <si>
    <t>ARD_CHANGE_IN_INVENTORIES (2007)</t>
  </si>
  <si>
    <t>ARD_CHANGE_IN_INVENTORIES (2008)</t>
  </si>
  <si>
    <t>ARD_CHANGE_IN_INVENTORIES (2009)</t>
  </si>
  <si>
    <t>ARD_CHANGE_IN_INVENTORIES (2010)</t>
  </si>
  <si>
    <t>ARD_CHANGE_IN_INVENTORIES (2011)</t>
  </si>
  <si>
    <t>ARD_CHANGE_IN_INVENTORIES (2012)</t>
  </si>
  <si>
    <t>ARD_CHANGE_IN_INVENTORIES (2013)</t>
  </si>
  <si>
    <t>ARD_CHANGE_IN_INVENTORIES (2014)</t>
  </si>
  <si>
    <t>ARD_CHANGE_IN_INVENTORIES (2015)</t>
  </si>
  <si>
    <t>ARD_CHANGE_IN_INVENTORIES (2016)</t>
  </si>
  <si>
    <t>ARD_CHANGE_IN_INVENTORIES (2017)</t>
  </si>
  <si>
    <t>ARD_CHANGE_IN_INVENTORIES (2018)</t>
  </si>
  <si>
    <t>ARD_CHANGE_IN_OTHER_CUR_ASSETS (2004)</t>
  </si>
  <si>
    <t>ARD_CHANGE_IN_OTHER_CUR_ASSETS (2005)</t>
  </si>
  <si>
    <t>ARD_CHANGE_IN_OTHER_CUR_ASSETS (2006)</t>
  </si>
  <si>
    <t>ARD_CHANGE_IN_OTHER_CUR_ASSETS (2007)</t>
  </si>
  <si>
    <t>ARD_CHANGE_IN_OTHER_CUR_ASSETS (2008)</t>
  </si>
  <si>
    <t>ARD_CHANGE_IN_OTHER_CUR_ASSETS (2009)</t>
  </si>
  <si>
    <t>ARD_CHANGE_IN_OTHER_CUR_ASSETS (2010)</t>
  </si>
  <si>
    <t>ARD_CHANGE_IN_OTHER_CUR_ASSETS (2011)</t>
  </si>
  <si>
    <t>ARD_CHANGE_IN_OTHER_CUR_ASSETS (2012)</t>
  </si>
  <si>
    <t>ARD_CHANGE_IN_OTHER_CUR_ASSETS (2013)</t>
  </si>
  <si>
    <t>ARD_CHANGE_IN_OTHER_CUR_ASSETS (2014)</t>
  </si>
  <si>
    <t>ARD_CHANGE_IN_OTHER_CUR_ASSETS (2015)</t>
  </si>
  <si>
    <t>ARD_CHANGE_IN_OTHER_CUR_ASSETS (2016)</t>
  </si>
  <si>
    <t>ARD_CHANGE_IN_OTHER_CUR_ASSETS (2017)</t>
  </si>
  <si>
    <t>ARD_CHANGE_IN_OTHER_CUR_ASSETS (2018)</t>
  </si>
  <si>
    <t>ARD_CHANGE_IN_PREPAID_EXP (2004)</t>
  </si>
  <si>
    <t>ARD_CHANGE_IN_PREPAID_EXP (2005)</t>
  </si>
  <si>
    <t>ARD_CHANGE_IN_PREPAID_EXP (2006)</t>
  </si>
  <si>
    <t>ARD_CHANGE_IN_PREPAID_EXP (2007)</t>
  </si>
  <si>
    <t>ARD_CHANGE_IN_PREPAID_EXP (2008)</t>
  </si>
  <si>
    <t>ARD_CHANGE_IN_PREPAID_EXP (2009)</t>
  </si>
  <si>
    <t>ARD_CHANGE_IN_PREPAID_EXP (2010)</t>
  </si>
  <si>
    <t>ARD_CHANGE_IN_PREPAID_EXP (2011)</t>
  </si>
  <si>
    <t>ARD_CHANGE_IN_PREPAID_EXP (2012)</t>
  </si>
  <si>
    <t>ARD_CHANGE_IN_PREPAID_EXP (2013)</t>
  </si>
  <si>
    <t>ARD_CHANGE_IN_PREPAID_EXP (2014)</t>
  </si>
  <si>
    <t>ARD_CHANGE_IN_PREPAID_EXP (2015)</t>
  </si>
  <si>
    <t>ARD_CHANGE_IN_PREPAID_EXP (2016)</t>
  </si>
  <si>
    <t>ARD_CHANGE_IN_PREPAID_EXP (2017)</t>
  </si>
  <si>
    <t>ARD_CHANGE_IN_PREPAID_EXP (2018)</t>
  </si>
  <si>
    <t>ARD_CHG_IN_ACC_COMP_PAY_EXP (2004)</t>
  </si>
  <si>
    <t>ARD_CHG_IN_ACC_COMP_PAY_EXP (2005)</t>
  </si>
  <si>
    <t>ARD_CHG_IN_ACC_COMP_PAY_EXP (2006)</t>
  </si>
  <si>
    <t>ARD_CHG_IN_ACC_COMP_PAY_EXP (2007)</t>
  </si>
  <si>
    <t>ARD_CHG_IN_ACC_COMP_PAY_EXP (2008)</t>
  </si>
  <si>
    <t>ARD_CHG_IN_ACC_COMP_PAY_EXP (2009)</t>
  </si>
  <si>
    <t>ARD_CHG_IN_ACC_COMP_PAY_EXP (2010)</t>
  </si>
  <si>
    <t>ARD_CHG_IN_ACC_COMP_PAY_EXP (2011)</t>
  </si>
  <si>
    <t>ARD_CHG_IN_ACC_COMP_PAY_EXP (2012)</t>
  </si>
  <si>
    <t>ARD_CHG_IN_ACC_COMP_PAY_EXP (2013)</t>
  </si>
  <si>
    <t>ARD_CHG_IN_ACC_COMP_PAY_EXP (2014)</t>
  </si>
  <si>
    <t>ARD_CHG_IN_ACC_COMP_PAY_EXP (2015)</t>
  </si>
  <si>
    <t>ARD_CHG_IN_ACC_COMP_PAY_EXP (2016)</t>
  </si>
  <si>
    <t>ARD_CHG_IN_ACC_COMP_PAY_EXP (2017)</t>
  </si>
  <si>
    <t>ARD_CHG_IN_ACC_COMP_PAY_EXP (2018)</t>
  </si>
  <si>
    <t>ARD_CHG_IN_ACCOUNTS_RECEIVABLE (2004)</t>
  </si>
  <si>
    <t>ARD_CHG_IN_ACCOUNTS_RECEIVABLE (2005)</t>
  </si>
  <si>
    <t>ARD_CHG_IN_ACCOUNTS_RECEIVABLE (2006)</t>
  </si>
  <si>
    <t>ARD_CHG_IN_ACCOUNTS_RECEIVABLE (2007)</t>
  </si>
  <si>
    <t>ARD_CHG_IN_ACCOUNTS_RECEIVABLE (2008)</t>
  </si>
  <si>
    <t>ARD_CHG_IN_ACCOUNTS_RECEIVABLE (2009)</t>
  </si>
  <si>
    <t>ARD_CHG_IN_ACCOUNTS_RECEIVABLE (2010)</t>
  </si>
  <si>
    <t>ARD_CHG_IN_ACCOUNTS_RECEIVABLE (2011)</t>
  </si>
  <si>
    <t>ARD_CHG_IN_ACCOUNTS_RECEIVABLE (2012)</t>
  </si>
  <si>
    <t>ARD_CHG_IN_ACCOUNTS_RECEIVABLE (2013)</t>
  </si>
  <si>
    <t>ARD_CHG_IN_ACCOUNTS_RECEIVABLE (2014)</t>
  </si>
  <si>
    <t>ARD_CHG_IN_ACCOUNTS_RECEIVABLE (2015)</t>
  </si>
  <si>
    <t>ARD_CHG_IN_ACCOUNTS_RECEIVABLE (2016)</t>
  </si>
  <si>
    <t>ARD_CHG_IN_ACCOUNTS_RECEIVABLE (2017)</t>
  </si>
  <si>
    <t>ARD_CHG_IN_ACCOUNTS_RECEIVABLE (2018)</t>
  </si>
  <si>
    <t>ARD_CHG_IN_OTHER_CURRENT_LIAB (2004)</t>
  </si>
  <si>
    <t>ARD_CHG_IN_OTHER_CURRENT_LIAB (2005)</t>
  </si>
  <si>
    <t>ARD_CHG_IN_OTHER_CURRENT_LIAB (2006)</t>
  </si>
  <si>
    <t>ARD_CHG_IN_OTHER_CURRENT_LIAB (2007)</t>
  </si>
  <si>
    <t>ARD_CHG_IN_OTHER_CURRENT_LIAB (2008)</t>
  </si>
  <si>
    <t>ARD_CHG_IN_OTHER_CURRENT_LIAB (2009)</t>
  </si>
  <si>
    <t>ARD_CHG_IN_OTHER_CURRENT_LIAB (2010)</t>
  </si>
  <si>
    <t>ARD_CHG_IN_OTHER_CURRENT_LIAB (2011)</t>
  </si>
  <si>
    <t>ARD_CHG_IN_OTHER_CURRENT_LIAB (2012)</t>
  </si>
  <si>
    <t>ARD_CHG_IN_OTHER_CURRENT_LIAB (2013)</t>
  </si>
  <si>
    <t>ARD_CHG_IN_OTHER_CURRENT_LIAB (2014)</t>
  </si>
  <si>
    <t>ARD_CHG_IN_OTHER_CURRENT_LIAB (2015)</t>
  </si>
  <si>
    <t>ARD_CHG_IN_OTHER_CURRENT_LIAB (2016)</t>
  </si>
  <si>
    <t>ARD_CHG_IN_OTHER_CURRENT_LIAB (2017)</t>
  </si>
  <si>
    <t>ARD_CHG_IN_OTHER_CURRENT_LIAB (2018)</t>
  </si>
  <si>
    <t>ARD_CHNG_TRADE_PAY_OTH_CUR_LIAB (2004)</t>
  </si>
  <si>
    <t>ARD_CHNG_TRADE_PAY_OTH_CUR_LIAB (2005)</t>
  </si>
  <si>
    <t>ARD_CHNG_TRADE_PAY_OTH_CUR_LIAB (2006)</t>
  </si>
  <si>
    <t>ARD_CHNG_TRADE_PAY_OTH_CUR_LIAB (2007)</t>
  </si>
  <si>
    <t>ARD_CHNG_TRADE_PAY_OTH_CUR_LIAB (2008)</t>
  </si>
  <si>
    <t>ARD_CHNG_TRADE_PAY_OTH_CUR_LIAB (2009)</t>
  </si>
  <si>
    <t>ARD_CHNG_TRADE_PAY_OTH_CUR_LIAB (2010)</t>
  </si>
  <si>
    <t>ARD_CHNG_TRADE_PAY_OTH_CUR_LIAB (2011)</t>
  </si>
  <si>
    <t>ARD_CHNG_TRADE_PAY_OTH_CUR_LIAB (2012)</t>
  </si>
  <si>
    <t>ARD_CHNG_TRADE_PAY_OTH_CUR_LIAB (2013)</t>
  </si>
  <si>
    <t>ARD_CHNG_TRADE_PAY_OTH_CUR_LIAB (2014)</t>
  </si>
  <si>
    <t>ARD_CHNG_TRADE_PAY_OTH_CUR_LIAB (2015)</t>
  </si>
  <si>
    <t>ARD_CHNG_TRADE_PAY_OTH_CUR_LIAB (2016)</t>
  </si>
  <si>
    <t>ARD_CHNG_TRADE_PAY_OTH_CUR_LIAB (2017)</t>
  </si>
  <si>
    <t>ARD_CHNG_TRADE_PAY_OTH_CUR_LIAB (2018)</t>
  </si>
  <si>
    <t>ARD_INCR_DECR_IN_TRADE_OTHER_REC (2004)</t>
  </si>
  <si>
    <t>ARD_INCR_DECR_IN_TRADE_OTHER_REC (2005)</t>
  </si>
  <si>
    <t>ARD_INCR_DECR_IN_TRADE_OTHER_REC (2006)</t>
  </si>
  <si>
    <t>ARD_INCR_DECR_IN_TRADE_OTHER_REC (2007)</t>
  </si>
  <si>
    <t>ARD_INCR_DECR_IN_TRADE_OTHER_REC (2008)</t>
  </si>
  <si>
    <t>ARD_INCR_DECR_IN_TRADE_OTHER_REC (2009)</t>
  </si>
  <si>
    <t>ARD_INCR_DECR_IN_TRADE_OTHER_REC (2010)</t>
  </si>
  <si>
    <t>ARD_INCR_DECR_IN_TRADE_OTHER_REC (2011)</t>
  </si>
  <si>
    <t>ARD_INCR_DECR_IN_TRADE_OTHER_REC (2012)</t>
  </si>
  <si>
    <t>ARD_INCR_DECR_IN_TRADE_OTHER_REC (2013)</t>
  </si>
  <si>
    <t>ARD_INCR_DECR_IN_TRADE_OTHER_REC (2014)</t>
  </si>
  <si>
    <t>ARD_INCR_DECR_IN_TRADE_OTHER_REC (2015)</t>
  </si>
  <si>
    <t>ARD_INCR_DECR_IN_TRADE_OTHER_REC (2016)</t>
  </si>
  <si>
    <t>ARD_INCR_DECR_IN_TRADE_OTHER_REC (2017)</t>
  </si>
  <si>
    <t>ARD_INCR_DECR_IN_TRADE_OTHER_REC (2018)</t>
  </si>
  <si>
    <t>ARDR_CHANGE_IN_INVENTORIES (2004)</t>
  </si>
  <si>
    <t>ARDR_CHANGE_IN_INVENTORIES (2005)</t>
  </si>
  <si>
    <t>ARDR_CHANGE_IN_INVENTORIES (2006)</t>
  </si>
  <si>
    <t>ARDR_CHANGE_IN_INVENTORIES (2007)</t>
  </si>
  <si>
    <t>ARDR_CHANGE_IN_INVENTORIES (2008)</t>
  </si>
  <si>
    <t>ARDR_CHANGE_IN_INVENTORIES (2009)</t>
  </si>
  <si>
    <t>ARDR_CHANGE_IN_INVENTORIES (2010)</t>
  </si>
  <si>
    <t>ARDR_CHANGE_IN_INVENTORIES (2011)</t>
  </si>
  <si>
    <t>ARDR_CHANGE_IN_INVENTORIES (2012)</t>
  </si>
  <si>
    <t>ARDR_CHANGE_IN_INVENTORIES (2013)</t>
  </si>
  <si>
    <t>ARDR_CHANGE_IN_INVENTORIES (2014)</t>
  </si>
  <si>
    <t>ARDR_CHANGE_IN_INVENTORIES (2015)</t>
  </si>
  <si>
    <t>ARDR_CHANGE_IN_INVENTORIES (2016)</t>
  </si>
  <si>
    <t>ARDR_CHANGE_IN_INVENTORIES (2017)</t>
  </si>
  <si>
    <t>ARDR_CHANGE_IN_INVENTORIES (2018)</t>
  </si>
  <si>
    <t>ARDR_CHG_IN_INC_TAX_PAYABLE_REC (2004)</t>
  </si>
  <si>
    <t>ARDR_CHG_IN_INC_TAX_PAYABLE_REC (2005)</t>
  </si>
  <si>
    <t>ARDR_CHG_IN_INC_TAX_PAYABLE_REC (2006)</t>
  </si>
  <si>
    <t>ARDR_CHG_IN_INC_TAX_PAYABLE_REC (2007)</t>
  </si>
  <si>
    <t>ARDR_CHG_IN_INC_TAX_PAYABLE_REC (2008)</t>
  </si>
  <si>
    <t>ARDR_CHG_IN_INC_TAX_PAYABLE_REC (2009)</t>
  </si>
  <si>
    <t>ARDR_CHG_IN_INC_TAX_PAYABLE_REC (2010)</t>
  </si>
  <si>
    <t>ARDR_CHG_IN_INC_TAX_PAYABLE_REC (2011)</t>
  </si>
  <si>
    <t>ARDR_CHG_IN_INC_TAX_PAYABLE_REC (2012)</t>
  </si>
  <si>
    <t>ARDR_CHG_IN_INC_TAX_PAYABLE_REC (2013)</t>
  </si>
  <si>
    <t>ARDR_CHG_IN_INC_TAX_PAYABLE_REC (2014)</t>
  </si>
  <si>
    <t>ARDR_CHG_IN_INC_TAX_PAYABLE_REC (2015)</t>
  </si>
  <si>
    <t>ARDR_CHG_IN_INC_TAX_PAYABLE_REC (2016)</t>
  </si>
  <si>
    <t>ARDR_CHG_IN_INC_TAX_PAYABLE_REC (2017)</t>
  </si>
  <si>
    <t>ARDR_CHG_IN_INC_TAX_PAYABLE_REC (2018)</t>
  </si>
  <si>
    <t>ARDR_CHNG_TRADE_PAY_OTH_CUR_LIAB (2004)</t>
  </si>
  <si>
    <t>ARDR_CHNG_TRADE_PAY_OTH_CUR_LIAB (2005)</t>
  </si>
  <si>
    <t>ARDR_CHNG_TRADE_PAY_OTH_CUR_LIAB (2006)</t>
  </si>
  <si>
    <t>ARDR_CHNG_TRADE_PAY_OTH_CUR_LIAB (2007)</t>
  </si>
  <si>
    <t>ARDR_CHNG_TRADE_PAY_OTH_CUR_LIAB (2008)</t>
  </si>
  <si>
    <t>ARDR_CHNG_TRADE_PAY_OTH_CUR_LIAB (2009)</t>
  </si>
  <si>
    <t>ARDR_CHNG_TRADE_PAY_OTH_CUR_LIAB (2010)</t>
  </si>
  <si>
    <t>ARDR_CHNG_TRADE_PAY_OTH_CUR_LIAB (2011)</t>
  </si>
  <si>
    <t>ARDR_CHNG_TRADE_PAY_OTH_CUR_LIAB (2012)</t>
  </si>
  <si>
    <t>ARDR_CHNG_TRADE_PAY_OTH_CUR_LIAB (2013)</t>
  </si>
  <si>
    <t>ARDR_CHNG_TRADE_PAY_OTH_CUR_LIAB (2014)</t>
  </si>
  <si>
    <t>ARDR_CHNG_TRADE_PAY_OTH_CUR_LIAB (2015)</t>
  </si>
  <si>
    <t>ARDR_CHNG_TRADE_PAY_OTH_CUR_LIAB (2016)</t>
  </si>
  <si>
    <t>ARDR_CHNG_TRADE_PAY_OTH_CUR_LIAB (2017)</t>
  </si>
  <si>
    <t>ARDR_CHNG_TRADE_PAY_OTH_CUR_LIAB (2018)</t>
  </si>
  <si>
    <t>ARDR_INCR_DECR_IN_PROVISIONS (2004)</t>
  </si>
  <si>
    <t>ARDR_INCR_DECR_IN_PROVISIONS (2005)</t>
  </si>
  <si>
    <t>ARDR_INCR_DECR_IN_PROVISIONS (2006)</t>
  </si>
  <si>
    <t>ARDR_INCR_DECR_IN_PROVISIONS (2007)</t>
  </si>
  <si>
    <t>ARDR_INCR_DECR_IN_PROVISIONS (2008)</t>
  </si>
  <si>
    <t>ARDR_INCR_DECR_IN_PROVISIONS (2009)</t>
  </si>
  <si>
    <t>ARDR_INCR_DECR_IN_PROVISIONS (2010)</t>
  </si>
  <si>
    <t>ARDR_INCR_DECR_IN_PROVISIONS (2011)</t>
  </si>
  <si>
    <t>ARDR_INCR_DECR_IN_PROVISIONS (2012)</t>
  </si>
  <si>
    <t>ARDR_INCR_DECR_IN_PROVISIONS (2013)</t>
  </si>
  <si>
    <t>ARDR_INCR_DECR_IN_PROVISIONS (2014)</t>
  </si>
  <si>
    <t>ARDR_INCR_DECR_IN_PROVISIONS (2015)</t>
  </si>
  <si>
    <t>ARDR_INCR_DECR_IN_PROVISIONS (2016)</t>
  </si>
  <si>
    <t>ARDR_INCR_DECR_IN_PROVISIONS (2017)</t>
  </si>
  <si>
    <t>ARDR_INCR_DECR_IN_PROVISIONS (2018)</t>
  </si>
  <si>
    <t>ARDR_INCR_DECR_IN_TRADE_OTH_REC (2004)</t>
  </si>
  <si>
    <t>ARDR_INCR_DECR_IN_TRADE_OTH_REC (2005)</t>
  </si>
  <si>
    <t>ARDR_INCR_DECR_IN_TRADE_OTH_REC (2006)</t>
  </si>
  <si>
    <t>ARDR_INCR_DECR_IN_TRADE_OTH_REC (2007)</t>
  </si>
  <si>
    <t>ARDR_INCR_DECR_IN_TRADE_OTH_REC (2008)</t>
  </si>
  <si>
    <t>ARDR_INCR_DECR_IN_TRADE_OTH_REC (2009)</t>
  </si>
  <si>
    <t>ARDR_INCR_DECR_IN_TRADE_OTH_REC (2010)</t>
  </si>
  <si>
    <t>ARDR_INCR_DECR_IN_TRADE_OTH_REC (2011)</t>
  </si>
  <si>
    <t>ARDR_INCR_DECR_IN_TRADE_OTH_REC (2012)</t>
  </si>
  <si>
    <t>ARDR_INCR_DECR_IN_TRADE_OTH_REC (2013)</t>
  </si>
  <si>
    <t>ARDR_INCR_DECR_IN_TRADE_OTH_REC (2014)</t>
  </si>
  <si>
    <t>ARDR_INCR_DECR_IN_TRADE_OTH_REC (2015)</t>
  </si>
  <si>
    <t>ARDR_INCR_DECR_IN_TRADE_OTH_REC (2016)</t>
  </si>
  <si>
    <t>ARDR_INCR_DECR_IN_TRADE_OTH_REC (2017)</t>
  </si>
  <si>
    <t>ARDR_INCR_DECR_IN_TRADE_OTH_REC (2018)</t>
  </si>
  <si>
    <t>CF_ACCT_RCV_UNBILLED_REV (2004)</t>
  </si>
  <si>
    <t>CF_ACCT_RCV_UNBILLED_REV (2005)</t>
  </si>
  <si>
    <t>CF_ACCT_RCV_UNBILLED_REV (2006)</t>
  </si>
  <si>
    <t>CF_ACCT_RCV_UNBILLED_REV (2007)</t>
  </si>
  <si>
    <t>CF_ACCT_RCV_UNBILLED_REV (2008)</t>
  </si>
  <si>
    <t>CF_ACCT_RCV_UNBILLED_REV (2009)</t>
  </si>
  <si>
    <t>CF_ACCT_RCV_UNBILLED_REV (2010)</t>
  </si>
  <si>
    <t>CF_ACCT_RCV_UNBILLED_REV (2011)</t>
  </si>
  <si>
    <t>CF_ACCT_RCV_UNBILLED_REV (2012)</t>
  </si>
  <si>
    <t>CF_ACCT_RCV_UNBILLED_REV (2013)</t>
  </si>
  <si>
    <t>CF_ACCT_RCV_UNBILLED_REV (2014)</t>
  </si>
  <si>
    <t>CF_ACCT_RCV_UNBILLED_REV (2015)</t>
  </si>
  <si>
    <t>CF_ACCT_RCV_UNBILLED_REV (2016)</t>
  </si>
  <si>
    <t>CF_ACCT_RCV_UNBILLED_REV (2017)</t>
  </si>
  <si>
    <t>CF_ACCT_RCV_UNBILLED_REV (2018)</t>
  </si>
  <si>
    <t>CF_CHANGE_IN_INVENTORIES (2004)</t>
  </si>
  <si>
    <t>CF_CHANGE_IN_INVENTORIES (2005)</t>
  </si>
  <si>
    <t>CF_CHANGE_IN_INVENTORIES (2006)</t>
  </si>
  <si>
    <t>CF_CHANGE_IN_INVENTORIES (2007)</t>
  </si>
  <si>
    <t>CF_CHANGE_IN_INVENTORIES (2008)</t>
  </si>
  <si>
    <t>CF_CHANGE_IN_INVENTORIES (2009)</t>
  </si>
  <si>
    <t>CF_CHANGE_IN_INVENTORIES (2010)</t>
  </si>
  <si>
    <t>CF_CHANGE_IN_INVENTORIES (2011)</t>
  </si>
  <si>
    <t>CF_CHANGE_IN_INVENTORIES (2012)</t>
  </si>
  <si>
    <t>CF_CHANGE_IN_INVENTORIES (2013)</t>
  </si>
  <si>
    <t>CF_CHANGE_IN_INVENTORIES (2014)</t>
  </si>
  <si>
    <t>CF_CHANGE_IN_INVENTORIES (2015)</t>
  </si>
  <si>
    <t>CF_CHANGE_IN_INVENTORIES (2016)</t>
  </si>
  <si>
    <t>CF_CHANGE_IN_INVENTORIES (2017)</t>
  </si>
  <si>
    <t>CF_CHANGE_IN_INVENTORIES (2018)</t>
  </si>
  <si>
    <t>CF_INC_DEC_IN_OT_OP_AST_LIAB (2004)</t>
  </si>
  <si>
    <t>CF_INC_DEC_IN_OT_OP_AST_LIAB (2005)</t>
  </si>
  <si>
    <t>CF_INC_DEC_IN_OT_OP_AST_LIAB (2006)</t>
  </si>
  <si>
    <t>CF_INC_DEC_IN_OT_OP_AST_LIAB (2007)</t>
  </si>
  <si>
    <t>CF_INC_DEC_IN_OT_OP_AST_LIAB (2008)</t>
  </si>
  <si>
    <t>CF_INC_DEC_IN_OT_OP_AST_LIAB (2009)</t>
  </si>
  <si>
    <t>CF_INC_DEC_IN_OT_OP_AST_LIAB (2010)</t>
  </si>
  <si>
    <t>CF_INC_DEC_IN_OT_OP_AST_LIAB (2011)</t>
  </si>
  <si>
    <t>CF_INC_DEC_IN_OT_OP_AST_LIAB (2012)</t>
  </si>
  <si>
    <t>CF_INC_DEC_IN_OT_OP_AST_LIAB (2013)</t>
  </si>
  <si>
    <t>CF_INC_DEC_IN_OT_OP_AST_LIAB (2014)</t>
  </si>
  <si>
    <t>CF_INC_DEC_IN_OT_OP_AST_LIAB (2015)</t>
  </si>
  <si>
    <t>CF_INC_DEC_IN_OT_OP_AST_LIAB (2016)</t>
  </si>
  <si>
    <t>CF_INC_DEC_IN_OT_OP_AST_LIAB (2017)</t>
  </si>
  <si>
    <t>CF_INC_DEC_IN_OT_OP_AST_LIAB (2018)</t>
  </si>
  <si>
    <t>INC_DEC_IN_OT_OP_AST_LIAB_DETAIL (2004)</t>
  </si>
  <si>
    <t>INC_DEC_IN_OT_OP_AST_LIAB_DETAIL (2005)</t>
  </si>
  <si>
    <t>INC_DEC_IN_OT_OP_AST_LIAB_DETAIL (2006)</t>
  </si>
  <si>
    <t>INC_DEC_IN_OT_OP_AST_LIAB_DETAIL (2007)</t>
  </si>
  <si>
    <t>INC_DEC_IN_OT_OP_AST_LIAB_DETAIL (2008)</t>
  </si>
  <si>
    <t>INC_DEC_IN_OT_OP_AST_LIAB_DETAIL (2009)</t>
  </si>
  <si>
    <t>INC_DEC_IN_OT_OP_AST_LIAB_DETAIL (2010)</t>
  </si>
  <si>
    <t>INC_DEC_IN_OT_OP_AST_LIAB_DETAIL (2011)</t>
  </si>
  <si>
    <t>INC_DEC_IN_OT_OP_AST_LIAB_DETAIL (2012)</t>
  </si>
  <si>
    <t>INC_DEC_IN_OT_OP_AST_LIAB_DETAIL (2013)</t>
  </si>
  <si>
    <t>INC_DEC_IN_OT_OP_AST_LIAB_DETAIL (2014)</t>
  </si>
  <si>
    <t>INC_DEC_IN_OT_OP_AST_LIAB_DETAIL (2015)</t>
  </si>
  <si>
    <t>INC_DEC_IN_OT_OP_AST_LIAB_DETAIL (2016)</t>
  </si>
  <si>
    <t>INC_DEC_IN_OT_OP_AST_LIAB_DETAIL (2017)</t>
  </si>
  <si>
    <t>INC_DEC_IN_OT_OP_AST_LIAB_DETAIL (2018)</t>
  </si>
  <si>
    <t>CF_CHANGE_IN_ACCOUNTS_PAYABLE</t>
  </si>
  <si>
    <t>CASH FLOW CALCULATIONS</t>
  </si>
  <si>
    <t>Change in Accounts Recivable</t>
  </si>
  <si>
    <t>Change in Inventories</t>
  </si>
  <si>
    <t>Change in other Operating Assets &amp; Liabilities</t>
  </si>
  <si>
    <t>CF_CHNG_NON_CASH_WORK_CAP</t>
  </si>
  <si>
    <t>CF_CHANGE_IN_ACCOUNTS_PAYABLE (2004)</t>
  </si>
  <si>
    <t>CF_CHANGE_IN_ACCOUNTS_PAYABLE (2005)</t>
  </si>
  <si>
    <t>CF_CHANGE_IN_ACCOUNTS_PAYABLE (2006)</t>
  </si>
  <si>
    <t>CF_CHANGE_IN_ACCOUNTS_PAYABLE (2007)</t>
  </si>
  <si>
    <t>CF_CHANGE_IN_ACCOUNTS_PAYABLE (2008)</t>
  </si>
  <si>
    <t>CF_CHANGE_IN_ACCOUNTS_PAYABLE (2009)</t>
  </si>
  <si>
    <t>CF_CHANGE_IN_ACCOUNTS_PAYABLE (2010)</t>
  </si>
  <si>
    <t>CF_CHANGE_IN_ACCOUNTS_PAYABLE (2011)</t>
  </si>
  <si>
    <t>CF_CHANGE_IN_ACCOUNTS_PAYABLE (2012)</t>
  </si>
  <si>
    <t>CF_CHANGE_IN_ACCOUNTS_PAYABLE (2013)</t>
  </si>
  <si>
    <t>CF_CHANGE_IN_ACCOUNTS_PAYABLE (2014)</t>
  </si>
  <si>
    <t>CF_CHANGE_IN_ACCOUNTS_PAYABLE (2015)</t>
  </si>
  <si>
    <t>CF_CHANGE_IN_ACCOUNTS_PAYABLE (2016)</t>
  </si>
  <si>
    <t>CF_CHANGE_IN_ACCOUNTS_PAYABLE (2017)</t>
  </si>
  <si>
    <t>CF_CHANGE_IN_ACCOUNTS_PAYABLE (2018)</t>
  </si>
  <si>
    <t>CF_CHNG_NON_CASH_WORK_CAP (2004)</t>
  </si>
  <si>
    <t>CF_CHNG_NON_CASH_WORK_CAP (2005)</t>
  </si>
  <si>
    <t>CF_CHNG_NON_CASH_WORK_CAP (2006)</t>
  </si>
  <si>
    <t>CF_CHNG_NON_CASH_WORK_CAP (2007)</t>
  </si>
  <si>
    <t>CF_CHNG_NON_CASH_WORK_CAP (2008)</t>
  </si>
  <si>
    <t>CF_CHNG_NON_CASH_WORK_CAP (2009)</t>
  </si>
  <si>
    <t>CF_CHNG_NON_CASH_WORK_CAP (2010)</t>
  </si>
  <si>
    <t>CF_CHNG_NON_CASH_WORK_CAP (2011)</t>
  </si>
  <si>
    <t>CF_CHNG_NON_CASH_WORK_CAP (2012)</t>
  </si>
  <si>
    <t>CF_CHNG_NON_CASH_WORK_CAP (2013)</t>
  </si>
  <si>
    <t>CF_CHNG_NON_CASH_WORK_CAP (2014)</t>
  </si>
  <si>
    <t>CF_CHNG_NON_CASH_WORK_CAP (2015)</t>
  </si>
  <si>
    <t>CF_CHNG_NON_CASH_WORK_CAP (2016)</t>
  </si>
  <si>
    <t>CF_CHNG_NON_CASH_WORK_CAP (2017)</t>
  </si>
  <si>
    <t>CF_CHNG_NON_CASH_WORK_CAP (2018)</t>
  </si>
  <si>
    <t>Change in Accounts Payable</t>
  </si>
  <si>
    <t>ARD_NET_CHG_IN_WORKING_CAPITAL</t>
  </si>
  <si>
    <t>ARD_STOCK_BASED_COMPENSATION</t>
  </si>
  <si>
    <t>Share-based compenation</t>
  </si>
  <si>
    <t>Share-Based Compenation</t>
  </si>
  <si>
    <t>Change in Provisions</t>
  </si>
  <si>
    <t>Change NWC</t>
  </si>
  <si>
    <t>Other Items</t>
  </si>
  <si>
    <t>ARD_NET_CHG_IN_WORKING_CAPITAL (2004)</t>
  </si>
  <si>
    <t>ARD_NET_CHG_IN_WORKING_CAPITAL (2005)</t>
  </si>
  <si>
    <t>ARD_NET_CHG_IN_WORKING_CAPITAL (2006)</t>
  </si>
  <si>
    <t>ARD_NET_CHG_IN_WORKING_CAPITAL (2007)</t>
  </si>
  <si>
    <t>ARD_NET_CHG_IN_WORKING_CAPITAL (2008)</t>
  </si>
  <si>
    <t>ARD_NET_CHG_IN_WORKING_CAPITAL (2009)</t>
  </si>
  <si>
    <t>ARD_NET_CHG_IN_WORKING_CAPITAL (2010)</t>
  </si>
  <si>
    <t>ARD_NET_CHG_IN_WORKING_CAPITAL (2011)</t>
  </si>
  <si>
    <t>ARD_NET_CHG_IN_WORKING_CAPITAL (2012)</t>
  </si>
  <si>
    <t>ARD_NET_CHG_IN_WORKING_CAPITAL (2013)</t>
  </si>
  <si>
    <t>ARD_NET_CHG_IN_WORKING_CAPITAL (2014)</t>
  </si>
  <si>
    <t>ARD_NET_CHG_IN_WORKING_CAPITAL (2015)</t>
  </si>
  <si>
    <t>ARD_NET_CHG_IN_WORKING_CAPITAL (2016)</t>
  </si>
  <si>
    <t>ARD_NET_CHG_IN_WORKING_CAPITAL (2017)</t>
  </si>
  <si>
    <t>ARD_NET_CHG_IN_WORKING_CAPITAL (2018)</t>
  </si>
  <si>
    <t>ARD_STOCK_BASED_COMPENSATION (2004)</t>
  </si>
  <si>
    <t>ARD_STOCK_BASED_COMPENSATION (2005)</t>
  </si>
  <si>
    <t>ARD_STOCK_BASED_COMPENSATION (2006)</t>
  </si>
  <si>
    <t>ARD_STOCK_BASED_COMPENSATION (2007)</t>
  </si>
  <si>
    <t>ARD_STOCK_BASED_COMPENSATION (2008)</t>
  </si>
  <si>
    <t>ARD_STOCK_BASED_COMPENSATION (2009)</t>
  </si>
  <si>
    <t>ARD_STOCK_BASED_COMPENSATION (2010)</t>
  </si>
  <si>
    <t>ARD_STOCK_BASED_COMPENSATION (2011)</t>
  </si>
  <si>
    <t>ARD_STOCK_BASED_COMPENSATION (2012)</t>
  </si>
  <si>
    <t>ARD_STOCK_BASED_COMPENSATION (2013)</t>
  </si>
  <si>
    <t>ARD_STOCK_BASED_COMPENSATION (2014)</t>
  </si>
  <si>
    <t>ARD_STOCK_BASED_COMPENSATION (2015)</t>
  </si>
  <si>
    <t>ARD_STOCK_BASED_COMPENSATION (2016)</t>
  </si>
  <si>
    <t>ARD_STOCK_BASED_COMPENSATION (2017)</t>
  </si>
  <si>
    <t>ARD_STOCK_BASED_COMPENSATION (2018)</t>
  </si>
  <si>
    <t>CFO (before-tax)</t>
  </si>
  <si>
    <t>Change in provisions</t>
  </si>
  <si>
    <t>Cash taxes</t>
  </si>
  <si>
    <t>CFO (My def)</t>
  </si>
  <si>
    <t>CF_CASH_PAID_FOR_TAX</t>
  </si>
  <si>
    <t>CF_ACT_CASH_PAID_FOR_INT_DEBT</t>
  </si>
  <si>
    <t>ARD_GAIN_LOSS_SALES_FIXED_ASSETS</t>
  </si>
  <si>
    <t>Oper./Rec. items not in EBITDA</t>
  </si>
  <si>
    <t>Oper./Non-rec. items not in EBITDA</t>
  </si>
  <si>
    <t>Pensions not in EBITDA</t>
  </si>
  <si>
    <t>CF_CASH_PAID_FOR_TAX (2004)</t>
  </si>
  <si>
    <t>CF_CASH_PAID_FOR_TAX (2005)</t>
  </si>
  <si>
    <t>CF_CASH_PAID_FOR_TAX (2006)</t>
  </si>
  <si>
    <t>CF_CASH_PAID_FOR_TAX (2007)</t>
  </si>
  <si>
    <t>CF_CASH_PAID_FOR_TAX (2008)</t>
  </si>
  <si>
    <t>CF_CASH_PAID_FOR_TAX (2009)</t>
  </si>
  <si>
    <t>CF_CASH_PAID_FOR_TAX (2010)</t>
  </si>
  <si>
    <t>CF_CASH_PAID_FOR_TAX (2011)</t>
  </si>
  <si>
    <t>CF_CASH_PAID_FOR_TAX (2012)</t>
  </si>
  <si>
    <t>CF_CASH_PAID_FOR_TAX (2013)</t>
  </si>
  <si>
    <t>CF_CASH_PAID_FOR_TAX (2014)</t>
  </si>
  <si>
    <t>CF_CASH_PAID_FOR_TAX (2015)</t>
  </si>
  <si>
    <t>CF_CASH_PAID_FOR_TAX (2016)</t>
  </si>
  <si>
    <t>CF_CASH_PAID_FOR_TAX (2017)</t>
  </si>
  <si>
    <t>CF_CASH_PAID_FOR_TAX (2018)</t>
  </si>
  <si>
    <t>CF_ACT_CASH_PAID_FOR_INT_DEBT (2004)</t>
  </si>
  <si>
    <t>CF_ACT_CASH_PAID_FOR_INT_DEBT (2005)</t>
  </si>
  <si>
    <t>CF_ACT_CASH_PAID_FOR_INT_DEBT (2006)</t>
  </si>
  <si>
    <t>CF_ACT_CASH_PAID_FOR_INT_DEBT (2007)</t>
  </si>
  <si>
    <t>CF_ACT_CASH_PAID_FOR_INT_DEBT (2008)</t>
  </si>
  <si>
    <t>CF_ACT_CASH_PAID_FOR_INT_DEBT (2009)</t>
  </si>
  <si>
    <t>CF_ACT_CASH_PAID_FOR_INT_DEBT (2010)</t>
  </si>
  <si>
    <t>CF_ACT_CASH_PAID_FOR_INT_DEBT (2011)</t>
  </si>
  <si>
    <t>CF_ACT_CASH_PAID_FOR_INT_DEBT (2012)</t>
  </si>
  <si>
    <t>CF_ACT_CASH_PAID_FOR_INT_DEBT (2013)</t>
  </si>
  <si>
    <t>CF_ACT_CASH_PAID_FOR_INT_DEBT (2014)</t>
  </si>
  <si>
    <t>CF_ACT_CASH_PAID_FOR_INT_DEBT (2015)</t>
  </si>
  <si>
    <t>CF_ACT_CASH_PAID_FOR_INT_DEBT (2016)</t>
  </si>
  <si>
    <t>CF_ACT_CASH_PAID_FOR_INT_DEBT (2017)</t>
  </si>
  <si>
    <t>CF_ACT_CASH_PAID_FOR_INT_DEBT (2018)</t>
  </si>
  <si>
    <t>ARD_GAIN_LOSS_SALES_FIXED_ASSETS (2004)</t>
  </si>
  <si>
    <t>ARD_GAIN_LOSS_SALES_FIXED_ASSETS (2005)</t>
  </si>
  <si>
    <t>ARD_GAIN_LOSS_SALES_FIXED_ASSETS (2006)</t>
  </si>
  <si>
    <t>ARD_GAIN_LOSS_SALES_FIXED_ASSETS (2007)</t>
  </si>
  <si>
    <t>ARD_GAIN_LOSS_SALES_FIXED_ASSETS (2008)</t>
  </si>
  <si>
    <t>ARD_GAIN_LOSS_SALES_FIXED_ASSETS (2009)</t>
  </si>
  <si>
    <t>ARD_GAIN_LOSS_SALES_FIXED_ASSETS (2010)</t>
  </si>
  <si>
    <t>ARD_GAIN_LOSS_SALES_FIXED_ASSETS (2011)</t>
  </si>
  <si>
    <t>ARD_GAIN_LOSS_SALES_FIXED_ASSETS (2012)</t>
  </si>
  <si>
    <t>ARD_GAIN_LOSS_SALES_FIXED_ASSETS (2013)</t>
  </si>
  <si>
    <t>ARD_GAIN_LOSS_SALES_FIXED_ASSETS (2014)</t>
  </si>
  <si>
    <t>ARD_GAIN_LOSS_SALES_FIXED_ASSETS (2015)</t>
  </si>
  <si>
    <t>ARD_GAIN_LOSS_SALES_FIXED_ASSETS (2016)</t>
  </si>
  <si>
    <t>ARD_GAIN_LOSS_SALES_FIXED_ASSETS (2017)</t>
  </si>
  <si>
    <t>ARD_GAIN_LOSS_SALES_FIXED_ASSETS (2018)</t>
  </si>
  <si>
    <t>ARDR_CHANGE_OTHER_PROVISIONS*</t>
  </si>
  <si>
    <t>FRANCE</t>
  </si>
  <si>
    <t>AMORT_OF_GOODWILL (2019)</t>
  </si>
  <si>
    <t>AMORT_OF_GOODWILL (2020)</t>
  </si>
  <si>
    <t>AMORT_OF_GOODWILL (2021)</t>
  </si>
  <si>
    <t>ARD_ALLOW_FOR_DOUBTFUL_ACCTS_LT (2019)</t>
  </si>
  <si>
    <t>ARD_ALLOW_FOR_DOUBTFUL_ACCTS_LT (2020)</t>
  </si>
  <si>
    <t>ARD_ALLOW_FOR_DOUBTFUL_ACCTS_LT (2021)</t>
  </si>
  <si>
    <t>ARD_AMORT_EXP (2019)</t>
  </si>
  <si>
    <t>ARD_AMORT_EXP (2020)</t>
  </si>
  <si>
    <t>ARD_AMORT_EXP (2021)</t>
  </si>
  <si>
    <t>ARD_AMORT_IMPAIR_INTANG_ASSETS (2019)</t>
  </si>
  <si>
    <t>ARD_AMORT_IMPAIR_INTANG_ASSETS (2020)</t>
  </si>
  <si>
    <t>ARD_AMORT_IMPAIR_INTANG_ASSETS (2021)</t>
  </si>
  <si>
    <t>ARD_AMORT_IMPAIR_OF_INTANGIBLES (2019)</t>
  </si>
  <si>
    <t>ARD_AMORT_IMPAIR_OF_INTANGIBLES (2020)</t>
  </si>
  <si>
    <t>ARD_AMORT_IMPAIR_OF_INTANGIBLES (2021)</t>
  </si>
  <si>
    <t>ARD_AMORT_OF_INTANGIBLE_ASSETS (2019)</t>
  </si>
  <si>
    <t>ARD_AMORT_OF_INTANGIBLE_ASSETS (2020)</t>
  </si>
  <si>
    <t>ARD_AMORT_OF_INTANGIBLE_ASSETS (2021)</t>
  </si>
  <si>
    <t>ARD_AMORTIZATION_CF (2019)</t>
  </si>
  <si>
    <t>ARD_AMORTIZATION_CF (2020)</t>
  </si>
  <si>
    <t>ARD_AMORTIZATION_CF (2021)</t>
  </si>
  <si>
    <t>ARD_AMORTIZATION_GOODWILL_CF (2019)</t>
  </si>
  <si>
    <t>ARD_AMORTIZATION_GOODWILL_CF (2020)</t>
  </si>
  <si>
    <t>ARD_AMORTIZATION_GOODWILL_CF (2021)</t>
  </si>
  <si>
    <t>ARD_AMORTIZATION_OF_GOODWILL_IS (2019)</t>
  </si>
  <si>
    <t>ARD_AMORTIZATION_OF_GOODWILL_IS (2020)</t>
  </si>
  <si>
    <t>ARD_AMORTIZATION_OF_GOODWILL_IS (2021)</t>
  </si>
  <si>
    <t>ARD_AMORTIZATION_OF_INTANGIBLE (2019)</t>
  </si>
  <si>
    <t>ARD_AMORTIZATION_OF_INTANGIBLE (2020)</t>
  </si>
  <si>
    <t>ARD_AMORTIZATION_OF_INTANGIBLE (2021)</t>
  </si>
  <si>
    <t>ARD_AMORTIZATION_OF_SOFTWARE (2019)</t>
  </si>
  <si>
    <t>ARD_AMORTIZATION_OF_SOFTWARE (2020)</t>
  </si>
  <si>
    <t>ARD_AMORTIZATION_OF_SOFTWARE (2021)</t>
  </si>
  <si>
    <t>ARD_AMORTIZATION_OF_SOFTWARE_IS (2019)</t>
  </si>
  <si>
    <t>ARD_AMORTIZATION_OF_SOFTWARE_IS (2020)</t>
  </si>
  <si>
    <t>ARD_AMORTIZATION_OF_SOFTWARE_IS (2021)</t>
  </si>
  <si>
    <t>ARD_AMOT_IMPAIRMENT_GOODWILL (2019)</t>
  </si>
  <si>
    <t>ARD_AMOT_IMPAIRMENT_GOODWILL (2020)</t>
  </si>
  <si>
    <t>ARD_AMOT_IMPAIRMENT_GOODWILL (2021)</t>
  </si>
  <si>
    <t>ARD_ASSETS_HELD_FOR_SALE_LT (2019)</t>
  </si>
  <si>
    <t>ARD_ASSETS_HELD_FOR_SALE_LT (2020)</t>
  </si>
  <si>
    <t>ARD_ASSETS_HELD_FOR_SALE_LT (2021)</t>
  </si>
  <si>
    <t>ARD_CASH_AND_EQUIVALENTS (2019)</t>
  </si>
  <si>
    <t>ARD_CASH_AND_EQUIVALENTS (2020)</t>
  </si>
  <si>
    <t>ARD_CASH_AND_EQUIVALENTS (2021)</t>
  </si>
  <si>
    <t>ARD_CURRENT_PORTION_OF_LT_DEBT (2019)</t>
  </si>
  <si>
    <t>ARD_CURRENT_PORTION_OF_LT_DEBT (2020)</t>
  </si>
  <si>
    <t>ARD_CURRENT_PORTION_OF_LT_DEBT (2021)</t>
  </si>
  <si>
    <t>ARD_DEFERRED_COSTS (2019)</t>
  </si>
  <si>
    <t>ARD_DEFERRED_COSTS (2020)</t>
  </si>
  <si>
    <t>ARD_DEFERRED_COSTS (2021)</t>
  </si>
  <si>
    <t>ARD_DEFERRED_INC_TAX_ASSET_LT (2019)</t>
  </si>
  <si>
    <t>ARD_DEFERRED_INC_TAX_ASSET_LT (2020)</t>
  </si>
  <si>
    <t>ARD_DEFERRED_INC_TAX_ASSET_LT (2021)</t>
  </si>
  <si>
    <t>ARD_DEFERRED_TAX_ASSETS_LT (2019)</t>
  </si>
  <si>
    <t>ARD_DEFERRED_TAX_ASSETS_LT (2020)</t>
  </si>
  <si>
    <t>ARD_DEFERRED_TAX_ASSETS_LT (2021)</t>
  </si>
  <si>
    <t>ARD_DEPR_AMORT_AND_WRITE_DOWNS (2019)</t>
  </si>
  <si>
    <t>ARD_DEPR_AMORT_AND_WRITE_DOWNS (2020)</t>
  </si>
  <si>
    <t>ARD_DEPR_AMORT_AND_WRITE_DOWNS (2021)</t>
  </si>
  <si>
    <t>ARD_DEPR_IMPAIRMENT_FIXED_ASSETS (2019)</t>
  </si>
  <si>
    <t>ARD_DEPR_IMPAIRMENT_FIXED_ASSETS (2020)</t>
  </si>
  <si>
    <t>ARD_DEPR_IMPAIRMENT_FIXED_ASSETS (2021)</t>
  </si>
  <si>
    <t>ARD_DEPREC_AMORT_WRITE_DOWNS (2019)</t>
  </si>
  <si>
    <t>ARD_DEPREC_AMORT_WRITE_DOWNS (2020)</t>
  </si>
  <si>
    <t>ARD_DEPREC_AMORT_WRITE_DOWNS (2021)</t>
  </si>
  <si>
    <t>ARD_DEPRECIATION_AMORT_IMPAIRMNT (2019)</t>
  </si>
  <si>
    <t>ARD_DEPRECIATION_AMORT_IMPAIRMNT (2020)</t>
  </si>
  <si>
    <t>ARD_DEPRECIATION_AMORT_IMPAIRMNT (2021)</t>
  </si>
  <si>
    <t>ARD_DEPRECIATION_AMORTIZATION (2019)</t>
  </si>
  <si>
    <t>ARD_DEPRECIATION_AMORTIZATION (2020)</t>
  </si>
  <si>
    <t>ARD_DEPRECIATION_AMORTIZATION (2021)</t>
  </si>
  <si>
    <t>ARD_DEPRECIATION_AND_AMORT_CF (2019)</t>
  </si>
  <si>
    <t>ARD_DEPRECIATION_AND_AMORT_CF (2020)</t>
  </si>
  <si>
    <t>ARD_DEPRECIATION_AND_AMORT_CF (2021)</t>
  </si>
  <si>
    <t>ARD_DEPRECIATION_EXP (2019)</t>
  </si>
  <si>
    <t>ARD_DEPRECIATION_EXP (2020)</t>
  </si>
  <si>
    <t>ARD_DEPRECIATION_EXP (2021)</t>
  </si>
  <si>
    <t>ARD_DERIVATIVE_ASSET_LT (2019)</t>
  </si>
  <si>
    <t>ARD_DERIVATIVE_ASSET_LT (2020)</t>
  </si>
  <si>
    <t>ARD_DERIVATIVE_ASSET_LT (2021)</t>
  </si>
  <si>
    <t>ARD_EQY_INVEST_ASSOC_AFFILIATES (2019)</t>
  </si>
  <si>
    <t>ARD_EQY_INVEST_ASSOC_AFFILIATES (2020)</t>
  </si>
  <si>
    <t>ARD_EQY_INVEST_ASSOC_AFFILIATES (2021)</t>
  </si>
  <si>
    <t>ARD_GOODWILL_WRITTEN_OFF_AMOR_IS (2019)</t>
  </si>
  <si>
    <t>ARD_GOODWILL_WRITTEN_OFF_AMOR_IS (2020)</t>
  </si>
  <si>
    <t>ARD_GOODWILL_WRITTEN_OFF_AMOR_IS (2021)</t>
  </si>
  <si>
    <t>ARD_GOODWLL (2019)</t>
  </si>
  <si>
    <t>ARD_GOODWLL (2020)</t>
  </si>
  <si>
    <t>ARD_GOODWLL (2021)</t>
  </si>
  <si>
    <t>ARD_INTANG_ASSETS_EXCL_GOODWILL (2019)</t>
  </si>
  <si>
    <t>ARD_INTANG_ASSETS_EXCL_GOODWILL (2020)</t>
  </si>
  <si>
    <t>ARD_INTANG_ASSETS_EXCL_GOODWILL (2021)</t>
  </si>
  <si>
    <t>ARD_INVESTMENT_IN_AFFILIATE_JV (2019)</t>
  </si>
  <si>
    <t>ARD_INVESTMENT_IN_AFFILIATE_JV (2020)</t>
  </si>
  <si>
    <t>ARD_INVESTMENT_IN_AFFILIATE_JV (2021)</t>
  </si>
  <si>
    <t>ARD_LICENSES (2019)</t>
  </si>
  <si>
    <t>ARD_LICENSES (2020)</t>
  </si>
  <si>
    <t>ARD_LICENSES (2021)</t>
  </si>
  <si>
    <t>ARD_LONG_TERM_LOANS (2019)</t>
  </si>
  <si>
    <t>ARD_LONG_TERM_LOANS (2020)</t>
  </si>
  <si>
    <t>ARD_LONG_TERM_LOANS (2021)</t>
  </si>
  <si>
    <t>ARD_LONG_TERM_LOANS_OTHER_DEBTOR (2019)</t>
  </si>
  <si>
    <t>ARD_LONG_TERM_LOANS_OTHER_DEBTOR (2020)</t>
  </si>
  <si>
    <t>ARD_LONG_TERM_LOANS_OTHER_DEBTOR (2021)</t>
  </si>
  <si>
    <t>ARD_LT_INVEST (2019)</t>
  </si>
  <si>
    <t>ARD_LT_INVEST (2020)</t>
  </si>
  <si>
    <t>ARD_LT_INVEST (2021)</t>
  </si>
  <si>
    <t>ARD_OTHER_LT_INVESTMENTS (2019)</t>
  </si>
  <si>
    <t>ARD_OTHER_LT_INVESTMENTS (2020)</t>
  </si>
  <si>
    <t>ARD_OTHER_LT_INVESTMENTS (2021)</t>
  </si>
  <si>
    <t>ARD_MARKETABLE_SECURITIES (2019)</t>
  </si>
  <si>
    <t>ARD_MARKETABLE_SECURITIES (2020)</t>
  </si>
  <si>
    <t>ARD_MARKETABLE_SECURITIES (2021)</t>
  </si>
  <si>
    <t>ARD_INVESTMENT_PROPERTY (2019)</t>
  </si>
  <si>
    <t>ARD_INVESTMENT_PROPERTY (2020)</t>
  </si>
  <si>
    <t>ARD_INVESTMENT_PROPERTY (2021)</t>
  </si>
  <si>
    <t>ARD_NET_EQTY_INVEST_JV_ASSOC (2019)</t>
  </si>
  <si>
    <t>ARD_NET_EQTY_INVEST_JV_ASSOC (2020)</t>
  </si>
  <si>
    <t>ARD_NET_EQTY_INVEST_JV_ASSOC (2021)</t>
  </si>
  <si>
    <t>ARD_NON_CUR_MKT_SEC (2019)</t>
  </si>
  <si>
    <t>ARD_NON_CUR_MKT_SEC (2020)</t>
  </si>
  <si>
    <t>ARD_NON_CUR_MKT_SEC (2021)</t>
  </si>
  <si>
    <t>ARD_OTHER_FINANCIAL_ASSETS_LT (2019)</t>
  </si>
  <si>
    <t>ARD_OTHER_FINANCIAL_ASSETS_LT (2020)</t>
  </si>
  <si>
    <t>ARD_OTHER_FINANCIAL_ASSETS_LT (2021)</t>
  </si>
  <si>
    <t>ARD_OTHER_INTANGIBLE_ASSET (2019)</t>
  </si>
  <si>
    <t>ARD_OTHER_INTANGIBLE_ASSET (2020)</t>
  </si>
  <si>
    <t>ARD_OTHER_INTANGIBLE_ASSET (2021)</t>
  </si>
  <si>
    <t>ARD_OTHER_INVEST_OTHER_ASSETS (2019)</t>
  </si>
  <si>
    <t>ARD_OTHER_INVEST_OTHER_ASSETS (2020)</t>
  </si>
  <si>
    <t>ARD_OTHER_INVEST_OTHER_ASSETS (2021)</t>
  </si>
  <si>
    <t>ARD_OTHER_NONCURRENT_ASSET (2019)</t>
  </si>
  <si>
    <t>ARD_OTHER_NONCURRENT_ASSET (2020)</t>
  </si>
  <si>
    <t>ARD_OTHER_NONCURRENT_ASSET (2021)</t>
  </si>
  <si>
    <t>ARD_OTHER_RECEIVABLES_LT (2019)</t>
  </si>
  <si>
    <t>ARD_OTHER_RECEIVABLES_LT (2020)</t>
  </si>
  <si>
    <t>ARD_OTHER_RECEIVABLES_LT (2021)</t>
  </si>
  <si>
    <t>ARD_PLANT_AND_EQUIPMENT_NET (2019)</t>
  </si>
  <si>
    <t>ARD_PLANT_AND_EQUIPMENT_NET (2020)</t>
  </si>
  <si>
    <t>ARD_PLANT_AND_EQUIPMENT_NET (2021)</t>
  </si>
  <si>
    <t>ARD_PREPAID_PEN_POSTRETIRE_BEN (2019)</t>
  </si>
  <si>
    <t>ARD_PREPAID_PEN_POSTRETIRE_BEN (2020)</t>
  </si>
  <si>
    <t>ARD_PREPAID_PEN_POSTRETIRE_BEN (2021)</t>
  </si>
  <si>
    <t>ARD_PROPERTY_PLANT_EQUIP_NET (2019)</t>
  </si>
  <si>
    <t>ARD_PROPERTY_PLANT_EQUIP_NET (2020)</t>
  </si>
  <si>
    <t>ARD_PROPERTY_PLANT_EQUIP_NET (2021)</t>
  </si>
  <si>
    <t>ARD_REVENUES (2019)</t>
  </si>
  <si>
    <t>ARD_REVENUES (2020)</t>
  </si>
  <si>
    <t>ARD_REVENUES (2021)</t>
  </si>
  <si>
    <t>ARD_ST_BORROW (2019)</t>
  </si>
  <si>
    <t>ARD_ST_BORROW (2020)</t>
  </si>
  <si>
    <t>ARD_ST_BORROW (2021)</t>
  </si>
  <si>
    <t>ARD_TOT_ASSETS (2019)</t>
  </si>
  <si>
    <t>ARD_TOT_ASSETS (2020)</t>
  </si>
  <si>
    <t>ARD_TOT_ASSETS (2021)</t>
  </si>
  <si>
    <t>ARD_TOTAL_CUR_ASSETS (2019)</t>
  </si>
  <si>
    <t>ARD_TOTAL_CUR_ASSETS (2020)</t>
  </si>
  <si>
    <t>ARD_TOTAL_CUR_ASSETS (2021)</t>
  </si>
  <si>
    <t>ARD_TOTAL_CURRENT_LIABILITIES (2019)</t>
  </si>
  <si>
    <t>ARD_TOTAL_CURRENT_LIABILITIES (2020)</t>
  </si>
  <si>
    <t>ARD_TOTAL_CURRENT_LIABILITIES (2021)</t>
  </si>
  <si>
    <t>ARD_TOTAL_INTANGIBLE_ASSET_NET (2019)</t>
  </si>
  <si>
    <t>ARD_TOTAL_INTANGIBLE_ASSET_NET (2020)</t>
  </si>
  <si>
    <t>ARD_TOTAL_INTANGIBLE_ASSET_NET (2021)</t>
  </si>
  <si>
    <t>ARD_TRADE_DEBTORS_RECEIVABLES_LT (2019)</t>
  </si>
  <si>
    <t>ARD_TRADE_DEBTORS_RECEIVABLES_LT (2020)</t>
  </si>
  <si>
    <t>ARD_TRADE_DEBTORS_RECEIVABLES_LT (2021)</t>
  </si>
  <si>
    <t>ARDJ_DEP_INC_STA (2019)</t>
  </si>
  <si>
    <t>ARDJ_DEP_INC_STA (2020)</t>
  </si>
  <si>
    <t>ARDJ_DEP_INC_STA (2021)</t>
  </si>
  <si>
    <t>ARDR_AMORT_EXP (2019)</t>
  </si>
  <si>
    <t>ARDR_AMORT_EXP (2020)</t>
  </si>
  <si>
    <t>ARDR_AMORT_EXP (2021)</t>
  </si>
  <si>
    <t>ARDR_AMORT_IMPAIR_OF_INTANGIBLES (2019)</t>
  </si>
  <si>
    <t>ARDR_AMORT_IMPAIR_OF_INTANGIBLES (2020)</t>
  </si>
  <si>
    <t>ARDR_AMORT_IMPAIR_OF_INTANGIBLES (2021)</t>
  </si>
  <si>
    <t>ARDR_AMORT_OF_INTANGIBLE_ASSETS (2019)</t>
  </si>
  <si>
    <t>ARDR_AMORT_OF_INTANGIBLE_ASSETS (2020)</t>
  </si>
  <si>
    <t>ARDR_AMORT_OF_INTANGIBLE_ASSETS (2021)</t>
  </si>
  <si>
    <t>ARDR_AMORTIZATION_CF (2019)</t>
  </si>
  <si>
    <t>ARDR_AMORTIZATION_CF (2020)</t>
  </si>
  <si>
    <t>ARDR_AMORTIZATION_CF (2021)</t>
  </si>
  <si>
    <t>ARDR_AMORTIZATION_GOODWILL (2019)</t>
  </si>
  <si>
    <t>ARDR_AMORTIZATION_GOODWILL (2020)</t>
  </si>
  <si>
    <t>ARDR_AMORTIZATION_GOODWILL (2021)</t>
  </si>
  <si>
    <t>ARD_PURCH_CAPITAL_COMP_SOFTWARE (2019)</t>
  </si>
  <si>
    <t>ARD_PURCH_CAPITAL_COMP_SOFTWARE (2020)</t>
  </si>
  <si>
    <t>ARD_PURCH_CAPITAL_COMP_SOFTWARE (2021)</t>
  </si>
  <si>
    <t>ARDR_AMORTIZATION_OF_INTANGIBLE (2019)</t>
  </si>
  <si>
    <t>ARDR_AMORTIZATION_OF_INTANGIBLE (2020)</t>
  </si>
  <si>
    <t>ARDR_AMORTIZATION_OF_INTANGIBLE (2021)</t>
  </si>
  <si>
    <t>ARDR_AMOT_IMPAIRMENT_GOODWILL (2019)</t>
  </si>
  <si>
    <t>ARDR_AMOT_IMPAIRMENT_GOODWILL (2020)</t>
  </si>
  <si>
    <t>ARDR_AMOT_IMPAIRMENT_GOODWILL (2021)</t>
  </si>
  <si>
    <t>ARDR_CASH_AND_EQUIVALENTS (2019)</t>
  </si>
  <si>
    <t>ARDR_CASH_AND_EQUIVALENTS (2020)</t>
  </si>
  <si>
    <t>ARDR_CASH_AND_EQUIVALENTS (2021)</t>
  </si>
  <si>
    <t>ARDR_DEPR_AMORT_IMPAIRMNT (2019)</t>
  </si>
  <si>
    <t>ARDR_DEPR_AMORT_IMPAIRMNT (2020)</t>
  </si>
  <si>
    <t>ARDR_DEPR_AMORT_IMPAIRMNT (2021)</t>
  </si>
  <si>
    <t>ARDR_DEPREC_AMORT_WRITE_DOWNS (2019)</t>
  </si>
  <si>
    <t>ARDR_DEPREC_AMORT_WRITE_DOWNS (2020)</t>
  </si>
  <si>
    <t>ARDR_DEPREC_AMORT_WRITE_DOWNS (2021)</t>
  </si>
  <si>
    <t>ARDR_DEPRECIATION_AMORTIZATION (2019)</t>
  </si>
  <si>
    <t>ARDR_DEPRECIATION_AMORTIZATION (2020)</t>
  </si>
  <si>
    <t>ARDR_DEPRECIATION_AMORTIZATION (2021)</t>
  </si>
  <si>
    <t>ARDR_DEPRECIATION_AND_AMORT_CF (2019)</t>
  </si>
  <si>
    <t>ARDR_DEPRECIATION_AND_AMORT_CF (2020)</t>
  </si>
  <si>
    <t>ARDR_DEPRECIATION_AND_AMORT_CF (2021)</t>
  </si>
  <si>
    <t>ARDR_INVEST_UNCONSOL_SUBSID (2019)</t>
  </si>
  <si>
    <t>ARDR_INVEST_UNCONSOL_SUBSID (2020)</t>
  </si>
  <si>
    <t>ARDR_INVEST_UNCONSOL_SUBSID (2021)</t>
  </si>
  <si>
    <t>ARDR_OTHER_INTANGIBLE_ASSET (2019)</t>
  </si>
  <si>
    <t>ARDR_OTHER_INTANGIBLE_ASSET (2020)</t>
  </si>
  <si>
    <t>ARDR_OTHER_INTANGIBLE_ASSET (2021)</t>
  </si>
  <si>
    <t>ARDR_OTHER_INTANGIBLES_NET (2019)</t>
  </si>
  <si>
    <t>ARDR_OTHER_INTANGIBLES_NET (2020)</t>
  </si>
  <si>
    <t>ARDR_OTHER_INTANGIBLES_NET (2021)</t>
  </si>
  <si>
    <t>ARDR_OTHER_LT_INVESTMENTS (2019)</t>
  </si>
  <si>
    <t>ARDR_OTHER_LT_INVESTMENTS (2020)</t>
  </si>
  <si>
    <t>ARDR_OTHER_LT_INVESTMENTS (2021)</t>
  </si>
  <si>
    <t>ARDR_PROPERTY_PLANT_EQUIP_NET (2019)</t>
  </si>
  <si>
    <t>ARDR_PROPERTY_PLANT_EQUIP_NET (2020)</t>
  </si>
  <si>
    <t>ARDR_PROPERTY_PLANT_EQUIP_NET (2021)</t>
  </si>
  <si>
    <t>BS_CASH_NEAR_CASH_ITEM (2019)</t>
  </si>
  <si>
    <t>BS_CASH_NEAR_CASH_ITEM (2020)</t>
  </si>
  <si>
    <t>BS_CASH_NEAR_CASH_ITEM (2021)</t>
  </si>
  <si>
    <t>BS_CUR_ASSET_REPORT (2019)</t>
  </si>
  <si>
    <t>BS_CUR_ASSET_REPORT (2020)</t>
  </si>
  <si>
    <t>BS_CUR_ASSET_REPORT (2021)</t>
  </si>
  <si>
    <t>BS_CUR_LIAB (2019)</t>
  </si>
  <si>
    <t>BS_CUR_LIAB (2020)</t>
  </si>
  <si>
    <t>BS_CUR_LIAB (2021)</t>
  </si>
  <si>
    <t>BS_DISCLOSED_INTANGIBLES (2019)</t>
  </si>
  <si>
    <t>BS_DISCLOSED_INTANGIBLES (2020)</t>
  </si>
  <si>
    <t>BS_DISCLOSED_INTANGIBLES (2021)</t>
  </si>
  <si>
    <t>BS_GOODWILL (2019)</t>
  </si>
  <si>
    <t>BS_GOODWILL (2020)</t>
  </si>
  <si>
    <t>BS_GOODWILL (2021)</t>
  </si>
  <si>
    <t>BS_NET_FIX_ASSET (2019)</t>
  </si>
  <si>
    <t>BS_NET_FIX_ASSET (2020)</t>
  </si>
  <si>
    <t>BS_NET_FIX_ASSET (2021)</t>
  </si>
  <si>
    <t>BS_ST_BORROW (2019)</t>
  </si>
  <si>
    <t>BS_ST_BORROW (2020)</t>
  </si>
  <si>
    <t>BS_ST_BORROW (2021)</t>
  </si>
  <si>
    <t>BS_ST_DEBT (2019)</t>
  </si>
  <si>
    <t>BS_ST_DEBT (2020)</t>
  </si>
  <si>
    <t>BS_ST_DEBT (2021)</t>
  </si>
  <si>
    <t>BS_TOT_ASSET (2019)</t>
  </si>
  <si>
    <t>BS_TOT_ASSET (2020)</t>
  </si>
  <si>
    <t>BS_TOT_ASSET (2021)</t>
  </si>
  <si>
    <t>CF_CAP_EXPEND_INC_FIX_ASSET (2019)</t>
  </si>
  <si>
    <t>CF_CAP_EXPEND_INC_FIX_ASSET (2020)</t>
  </si>
  <si>
    <t>CF_CAP_EXPEND_INC_FIX_ASSET (2021)</t>
  </si>
  <si>
    <t>CF_CAP_EXPEND_PRPTY_ADD (2019)</t>
  </si>
  <si>
    <t>CF_CAP_EXPEND_PRPTY_ADD (2020)</t>
  </si>
  <si>
    <t>CF_CAP_EXPEND_PRPTY_ADD (2021)</t>
  </si>
  <si>
    <t>CF_DEPR_AMORT (2019)</t>
  </si>
  <si>
    <t>CF_DEPR_AMORT (2020)</t>
  </si>
  <si>
    <t>CF_DEPR_AMORT (2021)</t>
  </si>
  <si>
    <t>EBIT (2019)</t>
  </si>
  <si>
    <t>EBIT (2020)</t>
  </si>
  <si>
    <t>EBIT (2021)</t>
  </si>
  <si>
    <t>EBITDA (2019)</t>
  </si>
  <si>
    <t>EBITDA (2020)</t>
  </si>
  <si>
    <t>EBITDA (2021)</t>
  </si>
  <si>
    <t>EBITDA_ADJUSTED (2019)</t>
  </si>
  <si>
    <t>EBITDA_ADJUSTED (2020)</t>
  </si>
  <si>
    <t>EBITDA_ADJUSTED (2021)</t>
  </si>
  <si>
    <t>IS_COMP_SALES (2019)</t>
  </si>
  <si>
    <t>IS_COMP_SALES (2020)</t>
  </si>
  <si>
    <t>IS_COMP_SALES (2021)</t>
  </si>
  <si>
    <t>IS_DEPR_EXP (2019)</t>
  </si>
  <si>
    <t>IS_DEPR_EXP (2020)</t>
  </si>
  <si>
    <t>IS_DEPR_EXP (2021)</t>
  </si>
  <si>
    <t>IS_OPER_INC (2019)</t>
  </si>
  <si>
    <t>IS_OPER_INC (2020)</t>
  </si>
  <si>
    <t>IS_OPER_INC (2021)</t>
  </si>
  <si>
    <t>NET DEBT (2019)</t>
  </si>
  <si>
    <t>NET DEBT (2020)</t>
  </si>
  <si>
    <t>NET DEBT (2021)</t>
  </si>
  <si>
    <t>SALES_REV_TURN (2019)</t>
  </si>
  <si>
    <t>SALES_REV_TURN (2020)</t>
  </si>
  <si>
    <t>SALES_REV_TURN (2021)</t>
  </si>
  <si>
    <t>ARD_PENSION_POSTRETIREMNT_LIAB (2019)</t>
  </si>
  <si>
    <t>ARD_PENSION_POSTRETIREMNT_LIAB (2020)</t>
  </si>
  <si>
    <t>ARD_PENSION_POSTRETIREMNT_LIAB (2021)</t>
  </si>
  <si>
    <t>CF_ACQ_OF_FXD_&amp;_INTANGIBLES (2019)</t>
  </si>
  <si>
    <t>CF_ACQ_OF_FXD_&amp;_INTANGIBLES (2020)</t>
  </si>
  <si>
    <t>CF_ACQ_OF_FXD_&amp;_INTANGIBLES (2021)</t>
  </si>
  <si>
    <t>CF_ACQUISITION_OF_INTANG_ASSETS (2019)</t>
  </si>
  <si>
    <t>CF_ACQUISITION_OF_INTANG_ASSETS (2020)</t>
  </si>
  <si>
    <t>CF_ACQUISITION_OF_INTANG_ASSETS (2021)</t>
  </si>
  <si>
    <t>ARD_PURCHASE_OF_INTANGIBLES (2019)</t>
  </si>
  <si>
    <t>ARD_PURCHASE_OF_INTANGIBLES (2020)</t>
  </si>
  <si>
    <t>ARD_PURCHASE_OF_INTANGIBLES (2021)</t>
  </si>
  <si>
    <t>ARDR_PURCHASE_OF_INTANGIBLES (2019)</t>
  </si>
  <si>
    <t>ARDR_PURCHASE_OF_INTANGIBLES (2020)</t>
  </si>
  <si>
    <t>ARDR_PURCHASE_OF_INTANGIBLES (2021)</t>
  </si>
  <si>
    <t>ARD_ADDITIONS_FIXED_INTANG_ASSET (2019)</t>
  </si>
  <si>
    <t>ARD_ADDITIONS_FIXED_INTANG_ASSET (2020)</t>
  </si>
  <si>
    <t>ARD_ADDITIONS_FIXED_INTANG_ASSET (2021)</t>
  </si>
  <si>
    <t>IS_R&amp;D_GAAP (2019)</t>
  </si>
  <si>
    <t>IS_R&amp;D_GAAP (2020)</t>
  </si>
  <si>
    <t>IS_R&amp;D_GAAP (2021)</t>
  </si>
  <si>
    <t>IS_OPEX_R&amp;D_GAAP (2019)</t>
  </si>
  <si>
    <t>IS_OPEX_R&amp;D_GAAP (2020)</t>
  </si>
  <si>
    <t>IS_OPEX_R&amp;D_GAAP (2021)</t>
  </si>
  <si>
    <t>ARD_R&amp;D_EXPENDITURES (2019)</t>
  </si>
  <si>
    <t>ARD_R&amp;D_EXPENDITURES (2020)</t>
  </si>
  <si>
    <t>ARD_R&amp;D_EXPENDITURES (2021)</t>
  </si>
  <si>
    <t>IS_R&amp;D_EXPENSE_NONGAAP_ADJUST (2019)</t>
  </si>
  <si>
    <t>IS_R&amp;D_EXPENSE_NONGAAP_ADJUST (2020)</t>
  </si>
  <si>
    <t>IS_R&amp;D_EXPENSE_NONGAAP_ADJUST (2021)</t>
  </si>
  <si>
    <t>ARD_ACQUIRED_IN_PROCESS_R&amp;D (2019)</t>
  </si>
  <si>
    <t>ARD_ACQUIRED_IN_PROCESS_R&amp;D (2020)</t>
  </si>
  <si>
    <t>ARD_ACQUIRED_IN_PROCESS_R&amp;D (2021)</t>
  </si>
  <si>
    <t>ARDR_ACQUIRED_IN_PROCESS_R&amp;D (2019)</t>
  </si>
  <si>
    <t>ARDR_ACQUIRED_IN_PROCESS_R&amp;D (2020)</t>
  </si>
  <si>
    <t>ARDR_ACQUIRED_IN_PROCESS_R&amp;D (2021)</t>
  </si>
  <si>
    <t>ARD_R&amp;D_EXPENSES_WITHIN_SGA (2019)</t>
  </si>
  <si>
    <t>ARD_R&amp;D_EXPENSES_WITHIN_SGA (2020)</t>
  </si>
  <si>
    <t>ARD_R&amp;D_EXPENSES_WITHIN_SGA (2021)</t>
  </si>
  <si>
    <t>ARD_R&amp;D_EXPENSES_WITHIN_CGS (2019)</t>
  </si>
  <si>
    <t>ARD_R&amp;D_EXPENSES_WITHIN_CGS (2020)</t>
  </si>
  <si>
    <t>ARD_R&amp;D_EXPENSES_WITHIN_CGS (2021)</t>
  </si>
  <si>
    <t>ARDR_R&amp;D_EXPENDITURES (2019)</t>
  </si>
  <si>
    <t>ARDR_R&amp;D_EXPENDITURES (2020)</t>
  </si>
  <si>
    <t>ARDR_R&amp;D_EXPENDITURES (2021)</t>
  </si>
  <si>
    <t>ARDR_EXPEND_INCUR_ON_R&amp;D_RECUR (2019)</t>
  </si>
  <si>
    <t>ARDR_EXPEND_INCUR_ON_R&amp;D_RECUR (2020)</t>
  </si>
  <si>
    <t>ARDR_EXPEND_INCUR_ON_R&amp;D_RECUR (2021)</t>
  </si>
  <si>
    <t>ARDR_R&amp;D_EXPENSES_WITHIN_SGA (2019)</t>
  </si>
  <si>
    <t>ARDR_R&amp;D_EXPENSES_WITHIN_SGA (2020)</t>
  </si>
  <si>
    <t>ARDR_R&amp;D_EXPENSES_WITHIN_SGA (2021)</t>
  </si>
  <si>
    <t>ARDR_R_D_EXPENSES_COG (2019)</t>
  </si>
  <si>
    <t>ARDR_R_D_EXPENSES_COG (2020)</t>
  </si>
  <si>
    <t>ARDR_R_D_EXPENSES_COG (2021)</t>
  </si>
  <si>
    <t>ARDR_NON_GAAP_R&amp;D (2019)</t>
  </si>
  <si>
    <t>ARDR_NON_GAAP_R&amp;D (2020)</t>
  </si>
  <si>
    <t>ARDR_NON_GAAP_R&amp;D (2021)</t>
  </si>
  <si>
    <t>ARD_INVEST_SEC_AVAIL_FOR_SALE (2019)</t>
  </si>
  <si>
    <t>ARD_INVEST_SEC_AVAIL_FOR_SALE (2020)</t>
  </si>
  <si>
    <t>ARD_INVEST_SEC_AVAIL_FOR_SALE (2021)</t>
  </si>
  <si>
    <t>ARDR_OTHER_LT_DEBTORS_NON_REC (2019)</t>
  </si>
  <si>
    <t>ARDR_OTHER_LT_DEBTORS_NON_REC (2020)</t>
  </si>
  <si>
    <t>ARDR_OTHER_LT_DEBTORS_NON_REC (2021)</t>
  </si>
  <si>
    <t>IS_NET_NON_OPER_LOSS (2019)</t>
  </si>
  <si>
    <t>IS_NET_NON_OPER_LOSS (2020)</t>
  </si>
  <si>
    <t>IS_NET_NON_OPER_LOSS (2021)</t>
  </si>
  <si>
    <t>IS_EQY_EARN_FROM_INVEST_ASSOC (2019)</t>
  </si>
  <si>
    <t>IS_EQY_EARN_FROM_INVEST_ASSOC (2020)</t>
  </si>
  <si>
    <t>IS_EQY_EARN_FROM_INVEST_ASSOC (2021)</t>
  </si>
  <si>
    <t>BS_LT_INVEST (2019)</t>
  </si>
  <si>
    <t>BS_LT_INVEST (2020)</t>
  </si>
  <si>
    <t>BS_LT_INVEST (2021)</t>
  </si>
  <si>
    <t>ARDR_TRADE_DEBTORS_REC_LT (2019)</t>
  </si>
  <si>
    <t>ARDR_TRADE_DEBTORS_REC_LT (2020)</t>
  </si>
  <si>
    <t>ARDR_TRADE_DEBTORS_REC_LT (2021)</t>
  </si>
  <si>
    <t>ARDR_DEPOSITS_GUARANTEES (2019)</t>
  </si>
  <si>
    <t>ARDR_DEPOSITS_GUARANTEES (2020)</t>
  </si>
  <si>
    <t>ARDR_DEPOSITS_GUARANTEES (2021)</t>
  </si>
  <si>
    <t>ARDR_OTHER_RECEIVABLE_NET (2019)</t>
  </si>
  <si>
    <t>ARDR_OTHER_RECEIVABLE_NET (2020)</t>
  </si>
  <si>
    <t>ARDR_OTHER_RECEIVABLE_NET (2021)</t>
  </si>
  <si>
    <t>ARD_ST_INVEST (2019)</t>
  </si>
  <si>
    <t>ARD_ST_INVEST (2020)</t>
  </si>
  <si>
    <t>ARD_ST_INVEST (2021)</t>
  </si>
  <si>
    <t>ARDR_OTHER_FINL_ASSETS_LT (2019)</t>
  </si>
  <si>
    <t>ARDR_OTHER_FINL_ASSETS_LT (2020)</t>
  </si>
  <si>
    <t>ARDR_OTHER_FINL_ASSETS_LT (2021)</t>
  </si>
  <si>
    <t>ARDR_INVEST_SEC_AVAIL_FOR_SALE (2019)</t>
  </si>
  <si>
    <t>ARDR_INVEST_SEC_AVAIL_FOR_SALE (2020)</t>
  </si>
  <si>
    <t>ARDR_INVEST_SEC_AVAIL_FOR_SALE (2021)</t>
  </si>
  <si>
    <t>ARDR_FINANCE_RECEIVABLES_LT (2019)</t>
  </si>
  <si>
    <t>ARDR_FINANCE_RECEIVABLES_LT (2020)</t>
  </si>
  <si>
    <t>ARDR_FINANCE_RECEIVABLES_LT (2021)</t>
  </si>
  <si>
    <t>CF_CASH_FROM_OPER (2019)</t>
  </si>
  <si>
    <t>CF_CASH_FROM_OPER (2020)</t>
  </si>
  <si>
    <t>CF_CASH_FROM_OPER (2021)</t>
  </si>
  <si>
    <t>CF_FREE_CASH_FLOW_FIRM (2019)</t>
  </si>
  <si>
    <t>CF_FREE_CASH_FLOW_FIRM (2020)</t>
  </si>
  <si>
    <t>CF_FREE_CASH_FLOW_FIRM (2021)</t>
  </si>
  <si>
    <t>OTHER_NON_CASH_ADJ_LESS_DETAILED (2019)</t>
  </si>
  <si>
    <t>OTHER_NON_CASH_ADJ_LESS_DETAILED (2020)</t>
  </si>
  <si>
    <t>OTHER_NON_CASH_ADJ_LESS_DETAILED (2021)</t>
  </si>
  <si>
    <t>ARDR_STOCK_BASED_COMPENSATION (2019)</t>
  </si>
  <si>
    <t>ARDR_STOCK_BASED_COMPENSATION (2020)</t>
  </si>
  <si>
    <t>ARDR_STOCK_BASED_COMPENSATION (2021)</t>
  </si>
  <si>
    <t>ARDR_OTHER_NON_CASH_ITEMS (2019)</t>
  </si>
  <si>
    <t>ARDR_OTHER_NON_CASH_ITEMS (2020)</t>
  </si>
  <si>
    <t>ARDR_OTHER_NON_CASH_ITEMS (2021)</t>
  </si>
  <si>
    <t>ARDR_CHANGE_OTHER_PROVISIONS (2019)</t>
  </si>
  <si>
    <t>ARDR_CHANGE_OTHER_PROVISIONS (2020)</t>
  </si>
  <si>
    <t>ARDR_CHANGE_OTHER_PROVISIONS (2021)</t>
  </si>
  <si>
    <t>ARDR_GAIN_LOSS_SALES_FIX_ASSETS (2019)</t>
  </si>
  <si>
    <t>ARDR_GAIN_LOSS_SALES_FIX_ASSETS (2020)</t>
  </si>
  <si>
    <t>ARDR_GAIN_LOSS_SALES_FIX_ASSETS (2021)</t>
  </si>
  <si>
    <t>ARD_INT_REC_FROM_INVESTING_ACT (2019)</t>
  </si>
  <si>
    <t>ARD_INT_REC_FROM_INVESTING_ACT (2020)</t>
  </si>
  <si>
    <t>ARD_INT_REC_FROM_INVESTING_ACT (2021)</t>
  </si>
  <si>
    <t>ARD_CASH_PAID_FOR_INTEREST (2019)</t>
  </si>
  <si>
    <t>ARD_CASH_PAID_FOR_INTEREST (2020)</t>
  </si>
  <si>
    <t>ARD_CASH_PAID_FOR_INTEREST (2021)</t>
  </si>
  <si>
    <t>ARD_CASH_PAID_FOR_TAXES (2019)</t>
  </si>
  <si>
    <t>ARD_CASH_PAID_FOR_TAXES (2020)</t>
  </si>
  <si>
    <t>ARD_CASH_PAID_FOR_TAXES (2021)</t>
  </si>
  <si>
    <t>ARD_TOT_CASH_FLOWS_FROM_OPS (2019)</t>
  </si>
  <si>
    <t>ARD_TOT_CASH_FLOWS_FROM_OPS (2020)</t>
  </si>
  <si>
    <t>ARD_TOT_CASH_FLOWS_FROM_OPS (2021)</t>
  </si>
  <si>
    <t>ARDR_CHG_IN_ACCOUNTS_RECEIVABLE (2019)</t>
  </si>
  <si>
    <t>ARDR_CHG_IN_ACCOUNTS_RECEIVABLE (2020)</t>
  </si>
  <si>
    <t>ARDR_CHG_IN_ACCOUNTS_RECEIVABLE (2021)</t>
  </si>
  <si>
    <t>ARD_CHANGE_IN_ACCOUNTS_PAYABLE (2019)</t>
  </si>
  <si>
    <t>ARD_CHANGE_IN_ACCOUNTS_PAYABLE (2020)</t>
  </si>
  <si>
    <t>ARD_CHANGE_IN_ACCOUNTS_PAYABLE (2021)</t>
  </si>
  <si>
    <t>ARD_CHANGE_IN_INVENTORIES (2019)</t>
  </si>
  <si>
    <t>ARD_CHANGE_IN_INVENTORIES (2020)</t>
  </si>
  <si>
    <t>ARD_CHANGE_IN_INVENTORIES (2021)</t>
  </si>
  <si>
    <t>ARD_CHANGE_IN_OTHER_CUR_ASSETS (2019)</t>
  </si>
  <si>
    <t>ARD_CHANGE_IN_OTHER_CUR_ASSETS (2020)</t>
  </si>
  <si>
    <t>ARD_CHANGE_IN_OTHER_CUR_ASSETS (2021)</t>
  </si>
  <si>
    <t>ARD_CHANGE_IN_PREPAID_EXP (2019)</t>
  </si>
  <si>
    <t>ARD_CHANGE_IN_PREPAID_EXP (2020)</t>
  </si>
  <si>
    <t>ARD_CHANGE_IN_PREPAID_EXP (2021)</t>
  </si>
  <si>
    <t>ARD_CHG_IN_ACC_COMP_PAY_EXP (2019)</t>
  </si>
  <si>
    <t>ARD_CHG_IN_ACC_COMP_PAY_EXP (2020)</t>
  </si>
  <si>
    <t>ARD_CHG_IN_ACC_COMP_PAY_EXP (2021)</t>
  </si>
  <si>
    <t>ARD_CHG_IN_ACCOUNTS_RECEIVABLE (2019)</t>
  </si>
  <si>
    <t>ARD_CHG_IN_ACCOUNTS_RECEIVABLE (2020)</t>
  </si>
  <si>
    <t>ARD_CHG_IN_ACCOUNTS_RECEIVABLE (2021)</t>
  </si>
  <si>
    <t>ARD_CHG_IN_OTHER_CURRENT_LIAB (2019)</t>
  </si>
  <si>
    <t>ARD_CHG_IN_OTHER_CURRENT_LIAB (2020)</t>
  </si>
  <si>
    <t>ARD_CHG_IN_OTHER_CURRENT_LIAB (2021)</t>
  </si>
  <si>
    <t>ARD_CHNG_TRADE_PAY_OTH_CUR_LIAB (2019)</t>
  </si>
  <si>
    <t>ARD_CHNG_TRADE_PAY_OTH_CUR_LIAB (2020)</t>
  </si>
  <si>
    <t>ARD_CHNG_TRADE_PAY_OTH_CUR_LIAB (2021)</t>
  </si>
  <si>
    <t>ARD_INCR_DECR_IN_TRADE_OTHER_REC (2019)</t>
  </si>
  <si>
    <t>ARD_INCR_DECR_IN_TRADE_OTHER_REC (2020)</t>
  </si>
  <si>
    <t>ARD_INCR_DECR_IN_TRADE_OTHER_REC (2021)</t>
  </si>
  <si>
    <t>ARDR_CHANGE_IN_INVENTORIES (2019)</t>
  </si>
  <si>
    <t>ARDR_CHANGE_IN_INVENTORIES (2020)</t>
  </si>
  <si>
    <t>ARDR_CHANGE_IN_INVENTORIES (2021)</t>
  </si>
  <si>
    <t>ARDR_CHG_IN_INC_TAX_PAYABLE_REC (2019)</t>
  </si>
  <si>
    <t>ARDR_CHG_IN_INC_TAX_PAYABLE_REC (2020)</t>
  </si>
  <si>
    <t>ARDR_CHG_IN_INC_TAX_PAYABLE_REC (2021)</t>
  </si>
  <si>
    <t>ARDR_CHNG_TRADE_PAY_OTH_CUR_LIAB (2019)</t>
  </si>
  <si>
    <t>ARDR_CHNG_TRADE_PAY_OTH_CUR_LIAB (2020)</t>
  </si>
  <si>
    <t>ARDR_CHNG_TRADE_PAY_OTH_CUR_LIAB (2021)</t>
  </si>
  <si>
    <t>ARDR_INCR_DECR_IN_PROVISIONS (2019)</t>
  </si>
  <si>
    <t>ARDR_INCR_DECR_IN_PROVISIONS (2020)</t>
  </si>
  <si>
    <t>ARDR_INCR_DECR_IN_PROVISIONS (2021)</t>
  </si>
  <si>
    <t>ARDR_INCR_DECR_IN_TRADE_OTH_REC (2019)</t>
  </si>
  <si>
    <t>ARDR_INCR_DECR_IN_TRADE_OTH_REC (2020)</t>
  </si>
  <si>
    <t>ARDR_INCR_DECR_IN_TRADE_OTH_REC (2021)</t>
  </si>
  <si>
    <t>CF_ACCT_RCV_UNBILLED_REV (2019)</t>
  </si>
  <si>
    <t>CF_ACCT_RCV_UNBILLED_REV (2020)</t>
  </si>
  <si>
    <t>CF_ACCT_RCV_UNBILLED_REV (2021)</t>
  </si>
  <si>
    <t>CF_CHANGE_IN_INVENTORIES (2019)</t>
  </si>
  <si>
    <t>CF_CHANGE_IN_INVENTORIES (2020)</t>
  </si>
  <si>
    <t>CF_CHANGE_IN_INVENTORIES (2021)</t>
  </si>
  <si>
    <t>CF_INC_DEC_IN_OT_OP_AST_LIAB (2019)</t>
  </si>
  <si>
    <t>CF_INC_DEC_IN_OT_OP_AST_LIAB (2020)</t>
  </si>
  <si>
    <t>CF_INC_DEC_IN_OT_OP_AST_LIAB (2021)</t>
  </si>
  <si>
    <t>INC_DEC_IN_OT_OP_AST_LIAB_DETAIL (2019)</t>
  </si>
  <si>
    <t>INC_DEC_IN_OT_OP_AST_LIAB_DETAIL (2020)</t>
  </si>
  <si>
    <t>INC_DEC_IN_OT_OP_AST_LIAB_DETAIL (2021)</t>
  </si>
  <si>
    <t>CF_CHANGE_IN_ACCOUNTS_PAYABLE (2019)</t>
  </si>
  <si>
    <t>CF_CHANGE_IN_ACCOUNTS_PAYABLE (2020)</t>
  </si>
  <si>
    <t>CF_CHANGE_IN_ACCOUNTS_PAYABLE (2021)</t>
  </si>
  <si>
    <t>CF_CHNG_NON_CASH_WORK_CAP (2019)</t>
  </si>
  <si>
    <t>CF_CHNG_NON_CASH_WORK_CAP (2020)</t>
  </si>
  <si>
    <t>CF_CHNG_NON_CASH_WORK_CAP (2021)</t>
  </si>
  <si>
    <t>ARD_NET_CHG_IN_WORKING_CAPITAL (2019)</t>
  </si>
  <si>
    <t>ARD_NET_CHG_IN_WORKING_CAPITAL (2020)</t>
  </si>
  <si>
    <t>ARD_NET_CHG_IN_WORKING_CAPITAL (2021)</t>
  </si>
  <si>
    <t>ARD_STOCK_BASED_COMPENSATION (2019)</t>
  </si>
  <si>
    <t>ARD_STOCK_BASED_COMPENSATION (2020)</t>
  </si>
  <si>
    <t>ARD_STOCK_BASED_COMPENSATION (2021)</t>
  </si>
  <si>
    <t>CF_CASH_PAID_FOR_TAX (2019)</t>
  </si>
  <si>
    <t>CF_CASH_PAID_FOR_TAX (2020)</t>
  </si>
  <si>
    <t>CF_CASH_PAID_FOR_TAX (2021)</t>
  </si>
  <si>
    <t>CF_ACT_CASH_PAID_FOR_INT_DEBT (2019)</t>
  </si>
  <si>
    <t>CF_ACT_CASH_PAID_FOR_INT_DEBT (2020)</t>
  </si>
  <si>
    <t>CF_ACT_CASH_PAID_FOR_INT_DEBT (2021)</t>
  </si>
  <si>
    <t>ARD_GAIN_LOSS_SALES_FIXED_ASSETS (2019)</t>
  </si>
  <si>
    <t>ARD_GAIN_LOSS_SALES_FIXED_ASSETS (2020)</t>
  </si>
  <si>
    <t>ARD_GAIN_LOSS_SALES_FIXED_ASSETS (2021)</t>
  </si>
  <si>
    <t>BEST_EBIT (2023E)</t>
  </si>
  <si>
    <t>BEST_EBITDA (2023E)</t>
  </si>
  <si>
    <t>BEST_NET_DEBT (2023E)</t>
  </si>
  <si>
    <t>BEST_OPP (2023E)</t>
  </si>
  <si>
    <t>BEST_SALES (2023E)</t>
  </si>
  <si>
    <t>BEST_CAPEX (2023E)</t>
  </si>
  <si>
    <t>BEST_EBIT (2024E)</t>
  </si>
  <si>
    <t>BEST_EBITDA (2024E)</t>
  </si>
  <si>
    <t>BEST_NET_DEBT (2024E)</t>
  </si>
  <si>
    <t>BEST_OPP (2024E)</t>
  </si>
  <si>
    <t>BEST_SALES (2024E)</t>
  </si>
  <si>
    <t>BEST_CAPEX (2024E)</t>
  </si>
  <si>
    <t>BEST_EBIT (2025E)</t>
  </si>
  <si>
    <t>BEST_EBITDA (2025E)</t>
  </si>
  <si>
    <t>BEST_NET_DEBT (2025E)</t>
  </si>
  <si>
    <t>BEST_OPP (2025E)</t>
  </si>
  <si>
    <t>BEST_SALES (2025E)</t>
  </si>
  <si>
    <t>BEST_CAPEX (2025E)</t>
  </si>
  <si>
    <t>23Y</t>
  </si>
  <si>
    <t>24Y</t>
  </si>
  <si>
    <t>25Y</t>
  </si>
  <si>
    <t>Method 1 (BEST)</t>
  </si>
  <si>
    <t>FY2004</t>
  </si>
  <si>
    <t>CZECH</t>
  </si>
  <si>
    <t>30/06/2022</t>
  </si>
  <si>
    <t>AMORT_OF_GOODWILL (2022)</t>
  </si>
  <si>
    <t>ARD_ALLOW_FOR_DOUBTFUL_ACCTS_LT (2022)</t>
  </si>
  <si>
    <t>ARD_AMORT_EXP (2022)</t>
  </si>
  <si>
    <t>ARD_AMORT_IMPAIR_INTANG_ASSETS (2022)</t>
  </si>
  <si>
    <t>ARD_AMORT_IMPAIR_OF_INTANGIBLES (2022)</t>
  </si>
  <si>
    <t>ARD_AMORT_OF_INTANGIBLE_ASSETS (2022)</t>
  </si>
  <si>
    <t>ARD_AMORTIZATION_CF (2022)</t>
  </si>
  <si>
    <t>ARD_AMORTIZATION_GOODWILL_CF (2022)</t>
  </si>
  <si>
    <t>ARD_AMORTIZATION_OF_GOODWILL_IS (2022)</t>
  </si>
  <si>
    <t>ARD_AMORTIZATION_OF_INTANGIBLE (2022)</t>
  </si>
  <si>
    <t>ARD_AMORTIZATION_OF_SOFTWARE (2022)</t>
  </si>
  <si>
    <t>ARD_AMORTIZATION_OF_SOFTWARE_IS (2022)</t>
  </si>
  <si>
    <t>ARD_AMOT_IMPAIRMENT_GOODWILL (2022)</t>
  </si>
  <si>
    <t>ARD_ASSETS_HELD_FOR_SALE_LT (2022)</t>
  </si>
  <si>
    <t>ARD_CASH_AND_EQUIVALENTS (2022)</t>
  </si>
  <si>
    <t>ARD_CURRENT_PORTION_OF_LT_DEBT (2022)</t>
  </si>
  <si>
    <t>ARD_DEFERRED_COSTS (2022)</t>
  </si>
  <si>
    <t>ARD_DEFERRED_INC_TAX_ASSET_LT (2022)</t>
  </si>
  <si>
    <t>ARD_DEFERRED_TAX_ASSETS_LT (2022)</t>
  </si>
  <si>
    <t>ARD_DEPR_AMORT_AND_WRITE_DOWNS (2022)</t>
  </si>
  <si>
    <t>ARD_DEPR_IMPAIRMENT_FIXED_ASSETS (2022)</t>
  </si>
  <si>
    <t>ARD_DEPREC_AMORT_WRITE_DOWNS (2022)</t>
  </si>
  <si>
    <t>ARD_DEPRECIATION_AMORT_IMPAIRMNT (2022)</t>
  </si>
  <si>
    <t>ARD_DEPRECIATION_AMORTIZATION (2022)</t>
  </si>
  <si>
    <t>ARD_DEPRECIATION_AND_AMORT_CF (2022)</t>
  </si>
  <si>
    <t>ARD_DEPRECIATION_EXP (2022)</t>
  </si>
  <si>
    <t>ARD_DERIVATIVE_ASSET_LT (2022)</t>
  </si>
  <si>
    <t>ARD_EQY_INVEST_ASSOC_AFFILIATES (2022)</t>
  </si>
  <si>
    <t>ARD_GOODWILL_WRITTEN_OFF_AMOR_IS (2022)</t>
  </si>
  <si>
    <t>ARD_GOODWLL (2022)</t>
  </si>
  <si>
    <t>ARD_INTANG_ASSETS_EXCL_GOODWILL (2022)</t>
  </si>
  <si>
    <t>ARD_INVESTMENT_IN_AFFILIATE_JV (2022)</t>
  </si>
  <si>
    <t>ARD_LICENSES (2022)</t>
  </si>
  <si>
    <t>ARD_LONG_TERM_LOANS (2022)</t>
  </si>
  <si>
    <t>ARD_LONG_TERM_LOANS_OTHER_DEBTOR (2022)</t>
  </si>
  <si>
    <t>ARD_LT_INVEST (2022)</t>
  </si>
  <si>
    <t>ARD_OTHER_LT_INVESTMENTS (2022)</t>
  </si>
  <si>
    <t>ARD_MARKETABLE_SECURITIES (2022)</t>
  </si>
  <si>
    <t>ARD_INVESTMENT_PROPERTY (2022)</t>
  </si>
  <si>
    <t>ARD_NET_EQTY_INVEST_JV_ASSOC (2022)</t>
  </si>
  <si>
    <t>ARD_NON_CUR_MKT_SEC (2022)</t>
  </si>
  <si>
    <t>ARD_OTHER_FINANCIAL_ASSETS_LT (2022)</t>
  </si>
  <si>
    <t>ARD_OTHER_INTANGIBLE_ASSET (2022)</t>
  </si>
  <si>
    <t>ARD_OTHER_INVEST_OTHER_ASSETS (2022)</t>
  </si>
  <si>
    <t>ARD_OTHER_NONCURRENT_ASSET (2022)</t>
  </si>
  <si>
    <t>ARD_OTHER_RECEIVABLES_LT (2022)</t>
  </si>
  <si>
    <t>ARD_PLANT_AND_EQUIPMENT_NET (2022)</t>
  </si>
  <si>
    <t>ARD_PREPAID_PEN_POSTRETIRE_BEN (2022)</t>
  </si>
  <si>
    <t>ARD_PROPERTY_PLANT_EQUIP_NET (2022)</t>
  </si>
  <si>
    <t>ARD_REVENUES (2022)</t>
  </si>
  <si>
    <t>ARD_ST_BORROW (2022)</t>
  </si>
  <si>
    <t>ARD_TOT_ASSETS (2022)</t>
  </si>
  <si>
    <t>ARD_TOTAL_CUR_ASSETS (2022)</t>
  </si>
  <si>
    <t>ARD_TOTAL_CURRENT_LIABILITIES (2022)</t>
  </si>
  <si>
    <t>ARD_TOTAL_INTANGIBLE_ASSET_NET (2022)</t>
  </si>
  <si>
    <t>ARD_TRADE_DEBTORS_RECEIVABLES_LT (2022)</t>
  </si>
  <si>
    <t>ARDJ_DEP_INC_STA (2022)</t>
  </si>
  <si>
    <t>ARDR_AMORT_EXP (2022)</t>
  </si>
  <si>
    <t>ARDR_AMORT_IMPAIR_OF_INTANGIBLES (2022)</t>
  </si>
  <si>
    <t>ARDR_AMORT_OF_INTANGIBLE_ASSETS (2022)</t>
  </si>
  <si>
    <t>ARDR_AMORTIZATION_CF (2022)</t>
  </si>
  <si>
    <t>ARDR_AMORTIZATION_GOODWILL (2022)</t>
  </si>
  <si>
    <t>ARD_PURCH_CAPITAL_COMP_SOFTWARE (2022)</t>
  </si>
  <si>
    <t>ARDR_AMORTIZATION_OF_INTANGIBLE (2022)</t>
  </si>
  <si>
    <t>ARDR_AMOT_IMPAIRMENT_GOODWILL (2022)</t>
  </si>
  <si>
    <t>ARDR_CASH_AND_EQUIVALENTS (2022)</t>
  </si>
  <si>
    <t>ARDR_DEPR_AMORT_IMPAIRMNT (2022)</t>
  </si>
  <si>
    <t>ARDR_DEPREC_AMORT_WRITE_DOWNS (2022)</t>
  </si>
  <si>
    <t>ARDR_DEPRECIATION_AMORTIZATION (2022)</t>
  </si>
  <si>
    <t>ARDR_DEPRECIATION_AND_AMORT_CF (2022)</t>
  </si>
  <si>
    <t>ARDR_INVEST_UNCONSOL_SUBSID (2022)</t>
  </si>
  <si>
    <t>ARDR_OTHER_INTANGIBLE_ASSET (2022)</t>
  </si>
  <si>
    <t>ARDR_OTHER_INTANGIBLES_NET (2022)</t>
  </si>
  <si>
    <t>ARDR_OTHER_LT_INVESTMENTS (2022)</t>
  </si>
  <si>
    <t>ARDR_PROPERTY_PLANT_EQUIP_NET (2022)</t>
  </si>
  <si>
    <t>BS_CASH_NEAR_CASH_ITEM (2022)</t>
  </si>
  <si>
    <t>BS_CUR_ASSET_REPORT (2022)</t>
  </si>
  <si>
    <t>BS_CUR_LIAB (2022)</t>
  </si>
  <si>
    <t>BS_DISCLOSED_INTANGIBLES (2022)</t>
  </si>
  <si>
    <t>BS_GOODWILL (2022)</t>
  </si>
  <si>
    <t>BS_NET_FIX_ASSET (2022)</t>
  </si>
  <si>
    <t>BS_ST_BORROW (2022)</t>
  </si>
  <si>
    <t>BS_ST_DEBT (2022)</t>
  </si>
  <si>
    <t>BS_TOT_ASSET (2022)</t>
  </si>
  <si>
    <t>CF_CAP_EXPEND_INC_FIX_ASSET (2022)</t>
  </si>
  <si>
    <t>CF_CAP_EXPEND_PRPTY_ADD (2022)</t>
  </si>
  <si>
    <t>CF_DEPR_AMORT (2022)</t>
  </si>
  <si>
    <t>EBIT (2022)</t>
  </si>
  <si>
    <t>EBITDA (2022)</t>
  </si>
  <si>
    <t>EBITDA_ADJUSTED (2022)</t>
  </si>
  <si>
    <t>IS_COMP_SALES (2022)</t>
  </si>
  <si>
    <t>IS_DEPR_EXP (2022)</t>
  </si>
  <si>
    <t>IS_OPER_INC (2022)</t>
  </si>
  <si>
    <t>NET DEBT (2022)</t>
  </si>
  <si>
    <t>SALES_REV_TURN (2022)</t>
  </si>
  <si>
    <t>ARD_PENSION_POSTRETIREMNT_LIAB (2022)</t>
  </si>
  <si>
    <t>CF_ACQ_OF_FXD_&amp;_INTANGIBLES (2022)</t>
  </si>
  <si>
    <t>CF_ACQUISITION_OF_INTANG_ASSETS (2022)</t>
  </si>
  <si>
    <t>ARD_PURCHASE_OF_INTANGIBLES (2022)</t>
  </si>
  <si>
    <t>ARDR_PURCHASE_OF_INTANGIBLES (2022)</t>
  </si>
  <si>
    <t>ARD_ADDITIONS_FIXED_INTANG_ASSET (2022)</t>
  </si>
  <si>
    <t>IS_R&amp;D_GAAP (2022)</t>
  </si>
  <si>
    <t>IS_OPEX_R&amp;D_GAAP (2022)</t>
  </si>
  <si>
    <t>ARD_R&amp;D_EXPENDITURES (2022)</t>
  </si>
  <si>
    <t>IS_R&amp;D_EXPENSE_NONGAAP_ADJUST (2022)</t>
  </si>
  <si>
    <t>ARD_ACQUIRED_IN_PROCESS_R&amp;D (2022)</t>
  </si>
  <si>
    <t>ARDR_ACQUIRED_IN_PROCESS_R&amp;D (2022)</t>
  </si>
  <si>
    <t>ARD_R&amp;D_EXPENSES_WITHIN_SGA (2022)</t>
  </si>
  <si>
    <t>ARD_R&amp;D_EXPENSES_WITHIN_CGS (2022)</t>
  </si>
  <si>
    <t>ARDR_R&amp;D_EXPENDITURES (2022)</t>
  </si>
  <si>
    <t>ARDR_EXPEND_INCUR_ON_R&amp;D_RECUR (2022)</t>
  </si>
  <si>
    <t>ARDR_R&amp;D_EXPENSES_WITHIN_SGA (2022)</t>
  </si>
  <si>
    <t>ARDR_R_D_EXPENSES_COG (2022)</t>
  </si>
  <si>
    <t>ARDR_NON_GAAP_R&amp;D (2022)</t>
  </si>
  <si>
    <t>ARD_INVEST_SEC_AVAIL_FOR_SALE (2022)</t>
  </si>
  <si>
    <t>ARDR_OTHER_LT_DEBTORS_NON_REC (2022)</t>
  </si>
  <si>
    <t>IS_NET_NON_OPER_LOSS (2022)</t>
  </si>
  <si>
    <t>IS_EQY_EARN_FROM_INVEST_ASSOC (2022)</t>
  </si>
  <si>
    <t>BS_LT_INVEST (2022)</t>
  </si>
  <si>
    <t>ARDR_TRADE_DEBTORS_REC_LT (2022)</t>
  </si>
  <si>
    <t>ARDR_DEPOSITS_GUARANTEES (2022)</t>
  </si>
  <si>
    <t>ARDR_OTHER_RECEIVABLE_NET (2022)</t>
  </si>
  <si>
    <t>ARD_ST_INVEST (2022)</t>
  </si>
  <si>
    <t>ARDR_OTHER_FINL_ASSETS_LT (2022)</t>
  </si>
  <si>
    <t>ARDR_INVEST_SEC_AVAIL_FOR_SALE (2022)</t>
  </si>
  <si>
    <t>ARDR_FINANCE_RECEIVABLES_LT (2022)</t>
  </si>
  <si>
    <t>CF_CASH_FROM_OPER (2022)</t>
  </si>
  <si>
    <t>CF_FREE_CASH_FLOW_FIRM (2022)</t>
  </si>
  <si>
    <t>OTHER_NON_CASH_ADJ_LESS_DETAILED (2022)</t>
  </si>
  <si>
    <t>ARDR_STOCK_BASED_COMPENSATION (2022)</t>
  </si>
  <si>
    <t>ARDR_OTHER_NON_CASH_ITEMS (2022)</t>
  </si>
  <si>
    <t>ARDR_CHANGE_OTHER_PROVISIONS (2022)</t>
  </si>
  <si>
    <t>ARDR_GAIN_LOSS_SALES_FIX_ASSETS (2022)</t>
  </si>
  <si>
    <t>ARD_INT_REC_FROM_INVESTING_ACT (2022)</t>
  </si>
  <si>
    <t>ARD_CASH_PAID_FOR_INTEREST (2022)</t>
  </si>
  <si>
    <t>ARD_CASH_PAID_FOR_TAXES (2022)</t>
  </si>
  <si>
    <t>ARD_TOT_CASH_FLOWS_FROM_OPS (2022)</t>
  </si>
  <si>
    <t>ARDR_CHG_IN_ACCOUNTS_RECEIVABLE (2022)</t>
  </si>
  <si>
    <t>ARD_CHANGE_IN_ACCOUNTS_PAYABLE (2022)</t>
  </si>
  <si>
    <t>ARD_CHANGE_IN_INVENTORIES (2022)</t>
  </si>
  <si>
    <t>ARD_CHANGE_IN_OTHER_CUR_ASSETS (2022)</t>
  </si>
  <si>
    <t>ARD_CHANGE_IN_PREPAID_EXP (2022)</t>
  </si>
  <si>
    <t>ARD_CHG_IN_ACC_COMP_PAY_EXP (2022)</t>
  </si>
  <si>
    <t>ARD_CHG_IN_ACCOUNTS_RECEIVABLE (2022)</t>
  </si>
  <si>
    <t>ARD_CHG_IN_OTHER_CURRENT_LIAB (2022)</t>
  </si>
  <si>
    <t>ARD_CHNG_TRADE_PAY_OTH_CUR_LIAB (2022)</t>
  </si>
  <si>
    <t>ARD_INCR_DECR_IN_TRADE_OTHER_REC (2022)</t>
  </si>
  <si>
    <t>ARDR_CHANGE_IN_INVENTORIES (2022)</t>
  </si>
  <si>
    <t>ARDR_CHG_IN_INC_TAX_PAYABLE_REC (2022)</t>
  </si>
  <si>
    <t>ARDR_CHNG_TRADE_PAY_OTH_CUR_LIAB (2022)</t>
  </si>
  <si>
    <t>ARDR_INCR_DECR_IN_PROVISIONS (2022)</t>
  </si>
  <si>
    <t>ARDR_INCR_DECR_IN_TRADE_OTH_REC (2022)</t>
  </si>
  <si>
    <t>CF_ACCT_RCV_UNBILLED_REV (2022)</t>
  </si>
  <si>
    <t>CF_CHANGE_IN_INVENTORIES (2022)</t>
  </si>
  <si>
    <t>CF_INC_DEC_IN_OT_OP_AST_LIAB (2022)</t>
  </si>
  <si>
    <t>INC_DEC_IN_OT_OP_AST_LIAB_DETAIL (2022)</t>
  </si>
  <si>
    <t>CF_CHANGE_IN_ACCOUNTS_PAYABLE (2022)</t>
  </si>
  <si>
    <t>CF_CHNG_NON_CASH_WORK_CAP (2022)</t>
  </si>
  <si>
    <t>ARD_NET_CHG_IN_WORKING_CAPITAL (2022)</t>
  </si>
  <si>
    <t>ARD_STOCK_BASED_COMPENSATION (2022)</t>
  </si>
  <si>
    <t>CF_CASH_PAID_FOR_TAX (2022)</t>
  </si>
  <si>
    <t>CF_ACT_CASH_PAID_FOR_INT_DEBT (2022)</t>
  </si>
  <si>
    <t>ARD_GAIN_LOSS_SALES_FIXED_ASSETS (2022)</t>
  </si>
  <si>
    <t>VOW3 GY Equity</t>
  </si>
  <si>
    <t>RACE US Equity</t>
  </si>
  <si>
    <t>AML LN Equity</t>
  </si>
  <si>
    <t>MBG GR Equity</t>
  </si>
  <si>
    <t>RNO FP Equity</t>
  </si>
  <si>
    <t>BMW GR Equity</t>
  </si>
  <si>
    <t>STLA US Equity</t>
  </si>
  <si>
    <t>VOLCARB SS Equity</t>
  </si>
  <si>
    <t>Volkswagen AG</t>
  </si>
  <si>
    <t>Ferrari NV</t>
  </si>
  <si>
    <t>Aston Martin Lagonda Global Ho</t>
  </si>
  <si>
    <t>Mercedes-Benz Group AG</t>
  </si>
  <si>
    <t>Renault SA</t>
  </si>
  <si>
    <t>Bayerische Motoren Werke AG</t>
  </si>
  <si>
    <t>Stellantis NV</t>
  </si>
  <si>
    <t>Volvo Car AB</t>
  </si>
  <si>
    <t>GERMANY</t>
  </si>
  <si>
    <t>ITALY</t>
  </si>
  <si>
    <t>NETHERLANDS</t>
  </si>
  <si>
    <t>SWEDEN</t>
  </si>
  <si>
    <t>Nomalisation Formula</t>
  </si>
  <si>
    <t>Andorra</t>
  </si>
  <si>
    <t>Anguilla</t>
  </si>
  <si>
    <t>Antigua and Barbuda</t>
  </si>
  <si>
    <t>Azerbaijan</t>
  </si>
  <si>
    <t>Benin</t>
  </si>
  <si>
    <t>Brunei Darussalam</t>
  </si>
  <si>
    <t>Burkina Faso</t>
  </si>
  <si>
    <t>Burundi</t>
  </si>
  <si>
    <t>Cameroon</t>
  </si>
  <si>
    <t>Congo</t>
  </si>
  <si>
    <t>Congo (Democratic Republic of the)</t>
  </si>
  <si>
    <t>Czech Republic</t>
  </si>
  <si>
    <t>Djibouti</t>
  </si>
  <si>
    <t>Dominica</t>
  </si>
  <si>
    <t>Ethiopia</t>
  </si>
  <si>
    <t>Gabon</t>
  </si>
  <si>
    <t>Gambia</t>
  </si>
  <si>
    <t>Grenada</t>
  </si>
  <si>
    <t>Ivory Coast</t>
  </si>
  <si>
    <t>Kyrgyzstan</t>
  </si>
  <si>
    <t>Macau</t>
  </si>
  <si>
    <t>Macedonia</t>
  </si>
  <si>
    <t>Madagascar</t>
  </si>
  <si>
    <t>Moldova</t>
  </si>
  <si>
    <t>Monaco</t>
  </si>
  <si>
    <t>Mongolia</t>
  </si>
  <si>
    <t>Myanmar</t>
  </si>
  <si>
    <t>Nicaragua</t>
  </si>
  <si>
    <t>Palestinian Territory</t>
  </si>
  <si>
    <t>Rwanda</t>
  </si>
  <si>
    <t>Saint Kitts and Nevis</t>
  </si>
  <si>
    <t>Saint Lucia</t>
  </si>
  <si>
    <t>Saint Vincent and the Grenadines</t>
  </si>
  <si>
    <t>Senegal</t>
  </si>
  <si>
    <t>Solomon Islands</t>
  </si>
  <si>
    <t>St Maarten</t>
  </si>
  <si>
    <t>Swaziland</t>
  </si>
  <si>
    <t>Syria</t>
  </si>
  <si>
    <t>Turkmenistan</t>
  </si>
  <si>
    <t>Turks and Caicos Islands</t>
  </si>
  <si>
    <t>United Kingdom</t>
  </si>
  <si>
    <t>Uzbekistan</t>
  </si>
  <si>
    <t>South America 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</si>
</sst>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7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£&quot;* #,##0.00_);_(&quot;£&quot;* \(#,##0.00\);_(&quot;£&quot;* &quot;-&quot;??_);_(@_)"/>
    <numFmt numFmtId="165" formatCode="_(&quot;£&quot;* #,##0_);_(&quot;£&quot;* \(#,##0\);_(&quot;£&quot;* &quot;-&quot;_);_(@_)"/>
    <numFmt numFmtId="166" formatCode="0.0"/>
    <numFmt numFmtId="167" formatCode="0.0%"/>
    <numFmt numFmtId="168" formatCode="#,##0.0"/>
    <numFmt numFmtId="169" formatCode="_-* #,##0.0_-;\-* #,##0.0_-;_-* &quot;-&quot;??_-;_-@_-"/>
    <numFmt numFmtId="170" formatCode="_-* #,##0_-;\-* #,##0_-;_-* &quot;-&quot;??_-;_-@_-"/>
    <numFmt numFmtId="171" formatCode="#,##0.0\ \x"/>
    <numFmt numFmtId="172" formatCode="#,##0.0_);\(#,##0.0\)"/>
    <numFmt numFmtId="173" formatCode="&quot;£&quot;_(#,##0.00_);&quot;£&quot;\(#,##0.00\)"/>
    <numFmt numFmtId="174" formatCode="&quot;€&quot;_(#,##0.00_);&quot;€&quot;\(#,##0.00\)"/>
    <numFmt numFmtId="175" formatCode="#,##0.0_)\x;\(#,##0.0\)\x"/>
    <numFmt numFmtId="176" formatCode="#,##0.0_)_x;\(#,##0.0\)_x"/>
    <numFmt numFmtId="177" formatCode="0.0_)\%;\(0.0\)\%"/>
    <numFmt numFmtId="178" formatCode="#,##0.0_)_%;\(#,##0.0\)_%"/>
    <numFmt numFmtId="179" formatCode="&quot;\&quot;#,##0.00;[Red]&quot;\&quot;\-#,##0.00"/>
    <numFmt numFmtId="180" formatCode="&quot;\&quot;#,##0;[Red]&quot;\&quot;\-#,##0"/>
    <numFmt numFmtId="181" formatCode="#,##0.0##;[Red]\-#,##0.0##"/>
    <numFmt numFmtId="182" formatCode="0.000_]"/>
    <numFmt numFmtId="183" formatCode="#,##0.0\ _]"/>
    <numFmt numFmtId="184" formatCode="0.0%;\(0.0%\)"/>
    <numFmt numFmtId="185" formatCode="#,##0.00_);\(#,##0.00\);\-_0_)"/>
    <numFmt numFmtId="186" formatCode="0_);\(0\);\-_)"/>
    <numFmt numFmtId="187" formatCode="#,##0_%_);\(#,##0\)_%;#,##0_%_);@_%_)"/>
    <numFmt numFmtId="188" formatCode="#,##0.0\x_);\(#,##0.0\x\)"/>
    <numFmt numFmtId="189" formatCode="#,##0.0_);[Red]\(#,##0.0\)"/>
    <numFmt numFmtId="190" formatCode="&quot;$&quot;#,##0_%_);\(&quot;$&quot;#,##0\)_%;&quot;$&quot;#,##0_%_);@_%_)"/>
    <numFmt numFmtId="191" formatCode="&quot;$&quot;#,##0.00_%_);\(&quot;$&quot;#,##0.00\)_%;&quot;$&quot;#,##0.00_%_);@_%_)"/>
    <numFmt numFmtId="192" formatCode="dd\ mmm"/>
    <numFmt numFmtId="193" formatCode="mmm\ \'yy"/>
    <numFmt numFmtId="194" formatCode="mmm\ yyyy"/>
    <numFmt numFmtId="195" formatCode="m/d/yy_%_)"/>
    <numFmt numFmtId="196" formatCode="d\ mmm"/>
    <numFmt numFmtId="197" formatCode="0&quot; days&quot;"/>
    <numFmt numFmtId="198" formatCode="0.000"/>
    <numFmt numFmtId="199" formatCode="0.0000"/>
    <numFmt numFmtId="200" formatCode="#,##0.0;\(#,##0.0\)"/>
    <numFmt numFmtId="201" formatCode="_###0;_(* \(#,##0\);_(* &quot;-&quot;??_);_(@_)"/>
    <numFmt numFmtId="202" formatCode="0_%_);\(0\)_%;0_%_);@_%_)"/>
    <numFmt numFmtId="203" formatCode="#,##0.0\ ;\(#,##0.0\)"/>
    <numFmt numFmtId="204" formatCode="0&quot;E&quot;"/>
    <numFmt numFmtId="205" formatCode="_-[$€-2]* #,##0.00_-;\-[$€-2]* #,##0.00_-;_-[$€-2]* &quot;-&quot;??_-"/>
    <numFmt numFmtId="206" formatCode="#\ ##0.0"/>
    <numFmt numFmtId="207" formatCode="##0&quot;%&quot;;\(##0&quot;%&quot;\)"/>
    <numFmt numFmtId="208" formatCode="#,##0.0000\ ;\(#,##0.0000\)"/>
    <numFmt numFmtId="209" formatCode="#,##0.0000_);[Red]\(#,##0.0000\)"/>
    <numFmt numFmtId="210" formatCode="0.00%;\(0.00%\)"/>
    <numFmt numFmtId="211" formatCode="0.0\%_);\(0.0\%\);0.0\%_);@_%_)"/>
    <numFmt numFmtId="212" formatCode=";;;"/>
    <numFmt numFmtId="213" formatCode="#,##0;[Red]\(#,##0\)"/>
    <numFmt numFmtId="214" formatCode="#,##0\ ;\(#,##0\)"/>
    <numFmt numFmtId="215" formatCode="0.0%;0.0%;\-\ "/>
    <numFmt numFmtId="216" formatCode="_-* #,##0\ _€_-;\-* #,##0\ _€_-;_-* &quot;-&quot;\ _€_-;_-@_-"/>
    <numFmt numFmtId="217" formatCode="_(&quot;£&quot;#,##0&quot;m&quot;_);\(&quot;£&quot;#,##0\m\)"/>
    <numFmt numFmtId="218" formatCode="_(&quot;£&quot;#,##0.0&quot;m&quot;_);\(&quot;£&quot;#,##0.0\m\)"/>
    <numFmt numFmtId="219" formatCode="&quot;£&quot;#,##0\m_);\(&quot;£&quot;#,##0\m\)"/>
    <numFmt numFmtId="220" formatCode="_-* #,##0\ &quot;€&quot;_-;\-* #,##0\ &quot;€&quot;_-;_-* &quot;-&quot;\ &quot;€&quot;_-;_-@_-"/>
    <numFmt numFmtId="221" formatCode="_-* #,##0.00\ &quot;€&quot;_-;\-* #,##0.00\ &quot;€&quot;_-;_-* &quot;-&quot;??\ &quot;€&quot;_-;_-@_-"/>
    <numFmt numFmtId="222" formatCode="#,##0.0;[Red]\(#,##0.0\)"/>
    <numFmt numFmtId="223" formatCode="0;\(0\)"/>
    <numFmt numFmtId="224" formatCode="General;;&quot;zero&quot;;&quot;-&quot;"/>
    <numFmt numFmtId="225" formatCode="#,##0.00;\(#,##0.00\)"/>
    <numFmt numFmtId="226" formatCode="#,##0;_(* \(#,##0\);_(* &quot;-&quot;??_);_(@_)"/>
    <numFmt numFmtId="227" formatCode="#,##0.0_);\(#,##0.0\);\-_)"/>
    <numFmt numFmtId="228" formatCode="#,##0.0_);\(#,##0.0\);0.0_)"/>
    <numFmt numFmtId="229" formatCode="#,##0.0&quot;x&quot;;\-#,##0.0&quot;x&quot;;0.0&quot;x&quot;"/>
    <numFmt numFmtId="230" formatCode="0.0;\(0.0\);0.0;&quot;n.s.&quot;"/>
    <numFmt numFmtId="231" formatCode="0.0;\(0.0\)"/>
    <numFmt numFmtId="232" formatCode="General_)"/>
    <numFmt numFmtId="233" formatCode="0.00%_);\(0.00%\)"/>
    <numFmt numFmtId="234" formatCode="0\p"/>
    <numFmt numFmtId="235" formatCode="0\p_);\(0\p\)"/>
    <numFmt numFmtId="236" formatCode="0.0\p"/>
    <numFmt numFmtId="237" formatCode="_(0.0%_);\(0.0%\)"/>
    <numFmt numFmtId="238" formatCode="0.0%_);\(0.0%\);&quot;-&quot;_)"/>
    <numFmt numFmtId="239" formatCode="0.0%_);\(0.0%\)"/>
    <numFmt numFmtId="240" formatCode="0.0&quot;%&quot;_);\(0.0&quot;%)&quot;"/>
    <numFmt numFmtId="241" formatCode="0.0000E+00;\?"/>
    <numFmt numFmtId="242" formatCode="\+0.0%;\-0.0%;\ \-\ "/>
    <numFmt numFmtId="243" formatCode="0.0%;[Red]\(0.0%\)"/>
    <numFmt numFmtId="244" formatCode="0%;\(0%\)"/>
    <numFmt numFmtId="245" formatCode="yy/mm"/>
    <numFmt numFmtId="246" formatCode="0.00;\-0.00;0.00"/>
    <numFmt numFmtId="247" formatCode="0.00\x;\-0.00\x;0.00\x"/>
    <numFmt numFmtId="248" formatCode="#,##0.00_);\(#,##0.00\);\-??"/>
    <numFmt numFmtId="249" formatCode="#,##0_);\(#,##0\);\-??"/>
    <numFmt numFmtId="250" formatCode="0%_);\(0%\);&quot;same prices&quot;"/>
    <numFmt numFmtId="251" formatCode="General;\-General;General;"/>
    <numFmt numFmtId="252" formatCode="#,###;\(#,###\);\-\-\-\-"/>
    <numFmt numFmtId="253" formatCode="#,##0;\(#,##0\)"/>
    <numFmt numFmtId="254" formatCode="#,##0.000\ ;\(#,##0.000\)"/>
    <numFmt numFmtId="255" formatCode="0.0\x"/>
    <numFmt numFmtId="256" formatCode="#,##0_);\(#,##0\);&quot;-&quot;_);_-* @_)"/>
    <numFmt numFmtId="257" formatCode="#,##0.00\ ;\(#,##0.00\)"/>
    <numFmt numFmtId="258" formatCode="0000"/>
    <numFmt numFmtId="259" formatCode="_-* #,##0\ _D_M_-;\-* #,##0\ _D_M_-;_-* &quot;-&quot;\ _D_M_-;_-@_-"/>
    <numFmt numFmtId="260" formatCode="#,##0.0\x"/>
    <numFmt numFmtId="261" formatCode="_-* #,##0.00\ _P_t_s_-;\-* #,##0.00\ _P_t_s_-;_-* &quot;-&quot;??\ _P_t_s_-;_-@_-"/>
    <numFmt numFmtId="262" formatCode="0_)"/>
    <numFmt numFmtId="263" formatCode="0_);\(0\)"/>
    <numFmt numFmtId="264" formatCode="[Color10][&gt;0]&quot;ì&quot;;[Red][&lt;0]&quot;î&quot;;[Color48]&quot;è&quot;"/>
    <numFmt numFmtId="265" formatCode="0.0_);\(0.0\)"/>
    <numFmt numFmtId="266" formatCode="0.00_);\(0.00\)"/>
    <numFmt numFmtId="267" formatCode="0.000_);\(0.000\)"/>
    <numFmt numFmtId="268" formatCode="_-* #,##0.00\ _F_-;\-* #,##0.00\ _F_-;_-* &quot;-&quot;??\ _F_-;_-@_-"/>
    <numFmt numFmtId="269" formatCode="&quot;$&quot;#,##0.0_);\(&quot;$&quot;#,##0.0\)"/>
    <numFmt numFmtId="270" formatCode="#,"/>
    <numFmt numFmtId="271" formatCode="\+#,##0.0%;\(#,##0.0%\)"/>
    <numFmt numFmtId="272" formatCode="#,##0.0;[Red]\-#,##0.0"/>
    <numFmt numFmtId="273" formatCode="#,#00"/>
    <numFmt numFmtId="274" formatCode="#.##000"/>
    <numFmt numFmtId="275" formatCode="_-* #,##0\ _P_t_s_-;\-* #,##0\ _P_t_s_-;_-* &quot;-&quot;\ _P_t_s_-;_-@_-"/>
    <numFmt numFmtId="276" formatCode="\$#,#00"/>
    <numFmt numFmtId="277" formatCode="%#,#00"/>
    <numFmt numFmtId="278" formatCode="0.0;[Red]\(0.0\)"/>
    <numFmt numFmtId="279" formatCode="0.00;[Red]\(0.00\)"/>
    <numFmt numFmtId="280" formatCode="##,#0_;\(#,##0_)"/>
    <numFmt numFmtId="281" formatCode="mm/dd/yy"/>
    <numFmt numFmtId="282" formatCode="_ * #,##0_ ;_ * \-#,##0_ ;_ * &quot;-&quot;_ ;_ @_ "/>
    <numFmt numFmtId="283" formatCode="0.0\x;\-0.0\x;0.0\x"/>
    <numFmt numFmtId="284" formatCode="#,##0.0_);\(#,##0.0\);#,##0.0_);@_)"/>
    <numFmt numFmtId="288" formatCode="_(* #,##0.0_);_(* \(#,##0.0\);_(* &quot;-&quot;??_);_(@_)"/>
    <numFmt numFmtId="289" formatCode="#,##0.00\x"/>
  </numFmts>
  <fonts count="2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10"/>
      <color rgb="FF00B050"/>
      <name val="Arial"/>
      <family val="2"/>
    </font>
    <font>
      <sz val="10"/>
      <color theme="6" tint="-0.249977111117893"/>
      <name val="Arial"/>
      <family val="2"/>
    </font>
    <font>
      <sz val="10"/>
      <color indexed="8"/>
      <name val="Times New Roman"/>
      <family val="1"/>
    </font>
    <font>
      <sz val="10"/>
      <name val="MS Sans Serif"/>
      <family val="2"/>
    </font>
    <font>
      <sz val="8.25"/>
      <name val="Helv"/>
    </font>
    <font>
      <sz val="8"/>
      <name val="Arial"/>
      <family val="2"/>
    </font>
    <font>
      <sz val="12"/>
      <name val="Helv"/>
    </font>
    <font>
      <sz val="9"/>
      <name val="Times New Roman"/>
      <family val="1"/>
    </font>
    <font>
      <sz val="10"/>
      <color indexed="12"/>
      <name val="Times New Roman"/>
      <family val="1"/>
    </font>
    <font>
      <sz val="10"/>
      <name val="Times New Roman"/>
      <family val="1"/>
    </font>
    <font>
      <sz val="12"/>
      <name val="Arial"/>
      <family val="2"/>
    </font>
    <font>
      <b/>
      <sz val="6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sz val="8"/>
      <color indexed="12"/>
      <name val="Helv"/>
    </font>
    <font>
      <sz val="10"/>
      <name val="Geneva"/>
    </font>
    <font>
      <sz val="10"/>
      <color indexed="12"/>
      <name val="Arial"/>
      <family val="2"/>
    </font>
    <font>
      <sz val="9"/>
      <color indexed="12"/>
      <name val="Frutiger 45 Light"/>
      <family val="2"/>
    </font>
    <font>
      <b/>
      <sz val="8"/>
      <color indexed="8"/>
      <name val="Arial"/>
      <family val="2"/>
    </font>
    <font>
      <b/>
      <sz val="16"/>
      <color indexed="53"/>
      <name val="Arial"/>
      <family val="2"/>
    </font>
    <font>
      <b/>
      <sz val="8"/>
      <name val="GillSans"/>
    </font>
    <font>
      <sz val="8"/>
      <name val="Helv"/>
      <family val="2"/>
    </font>
    <font>
      <sz val="6"/>
      <color indexed="12"/>
      <name val="Times New Roman"/>
      <family val="1"/>
    </font>
    <font>
      <sz val="8"/>
      <name val="Palatino"/>
      <family val="1"/>
    </font>
    <font>
      <sz val="24"/>
      <name val="MS Sans Serif"/>
      <family val="2"/>
    </font>
    <font>
      <b/>
      <sz val="10"/>
      <color indexed="53"/>
      <name val="Arial"/>
      <family val="2"/>
    </font>
    <font>
      <i/>
      <sz val="10"/>
      <color indexed="18"/>
      <name val="MS Sans Serif"/>
      <family val="2"/>
    </font>
    <font>
      <sz val="8"/>
      <color indexed="8"/>
      <name val="Arial"/>
      <family val="2"/>
    </font>
    <font>
      <sz val="10"/>
      <color indexed="10"/>
      <name val="Arial"/>
      <family val="2"/>
    </font>
    <font>
      <sz val="9"/>
      <color indexed="18"/>
      <name val="Arial"/>
      <family val="2"/>
    </font>
    <font>
      <sz val="9"/>
      <color indexed="12"/>
      <name val="Times New Roman"/>
      <family val="1"/>
    </font>
    <font>
      <sz val="8"/>
      <name val="Times New Roman"/>
      <family val="1"/>
    </font>
    <font>
      <sz val="7"/>
      <name val="Helv"/>
      <family val="2"/>
    </font>
    <font>
      <b/>
      <sz val="10"/>
      <name val="Helv"/>
      <family val="2"/>
    </font>
    <font>
      <sz val="10"/>
      <name val="Arial Narrow"/>
      <family val="2"/>
    </font>
    <font>
      <sz val="9"/>
      <name val="GillSans Light"/>
    </font>
    <font>
      <sz val="10"/>
      <name val="Helv"/>
    </font>
    <font>
      <sz val="9"/>
      <name val="Bembo (DFS)"/>
      <family val="1"/>
    </font>
    <font>
      <b/>
      <sz val="8"/>
      <color indexed="9"/>
      <name val="Helv"/>
    </font>
    <font>
      <sz val="6"/>
      <color indexed="16"/>
      <name val="Palatino"/>
      <family val="1"/>
    </font>
    <font>
      <sz val="8"/>
      <name val="VeticaBlack"/>
      <family val="2"/>
    </font>
    <font>
      <b/>
      <i/>
      <sz val="15"/>
      <name val="Times New Roman"/>
      <family val="1"/>
    </font>
    <font>
      <b/>
      <sz val="10"/>
      <color indexed="8"/>
      <name val="Arial"/>
      <family val="2"/>
    </font>
    <font>
      <b/>
      <sz val="10"/>
      <color indexed="18"/>
      <name val="MS Sans Serif"/>
      <family val="2"/>
    </font>
    <font>
      <sz val="7"/>
      <name val="Arial"/>
      <family val="2"/>
    </font>
    <font>
      <sz val="8"/>
      <color indexed="10"/>
      <name val="Times New Roman"/>
      <family val="1"/>
    </font>
    <font>
      <sz val="10"/>
      <color indexed="12"/>
      <name val="Frutiger 45 Light"/>
      <family val="2"/>
    </font>
    <font>
      <b/>
      <u/>
      <sz val="11"/>
      <color indexed="10"/>
      <name val="Times New Roman"/>
      <family val="1"/>
    </font>
    <font>
      <b/>
      <sz val="8"/>
      <color indexed="8"/>
      <name val="Times New Roman"/>
      <family val="1"/>
    </font>
    <font>
      <b/>
      <sz val="8"/>
      <color indexed="12"/>
      <name val="Times New Roman"/>
      <family val="1"/>
    </font>
    <font>
      <sz val="10"/>
      <color indexed="16"/>
      <name val="Arial Narrow"/>
      <family val="2"/>
    </font>
    <font>
      <b/>
      <sz val="10"/>
      <name val="MS Sans Serif"/>
      <family val="2"/>
    </font>
    <font>
      <b/>
      <sz val="11"/>
      <color indexed="62"/>
      <name val="Arial"/>
      <family val="2"/>
    </font>
    <font>
      <b/>
      <sz val="8"/>
      <color indexed="62"/>
      <name val="Arial"/>
      <family val="2"/>
    </font>
    <font>
      <sz val="10"/>
      <name val="GillSans Light"/>
    </font>
    <font>
      <sz val="8"/>
      <color indexed="8"/>
      <name val="Helv"/>
    </font>
    <font>
      <i/>
      <sz val="9"/>
      <color indexed="20"/>
      <name val="Arial Narrow"/>
      <family val="2"/>
    </font>
    <font>
      <sz val="10"/>
      <color indexed="20"/>
      <name val="Times New Roman"/>
      <family val="1"/>
    </font>
    <font>
      <sz val="12"/>
      <name val="BASKERV"/>
    </font>
    <font>
      <b/>
      <sz val="24"/>
      <name val="Helv"/>
    </font>
    <font>
      <i/>
      <sz val="9"/>
      <name val="Times New Roman"/>
      <family val="1"/>
    </font>
    <font>
      <sz val="9"/>
      <name val="Arial"/>
      <family val="2"/>
    </font>
    <font>
      <sz val="10"/>
      <name val="Frutiger 45 Light"/>
      <family val="2"/>
    </font>
    <font>
      <i/>
      <sz val="10"/>
      <name val="Helv"/>
    </font>
    <font>
      <sz val="9"/>
      <name val="Frutiger 45 Light"/>
      <family val="2"/>
    </font>
    <font>
      <sz val="8.5"/>
      <name val="Arial Narrow"/>
      <family val="2"/>
    </font>
    <font>
      <sz val="9"/>
      <name val="Helv"/>
    </font>
    <font>
      <b/>
      <sz val="9"/>
      <name val="Helv"/>
    </font>
    <font>
      <b/>
      <sz val="8"/>
      <name val="Times New Roman"/>
      <family val="1"/>
    </font>
    <font>
      <sz val="10"/>
      <color indexed="8"/>
      <name val="Helvetica-Narrow"/>
      <family val="2"/>
    </font>
    <font>
      <sz val="11"/>
      <name val="Times New Roman"/>
      <family val="1"/>
    </font>
    <font>
      <i/>
      <sz val="6"/>
      <name val="Arial"/>
      <family val="2"/>
    </font>
    <font>
      <b/>
      <sz val="7"/>
      <name val="Arial"/>
      <family val="2"/>
    </font>
    <font>
      <sz val="10"/>
      <color indexed="16"/>
      <name val="Helvetica-Black"/>
    </font>
    <font>
      <sz val="22"/>
      <name val="UBSHeadline"/>
      <family val="1"/>
    </font>
    <font>
      <i/>
      <sz val="9"/>
      <name val="Helv"/>
    </font>
    <font>
      <i/>
      <sz val="8"/>
      <color indexed="14"/>
      <name val="Arial Narrow"/>
      <family val="2"/>
    </font>
    <font>
      <i/>
      <sz val="8"/>
      <name val="Times New Roman"/>
      <family val="1"/>
    </font>
    <font>
      <sz val="10"/>
      <color indexed="17"/>
      <name val="MS Sans Serif"/>
      <family val="2"/>
    </font>
    <font>
      <b/>
      <sz val="10"/>
      <color indexed="9"/>
      <name val="Arial"/>
      <family val="2"/>
    </font>
    <font>
      <b/>
      <sz val="14"/>
      <name val="Times New Roman"/>
      <family val="1"/>
    </font>
    <font>
      <sz val="10"/>
      <color indexed="10"/>
      <name val="MS Sans Serif"/>
      <family val="2"/>
    </font>
    <font>
      <b/>
      <sz val="10"/>
      <name val="Palatino"/>
      <family val="1"/>
    </font>
    <font>
      <i/>
      <sz val="8"/>
      <color indexed="8"/>
      <name val="Arial"/>
      <family val="2"/>
    </font>
    <font>
      <b/>
      <sz val="12"/>
      <name val="MS Sans Serif"/>
      <family val="2"/>
    </font>
    <font>
      <i/>
      <sz val="10"/>
      <name val="Times New Roman"/>
      <family val="1"/>
    </font>
    <font>
      <i/>
      <sz val="7"/>
      <name val="Arial"/>
      <family val="2"/>
    </font>
    <font>
      <sz val="10"/>
      <name val="Courier"/>
      <family val="3"/>
    </font>
    <font>
      <b/>
      <sz val="12"/>
      <color indexed="56"/>
      <name val="Times New Roman"/>
      <family val="1"/>
    </font>
    <font>
      <sz val="7"/>
      <color indexed="56"/>
      <name val="Times New Roman"/>
      <family val="1"/>
    </font>
    <font>
      <sz val="12"/>
      <color indexed="56"/>
      <name val="Times New Roman"/>
      <family val="1"/>
    </font>
    <font>
      <b/>
      <sz val="12"/>
      <color indexed="63"/>
      <name val="Times New Roman"/>
      <family val="1"/>
    </font>
    <font>
      <b/>
      <sz val="11"/>
      <color indexed="63"/>
      <name val="Times New Roman"/>
      <family val="1"/>
    </font>
    <font>
      <b/>
      <u/>
      <sz val="12"/>
      <color indexed="56"/>
      <name val="Times New Roman"/>
      <family val="1"/>
    </font>
    <font>
      <b/>
      <sz val="10"/>
      <color indexed="39"/>
      <name val="Arial"/>
      <family val="2"/>
    </font>
    <font>
      <b/>
      <sz val="10"/>
      <name val="GillSans"/>
    </font>
    <font>
      <b/>
      <u/>
      <sz val="9"/>
      <name val="Helv"/>
    </font>
    <font>
      <b/>
      <sz val="10"/>
      <name val="Times New Roman"/>
      <family val="1"/>
    </font>
    <font>
      <i/>
      <sz val="12"/>
      <color indexed="12"/>
      <name val="Times New Roman"/>
      <family val="1"/>
    </font>
    <font>
      <b/>
      <sz val="10"/>
      <color indexed="18"/>
      <name val="Symbol"/>
      <family val="1"/>
    </font>
    <font>
      <b/>
      <sz val="9"/>
      <name val="Palatino"/>
      <family val="1"/>
    </font>
    <font>
      <sz val="9"/>
      <color indexed="21"/>
      <name val="Helvetica-Black"/>
    </font>
    <font>
      <sz val="9"/>
      <name val="Helvetica-Black"/>
    </font>
    <font>
      <sz val="7"/>
      <name val="Palatino"/>
      <family val="1"/>
    </font>
    <font>
      <sz val="12"/>
      <name val="Times New Roman"/>
      <family val="1"/>
    </font>
    <font>
      <sz val="10"/>
      <color indexed="8"/>
      <name val="Palatino"/>
      <family val="1"/>
    </font>
    <font>
      <b/>
      <sz val="12"/>
      <name val="Helv"/>
    </font>
    <font>
      <b/>
      <sz val="11"/>
      <color indexed="9"/>
      <name val="GillSans"/>
    </font>
    <font>
      <b/>
      <sz val="11"/>
      <name val="GillSans"/>
    </font>
    <font>
      <u/>
      <sz val="10"/>
      <name val="Helv"/>
    </font>
    <font>
      <sz val="8"/>
      <color indexed="16"/>
      <name val="Helv"/>
    </font>
    <font>
      <i/>
      <sz val="10"/>
      <name val="Arial"/>
      <family val="2"/>
    </font>
    <font>
      <sz val="10"/>
      <color indexed="9"/>
      <name val="Arial"/>
      <family val="2"/>
    </font>
    <font>
      <sz val="8"/>
      <color indexed="18"/>
      <name val="Times New Roman"/>
      <family val="1"/>
    </font>
    <font>
      <sz val="8"/>
      <color indexed="12"/>
      <name val="Times New Roman"/>
      <family val="1"/>
    </font>
    <font>
      <b/>
      <sz val="8"/>
      <color indexed="8"/>
      <name val="Wingdings"/>
      <charset val="2"/>
    </font>
    <font>
      <b/>
      <sz val="8"/>
      <color indexed="10"/>
      <name val="Wingdings"/>
      <charset val="2"/>
    </font>
    <font>
      <b/>
      <sz val="8"/>
      <color indexed="9"/>
      <name val="Wingdings"/>
      <charset val="2"/>
    </font>
    <font>
      <b/>
      <i/>
      <sz val="12"/>
      <name val="Times New Roman"/>
      <family val="1"/>
    </font>
    <font>
      <sz val="7"/>
      <name val="Times Roman"/>
    </font>
    <font>
      <b/>
      <sz val="10"/>
      <color indexed="18"/>
      <name val="CG Times (WN)"/>
    </font>
    <font>
      <sz val="9"/>
      <color indexed="81"/>
      <name val="Tahoma"/>
      <family val="2"/>
    </font>
    <font>
      <sz val="10"/>
      <color theme="1"/>
      <name val="Arial"/>
      <family val="2"/>
    </font>
    <font>
      <sz val="10"/>
      <color theme="3"/>
      <name val="Arial"/>
      <family val="2"/>
    </font>
    <font>
      <b/>
      <sz val="9"/>
      <color indexed="81"/>
      <name val="Tahoma"/>
      <family val="2"/>
    </font>
    <font>
      <u/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7030A0"/>
      <name val="Arial"/>
      <family val="2"/>
    </font>
    <font>
      <i/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8"/>
      <color indexed="55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Arial MT"/>
    </font>
    <font>
      <sz val="8"/>
      <name val="Wingdings"/>
      <charset val="2"/>
    </font>
    <font>
      <sz val="10"/>
      <color indexed="10"/>
      <name val="Arial Narrow"/>
      <family val="2"/>
    </font>
    <font>
      <sz val="11"/>
      <color indexed="10"/>
      <name val="Calibri"/>
      <family val="2"/>
    </font>
    <font>
      <b/>
      <sz val="9"/>
      <color indexed="55"/>
      <name val="Trebuchet MS"/>
      <family val="2"/>
    </font>
    <font>
      <sz val="11"/>
      <color indexed="25"/>
      <name val="Calibri"/>
      <family val="2"/>
    </font>
    <font>
      <sz val="11"/>
      <color indexed="38"/>
      <name val="Calibri"/>
      <family val="2"/>
    </font>
    <font>
      <b/>
      <sz val="8"/>
      <name val="Univers (WN)"/>
      <family val="2"/>
    </font>
    <font>
      <sz val="8"/>
      <color indexed="12"/>
      <name val="Tms Rmn"/>
    </font>
    <font>
      <b/>
      <sz val="10"/>
      <color indexed="8"/>
      <name val="Times New Roman"/>
      <family val="1"/>
    </font>
    <font>
      <b/>
      <sz val="11"/>
      <color indexed="31"/>
      <name val="Calibri"/>
      <family val="2"/>
    </font>
    <font>
      <b/>
      <sz val="11"/>
      <color indexed="10"/>
      <name val="Calibri"/>
      <family val="2"/>
    </font>
    <font>
      <sz val="8"/>
      <name val="Trebuchet MS"/>
      <family val="2"/>
    </font>
    <font>
      <sz val="11"/>
      <color indexed="31"/>
      <name val="Calibri"/>
      <family val="2"/>
    </font>
    <font>
      <sz val="10"/>
      <color indexed="18"/>
      <name val="Times New Roman"/>
      <family val="1"/>
    </font>
    <font>
      <sz val="10"/>
      <color indexed="8"/>
      <name val="Arial"/>
      <family val="2"/>
    </font>
    <font>
      <b/>
      <sz val="11"/>
      <color indexed="9"/>
      <name val="Calibri"/>
      <family val="2"/>
    </font>
    <font>
      <b/>
      <u val="singleAccounting"/>
      <sz val="8"/>
      <color indexed="8"/>
      <name val="Arial"/>
      <family val="2"/>
    </font>
    <font>
      <i/>
      <sz val="8"/>
      <name val="Univers (WN)"/>
      <family val="2"/>
    </font>
    <font>
      <sz val="10"/>
      <color indexed="17"/>
      <name val="Palatino"/>
      <family val="1"/>
    </font>
    <font>
      <sz val="10"/>
      <color indexed="12"/>
      <name val="Arial Narrow"/>
      <family val="2"/>
    </font>
    <font>
      <sz val="8"/>
      <color indexed="8"/>
      <name val="Trebuchet MS"/>
      <family val="2"/>
    </font>
    <font>
      <sz val="10"/>
      <color indexed="8"/>
      <name val="Arial Narrow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sz val="9"/>
      <name val="Univers (W1)"/>
      <family val="2"/>
    </font>
    <font>
      <sz val="8"/>
      <name val="Book Antiqua"/>
      <family val="1"/>
    </font>
    <font>
      <b/>
      <sz val="10"/>
      <color indexed="9"/>
      <name val="Arial Narrow"/>
      <family val="2"/>
    </font>
    <font>
      <sz val="10"/>
      <color indexed="8"/>
      <name val="Trebuchet MS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62"/>
      <name val="Calibri"/>
      <family val="2"/>
    </font>
    <font>
      <b/>
      <sz val="10"/>
      <color indexed="16"/>
      <name val="Arial Narrow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name val="Arial"/>
      <family val="2"/>
    </font>
    <font>
      <u/>
      <sz val="9"/>
      <color indexed="12"/>
      <name val="Arial"/>
      <family val="2"/>
    </font>
    <font>
      <i/>
      <sz val="8"/>
      <name val="Book Antiqua"/>
      <family val="1"/>
    </font>
    <font>
      <u/>
      <sz val="10"/>
      <color theme="10"/>
      <name val="Arial"/>
      <family val="2"/>
    </font>
    <font>
      <sz val="1"/>
      <color indexed="9"/>
      <name val="Symbol"/>
      <family val="1"/>
      <charset val="2"/>
    </font>
    <font>
      <sz val="8"/>
      <color indexed="53"/>
      <name val="Courier New"/>
      <family val="3"/>
    </font>
    <font>
      <b/>
      <sz val="9"/>
      <color indexed="13"/>
      <name val="Arial"/>
      <family val="2"/>
    </font>
    <font>
      <i/>
      <sz val="12"/>
      <color indexed="10"/>
      <name val="Trebuchet MS"/>
      <family val="2"/>
    </font>
    <font>
      <b/>
      <sz val="9"/>
      <color indexed="9"/>
      <name val="Arial"/>
      <family val="2"/>
    </font>
    <font>
      <sz val="8"/>
      <color indexed="62"/>
      <name val="Trebuchet MS"/>
      <family val="2"/>
    </font>
    <font>
      <b/>
      <sz val="8"/>
      <color indexed="63"/>
      <name val="Trebuchet MS"/>
      <family val="2"/>
    </font>
    <font>
      <sz val="10"/>
      <name val="Tms Rmn"/>
    </font>
    <font>
      <sz val="11"/>
      <color indexed="19"/>
      <name val="Calibri"/>
      <family val="2"/>
    </font>
    <font>
      <sz val="11"/>
      <color indexed="60"/>
      <name val="Calibri"/>
      <family val="2"/>
    </font>
    <font>
      <b/>
      <u val="singleAccounting"/>
      <sz val="8"/>
      <color indexed="8"/>
      <name val="Verdana"/>
      <family val="2"/>
    </font>
    <font>
      <b/>
      <sz val="12"/>
      <color indexed="8"/>
      <name val="Verdana"/>
      <family val="2"/>
    </font>
    <font>
      <sz val="12"/>
      <color theme="1"/>
      <name val="Calibri"/>
      <family val="2"/>
      <scheme val="minor"/>
    </font>
    <font>
      <b/>
      <sz val="13.5"/>
      <name val="MS Sans Serif"/>
      <family val="2"/>
    </font>
    <font>
      <b/>
      <sz val="11"/>
      <color indexed="63"/>
      <name val="Calibri"/>
      <family val="2"/>
    </font>
    <font>
      <b/>
      <sz val="10"/>
      <color indexed="8"/>
      <name val="Arial Narrow"/>
      <family val="2"/>
    </font>
    <font>
      <sz val="10"/>
      <color indexed="12"/>
      <name val="Garamond"/>
      <family val="1"/>
    </font>
    <font>
      <b/>
      <sz val="8"/>
      <color indexed="9"/>
      <name val="Verdana"/>
      <family val="2"/>
    </font>
    <font>
      <sz val="8"/>
      <name val="Univers (WN)"/>
      <family val="2"/>
    </font>
    <font>
      <b/>
      <sz val="14"/>
      <name val="Arial MT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10"/>
      <color indexed="18"/>
      <name val="Symbol"/>
      <family val="1"/>
      <charset val="2"/>
    </font>
    <font>
      <b/>
      <sz val="9"/>
      <name val="Arial"/>
      <family val="2"/>
    </font>
    <font>
      <i/>
      <sz val="11"/>
      <color indexed="23"/>
      <name val="Calibri"/>
      <family val="2"/>
    </font>
    <font>
      <b/>
      <sz val="18"/>
      <color indexed="62"/>
      <name val="Cambria"/>
      <family val="2"/>
    </font>
    <font>
      <sz val="11"/>
      <color indexed="51"/>
      <name val="Trebuchet MS"/>
      <family val="2"/>
    </font>
    <font>
      <b/>
      <sz val="16"/>
      <color indexed="62"/>
      <name val="Arial"/>
      <family val="2"/>
    </font>
    <font>
      <sz val="10"/>
      <name val="Trebuchet MS"/>
      <family val="2"/>
    </font>
    <font>
      <b/>
      <sz val="9"/>
      <color indexed="9"/>
      <name val="Trebuchet MS"/>
      <family val="2"/>
    </font>
    <font>
      <b/>
      <sz val="9"/>
      <color indexed="63"/>
      <name val="Trebuchet MS"/>
      <family val="2"/>
    </font>
    <font>
      <b/>
      <sz val="8"/>
      <color indexed="62"/>
      <name val="Trebuchet MS"/>
      <family val="2"/>
    </font>
    <font>
      <b/>
      <sz val="13"/>
      <color indexed="8"/>
      <name val="Verdana"/>
      <family val="2"/>
    </font>
    <font>
      <b/>
      <sz val="9"/>
      <name val="Univers (WN)"/>
      <family val="2"/>
    </font>
    <font>
      <b/>
      <sz val="10"/>
      <name val="Arial Narrow"/>
      <family val="2"/>
    </font>
    <font>
      <b/>
      <sz val="11"/>
      <color indexed="8"/>
      <name val="Calibri"/>
      <family val="2"/>
    </font>
    <font>
      <sz val="12"/>
      <name val="바탕체"/>
      <family val="1"/>
      <charset val="129"/>
    </font>
    <font>
      <sz val="12"/>
      <name val="新細明體"/>
      <charset val="136"/>
    </font>
    <font>
      <sz val="11"/>
      <name val="明朝"/>
      <family val="1"/>
      <charset val="128"/>
    </font>
    <font>
      <sz val="10"/>
      <color rgb="FFC00000"/>
      <name val="Arial"/>
      <family val="2"/>
    </font>
    <font>
      <sz val="10"/>
      <color rgb="FFFF0000"/>
      <name val="Arial"/>
      <family val="2"/>
    </font>
    <font>
      <sz val="10"/>
      <color theme="4"/>
      <name val="Arial"/>
      <family val="2"/>
    </font>
  </fonts>
  <fills count="72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1"/>
        <bgColor indexed="64"/>
      </patternFill>
    </fill>
    <fill>
      <patternFill patternType="lightGray">
        <fgColor indexed="12"/>
      </patternFill>
    </fill>
    <fill>
      <patternFill patternType="solid">
        <fgColor indexed="42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13"/>
        <bgColor indexed="9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/>
    </fill>
    <fill>
      <patternFill patternType="solid">
        <fgColor indexed="26"/>
        <bgColor indexed="64"/>
      </patternFill>
    </fill>
    <fill>
      <patternFill patternType="solid">
        <fgColor indexed="8"/>
      </patternFill>
    </fill>
    <fill>
      <patternFill patternType="solid">
        <fgColor indexed="34"/>
        <bgColor indexed="64"/>
      </patternFill>
    </fill>
    <fill>
      <patternFill patternType="lightGray">
        <fgColor indexed="13"/>
      </patternFill>
    </fill>
    <fill>
      <patternFill patternType="solid">
        <fgColor indexed="13"/>
      </patternFill>
    </fill>
    <fill>
      <patternFill patternType="solid">
        <fgColor indexed="9"/>
      </patternFill>
    </fill>
    <fill>
      <patternFill patternType="gray0625">
        <fgColor indexed="22"/>
      </patternFill>
    </fill>
    <fill>
      <patternFill patternType="solid">
        <fgColor indexed="10"/>
        <bgColor indexed="64"/>
      </patternFill>
    </fill>
    <fill>
      <patternFill patternType="lightGray">
        <fgColor indexed="10"/>
      </patternFill>
    </fill>
    <fill>
      <patternFill patternType="solid">
        <fgColor indexed="8"/>
        <bgColor indexed="64"/>
      </patternFill>
    </fill>
    <fill>
      <patternFill patternType="solid">
        <fgColor indexed="16"/>
        <bgColor indexed="64"/>
      </patternFill>
    </fill>
    <fill>
      <patternFill patternType="mediumGray"/>
    </fill>
    <fill>
      <patternFill patternType="solid">
        <fgColor indexed="27"/>
        <bgColor indexed="64"/>
      </patternFill>
    </fill>
    <fill>
      <patternFill patternType="mediumGray">
        <fgColor indexed="11"/>
      </patternFill>
    </fill>
    <fill>
      <patternFill patternType="lightGray">
        <fgColor indexed="11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2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2"/>
      </patternFill>
    </fill>
    <fill>
      <patternFill patternType="solid">
        <fgColor indexed="33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27"/>
      </patternFill>
    </fill>
    <fill>
      <patternFill patternType="solid">
        <fgColor indexed="35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28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37"/>
      </patternFill>
    </fill>
    <fill>
      <patternFill patternType="solid">
        <fgColor indexed="55"/>
      </patternFill>
    </fill>
    <fill>
      <patternFill patternType="solid">
        <fgColor indexed="46"/>
      </patternFill>
    </fill>
    <fill>
      <patternFill patternType="solid">
        <fgColor indexed="13"/>
        <bgColor indexed="64"/>
      </patternFill>
    </fill>
    <fill>
      <patternFill patternType="solid">
        <fgColor indexed="36"/>
      </patternFill>
    </fill>
    <fill>
      <patternFill patternType="solid">
        <fgColor indexed="6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62"/>
      </patternFill>
    </fill>
    <fill>
      <patternFill patternType="mediumGray">
        <fgColor indexed="9"/>
        <bgColor indexed="22"/>
      </patternFill>
    </fill>
    <fill>
      <patternFill patternType="solid">
        <fgColor indexed="63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65"/>
        <bgColor indexed="64"/>
      </patternFill>
    </fill>
    <fill>
      <patternFill patternType="lightGray"/>
    </fill>
    <fill>
      <patternFill patternType="solid">
        <fgColor indexed="15"/>
      </patternFill>
    </fill>
    <fill>
      <patternFill patternType="solid">
        <fgColor indexed="22"/>
        <b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-0.249977111117893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indexed="23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 style="thick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56"/>
      </top>
      <bottom style="medium">
        <color indexed="56"/>
      </bottom>
      <diagonal/>
    </border>
    <border>
      <left/>
      <right/>
      <top style="double">
        <color indexed="63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9"/>
      </left>
      <right style="medium">
        <color indexed="49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31"/>
      </bottom>
      <diagonal/>
    </border>
    <border>
      <left style="double">
        <color indexed="31"/>
      </left>
      <right style="double">
        <color indexed="31"/>
      </right>
      <top style="double">
        <color indexed="31"/>
      </top>
      <bottom style="double">
        <color indexed="31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35"/>
      </left>
      <right style="thin">
        <color indexed="35"/>
      </right>
      <top style="thin">
        <color indexed="35"/>
      </top>
      <bottom style="thin">
        <color indexed="35"/>
      </bottom>
      <diagonal/>
    </border>
    <border>
      <left/>
      <right/>
      <top/>
      <bottom style="thick">
        <color indexed="28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medium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28"/>
      </top>
      <bottom style="double">
        <color indexed="28"/>
      </bottom>
      <diagonal/>
    </border>
  </borders>
  <cellStyleXfs count="1034">
    <xf numFmtId="0" fontId="0" fillId="0" borderId="0"/>
    <xf numFmtId="43" fontId="2" fillId="0" borderId="0" applyFont="0" applyFill="0" applyBorder="0" applyAlignment="0" applyProtection="0"/>
    <xf numFmtId="0" fontId="3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171" fontId="9" fillId="0" borderId="0">
      <alignment horizontal="right"/>
    </xf>
    <xf numFmtId="0" fontId="4" fillId="0" borderId="0" applyNumberFormat="0" applyFont="0" applyFill="0" applyBorder="0" applyAlignment="0" applyProtection="0"/>
    <xf numFmtId="0" fontId="4" fillId="0" borderId="0"/>
    <xf numFmtId="172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3" fontId="4" fillId="0" borderId="0" applyFont="0" applyFill="0" applyBorder="0" applyAlignment="0" applyProtection="0"/>
    <xf numFmtId="174" fontId="4" fillId="0" borderId="0" applyFont="0" applyFill="0" applyBorder="0" applyAlignment="0" applyProtection="0"/>
    <xf numFmtId="39" fontId="4" fillId="0" borderId="0" applyFont="0" applyFill="0" applyBorder="0" applyAlignment="0" applyProtection="0"/>
    <xf numFmtId="175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0" fontId="4" fillId="0" borderId="0"/>
    <xf numFmtId="179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0" fontId="4" fillId="0" borderId="0"/>
    <xf numFmtId="1" fontId="10" fillId="0" borderId="0"/>
    <xf numFmtId="166" fontId="11" fillId="0" borderId="4" applyFont="0" applyFill="0" applyBorder="0" applyAlignment="0" applyProtection="0">
      <alignment horizontal="right"/>
    </xf>
    <xf numFmtId="167" fontId="10" fillId="0" borderId="0"/>
    <xf numFmtId="166" fontId="10" fillId="0" borderId="0"/>
    <xf numFmtId="2" fontId="11" fillId="0" borderId="4" applyFont="0" applyFill="0" applyBorder="0" applyAlignment="0" applyProtection="0">
      <alignment horizontal="right"/>
    </xf>
    <xf numFmtId="10" fontId="10" fillId="0" borderId="0"/>
    <xf numFmtId="2" fontId="10" fillId="0" borderId="0"/>
    <xf numFmtId="1" fontId="10" fillId="0" borderId="0"/>
    <xf numFmtId="1" fontId="10" fillId="0" borderId="0"/>
    <xf numFmtId="1" fontId="10" fillId="0" borderId="0"/>
    <xf numFmtId="0" fontId="5" fillId="0" borderId="0" applyNumberFormat="0"/>
    <xf numFmtId="0" fontId="4" fillId="0" borderId="0" applyNumberFormat="0"/>
    <xf numFmtId="0" fontId="4" fillId="0" borderId="0" applyNumberFormat="0"/>
    <xf numFmtId="172" fontId="12" fillId="0" borderId="0"/>
    <xf numFmtId="0" fontId="4" fillId="0" borderId="5" applyNumberFormat="0"/>
    <xf numFmtId="0" fontId="13" fillId="0" borderId="0">
      <protection locked="0"/>
    </xf>
    <xf numFmtId="0" fontId="4" fillId="0" borderId="6" applyNumberFormat="0" applyFont="0" applyFill="0" applyBorder="0" applyAlignment="0">
      <alignment horizontal="left"/>
    </xf>
    <xf numFmtId="181" fontId="14" fillId="0" borderId="6" applyNumberFormat="0" applyFont="0" applyFill="0" applyBorder="0" applyAlignment="0"/>
    <xf numFmtId="182" fontId="15" fillId="0" borderId="7"/>
    <xf numFmtId="0" fontId="4" fillId="0" borderId="0" applyFill="0" applyBorder="0" applyProtection="0"/>
    <xf numFmtId="183" fontId="16" fillId="0" borderId="8" applyBorder="0"/>
    <xf numFmtId="0" fontId="17" fillId="0" borderId="0" applyNumberFormat="0" applyFill="0" applyBorder="0" applyAlignment="0" applyProtection="0"/>
    <xf numFmtId="0" fontId="18" fillId="0" borderId="9" applyNumberFormat="0" applyFill="0" applyBorder="0" applyAlignment="0" applyProtection="0"/>
    <xf numFmtId="0" fontId="19" fillId="0" borderId="9" applyNumberFormat="0" applyFill="0" applyBorder="0" applyAlignment="0" applyProtection="0"/>
    <xf numFmtId="0" fontId="20" fillId="0" borderId="9" applyNumberFormat="0" applyFill="0" applyBorder="0" applyAlignment="0" applyProtection="0"/>
    <xf numFmtId="0" fontId="12" fillId="0" borderId="9" applyNumberFormat="0" applyFill="0" applyAlignment="0" applyProtection="0"/>
    <xf numFmtId="0" fontId="21" fillId="0" borderId="10">
      <protection hidden="1"/>
    </xf>
    <xf numFmtId="0" fontId="22" fillId="2" borderId="10" applyNumberFormat="0" applyFont="0" applyBorder="0" applyAlignment="0" applyProtection="0">
      <protection hidden="1"/>
    </xf>
    <xf numFmtId="0" fontId="14" fillId="0" borderId="0"/>
    <xf numFmtId="184" fontId="12" fillId="0" borderId="0" applyNumberFormat="0" applyFont="0" applyAlignment="0"/>
    <xf numFmtId="0" fontId="23" fillId="0" borderId="0"/>
    <xf numFmtId="167" fontId="24" fillId="0" borderId="0" applyNumberFormat="0" applyFill="0" applyBorder="0" applyAlignment="0" applyProtection="0"/>
    <xf numFmtId="38" fontId="25" fillId="3" borderId="11">
      <alignment horizontal="right"/>
    </xf>
    <xf numFmtId="49" fontId="26" fillId="0" borderId="0">
      <alignment horizontal="left"/>
    </xf>
    <xf numFmtId="0" fontId="27" fillId="0" borderId="12" applyNumberFormat="0" applyFill="0" applyProtection="0">
      <alignment horizontal="left" vertical="center"/>
    </xf>
    <xf numFmtId="0" fontId="10" fillId="0" borderId="0">
      <alignment horizontal="center" wrapText="1"/>
      <protection hidden="1"/>
    </xf>
    <xf numFmtId="168" fontId="28" fillId="0" borderId="0" applyFont="0" applyFill="0" applyBorder="0" applyAlignment="0" applyProtection="0"/>
    <xf numFmtId="0" fontId="16" fillId="0" borderId="0"/>
    <xf numFmtId="0" fontId="4" fillId="0" borderId="0" applyBorder="0">
      <alignment horizontal="right"/>
    </xf>
    <xf numFmtId="185" fontId="29" fillId="0" borderId="0" applyFont="0" applyFill="0" applyBorder="0" applyAlignment="0" applyProtection="0"/>
    <xf numFmtId="186" fontId="23" fillId="0" borderId="0" applyFill="0" applyBorder="0" applyAlignment="0" applyProtection="0"/>
    <xf numFmtId="187" fontId="30" fillId="0" borderId="0" applyFont="0" applyFill="0" applyBorder="0" applyAlignment="0" applyProtection="0">
      <alignment horizontal="right"/>
    </xf>
    <xf numFmtId="0" fontId="31" fillId="4" borderId="0">
      <alignment horizontal="center" vertical="center" wrapText="1"/>
    </xf>
    <xf numFmtId="49" fontId="32" fillId="0" borderId="0">
      <alignment horizontal="left"/>
    </xf>
    <xf numFmtId="49" fontId="32" fillId="0" borderId="13">
      <alignment horizontal="left" vertical="center"/>
    </xf>
    <xf numFmtId="0" fontId="31" fillId="4" borderId="0">
      <alignment horizontal="center" vertical="center" wrapText="1"/>
    </xf>
    <xf numFmtId="188" fontId="4" fillId="0" borderId="0" applyFont="0" applyFill="0" applyBorder="0" applyAlignment="0" applyProtection="0"/>
    <xf numFmtId="189" fontId="33" fillId="0" borderId="0" applyFill="0" applyBorder="0"/>
    <xf numFmtId="38" fontId="33" fillId="0" borderId="0" applyFill="0" applyBorder="0"/>
    <xf numFmtId="189" fontId="33" fillId="0" borderId="0" applyFill="0" applyBorder="0"/>
    <xf numFmtId="41" fontId="4" fillId="0" borderId="0" applyFill="0" applyBorder="0">
      <alignment horizontal="right"/>
      <protection locked="0"/>
    </xf>
    <xf numFmtId="190" fontId="30" fillId="0" borderId="0" applyFont="0" applyFill="0" applyBorder="0" applyAlignment="0" applyProtection="0">
      <alignment horizontal="right"/>
    </xf>
    <xf numFmtId="191" fontId="30" fillId="0" borderId="0" applyFont="0" applyFill="0" applyBorder="0" applyAlignment="0" applyProtection="0">
      <alignment horizontal="right"/>
    </xf>
    <xf numFmtId="0" fontId="10" fillId="0" borderId="0" applyFont="0" applyFill="0" applyBorder="0" applyAlignment="0">
      <protection locked="0"/>
    </xf>
    <xf numFmtId="38" fontId="34" fillId="5" borderId="11">
      <protection locked="0"/>
    </xf>
    <xf numFmtId="15" fontId="4" fillId="0" borderId="0" applyProtection="0"/>
    <xf numFmtId="192" fontId="4" fillId="0" borderId="0" applyFont="0" applyFill="0" applyBorder="0" applyAlignment="0" applyProtection="0"/>
    <xf numFmtId="193" fontId="4" fillId="0" borderId="0" applyFont="0" applyFill="0" applyBorder="0" applyAlignment="0" applyProtection="0"/>
    <xf numFmtId="194" fontId="5" fillId="0" borderId="0" applyFont="0" applyFill="0" applyBorder="0" applyAlignment="0" applyProtection="0"/>
    <xf numFmtId="195" fontId="30" fillId="0" borderId="0" applyFont="0" applyFill="0" applyBorder="0" applyAlignment="0" applyProtection="0"/>
    <xf numFmtId="196" fontId="35" fillId="0" borderId="0" applyFont="0" applyFill="0" applyBorder="0" applyAlignment="0" applyProtection="0"/>
    <xf numFmtId="197" fontId="4" fillId="0" borderId="0" applyFont="0" applyFill="0" applyBorder="0" applyAlignment="0" applyProtection="0"/>
    <xf numFmtId="1" fontId="16" fillId="0" borderId="0" applyFont="0" applyFill="0" applyBorder="0" applyAlignment="0" applyProtection="0">
      <alignment horizontal="right"/>
    </xf>
    <xf numFmtId="198" fontId="4" fillId="0" borderId="0" applyFont="0" applyFill="0" applyBorder="0" applyAlignment="0" applyProtection="0"/>
    <xf numFmtId="199" fontId="4" fillId="0" borderId="0" applyFont="0" applyFill="0" applyBorder="0" applyAlignment="0" applyProtection="0"/>
    <xf numFmtId="200" fontId="36" fillId="0" borderId="0">
      <protection locked="0"/>
    </xf>
    <xf numFmtId="41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201" fontId="22" fillId="0" borderId="0"/>
    <xf numFmtId="202" fontId="30" fillId="0" borderId="14" applyNumberFormat="0" applyFont="0" applyFill="0" applyAlignment="0" applyProtection="0"/>
    <xf numFmtId="203" fontId="37" fillId="0" borderId="15" applyNumberFormat="0" applyBorder="0"/>
    <xf numFmtId="1" fontId="38" fillId="0" borderId="0"/>
    <xf numFmtId="189" fontId="39" fillId="6" borderId="0">
      <alignment horizontal="right"/>
    </xf>
    <xf numFmtId="0" fontId="38" fillId="7" borderId="11" applyNumberFormat="0" applyFont="0" applyAlignment="0">
      <protection locked="0"/>
    </xf>
    <xf numFmtId="204" fontId="40" fillId="0" borderId="3" applyFont="0" applyFill="0" applyBorder="0" applyAlignment="0" applyProtection="0">
      <alignment horizontal="center" vertical="center" wrapText="1"/>
    </xf>
    <xf numFmtId="205" fontId="41" fillId="0" borderId="0" applyFont="0" applyFill="0" applyBorder="0" applyAlignment="0" applyProtection="0"/>
    <xf numFmtId="198" fontId="16" fillId="0" borderId="0" applyFont="0" applyFill="0" applyBorder="0" applyAlignment="0" applyProtection="0"/>
    <xf numFmtId="206" fontId="16" fillId="8" borderId="0">
      <alignment horizontal="right"/>
    </xf>
    <xf numFmtId="207" fontId="14" fillId="0" borderId="0" applyFont="0" applyFill="0" applyBorder="0" applyAlignment="0"/>
    <xf numFmtId="172" fontId="16" fillId="0" borderId="0" applyFont="0" applyFill="0" applyBorder="0" applyAlignment="0" applyProtection="0">
      <alignment horizontal="right"/>
    </xf>
    <xf numFmtId="0" fontId="42" fillId="0" borderId="0" applyNumberFormat="0" applyFill="0" applyBorder="0" applyProtection="0">
      <alignment horizontal="left" vertical="center"/>
    </xf>
    <xf numFmtId="189" fontId="10" fillId="0" borderId="15" applyBorder="0"/>
    <xf numFmtId="38" fontId="10" fillId="0" borderId="0" applyFill="0" applyBorder="0"/>
    <xf numFmtId="189" fontId="10" fillId="0" borderId="0" applyBorder="0"/>
    <xf numFmtId="189" fontId="10" fillId="0" borderId="15" applyBorder="0"/>
    <xf numFmtId="208" fontId="19" fillId="0" borderId="0" applyBorder="0" applyProtection="0"/>
    <xf numFmtId="209" fontId="43" fillId="0" borderId="0"/>
    <xf numFmtId="0" fontId="44" fillId="0" borderId="0" applyNumberFormat="0" applyFill="0" applyBorder="0" applyAlignment="0" applyProtection="0"/>
    <xf numFmtId="38" fontId="12" fillId="9" borderId="0" applyNumberFormat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2" fontId="15" fillId="10" borderId="0"/>
    <xf numFmtId="167" fontId="4" fillId="11" borderId="16" applyNumberFormat="0" applyFont="0" applyAlignment="0"/>
    <xf numFmtId="210" fontId="19" fillId="11" borderId="16" applyNumberFormat="0" applyFont="0" applyAlignment="0"/>
    <xf numFmtId="211" fontId="30" fillId="0" borderId="0" applyFont="0" applyFill="0" applyBorder="0" applyAlignment="0" applyProtection="0">
      <alignment horizontal="right"/>
    </xf>
    <xf numFmtId="0" fontId="45" fillId="12" borderId="17"/>
    <xf numFmtId="0" fontId="46" fillId="0" borderId="0" applyProtection="0">
      <alignment horizontal="right"/>
    </xf>
    <xf numFmtId="0" fontId="47" fillId="0" borderId="0" applyNumberFormat="0" applyFill="0" applyBorder="0" applyProtection="0"/>
    <xf numFmtId="0" fontId="48" fillId="0" borderId="0" applyFill="0" applyBorder="0" applyAlignment="0" applyProtection="0"/>
    <xf numFmtId="0" fontId="49" fillId="13" borderId="0">
      <alignment vertical="center"/>
    </xf>
    <xf numFmtId="0" fontId="4" fillId="0" borderId="0" applyNumberFormat="0" applyFill="0" applyBorder="0" applyAlignment="0" applyProtection="0">
      <alignment horizontal="left"/>
    </xf>
    <xf numFmtId="38" fontId="50" fillId="0" borderId="0">
      <alignment horizontal="center"/>
    </xf>
    <xf numFmtId="38" fontId="50" fillId="0" borderId="0">
      <alignment horizontal="left"/>
    </xf>
    <xf numFmtId="212" fontId="4" fillId="0" borderId="0" applyFont="0" applyFill="0" applyBorder="0" applyAlignment="0" applyProtection="0"/>
    <xf numFmtId="213" fontId="51" fillId="0" borderId="0" applyBorder="0" applyAlignment="0"/>
    <xf numFmtId="214" fontId="52" fillId="0" borderId="0" applyNumberFormat="0" applyFill="0" applyBorder="0" applyAlignment="0" applyProtection="0"/>
    <xf numFmtId="10" fontId="12" fillId="11" borderId="16" applyNumberFormat="0" applyBorder="0" applyAlignment="0" applyProtection="0"/>
    <xf numFmtId="172" fontId="53" fillId="8" borderId="0">
      <alignment horizontal="right"/>
    </xf>
    <xf numFmtId="0" fontId="23" fillId="0" borderId="0" applyNumberFormat="0" applyFill="0" applyBorder="0" applyAlignment="0">
      <protection locked="0"/>
    </xf>
    <xf numFmtId="0" fontId="54" fillId="0" borderId="0" applyProtection="0"/>
    <xf numFmtId="167" fontId="53" fillId="8" borderId="0">
      <alignment horizontal="right"/>
    </xf>
    <xf numFmtId="0" fontId="4" fillId="0" borderId="0" applyFill="0" applyBorder="0">
      <alignment horizontal="right"/>
      <protection locked="0"/>
    </xf>
    <xf numFmtId="181" fontId="55" fillId="14" borderId="16" applyNumberFormat="0" applyAlignment="0">
      <alignment horizontal="right"/>
    </xf>
    <xf numFmtId="181" fontId="56" fillId="14" borderId="16" applyNumberFormat="0" applyAlignment="0">
      <alignment horizontal="right"/>
    </xf>
    <xf numFmtId="165" fontId="4" fillId="0" borderId="0" applyFill="0" applyBorder="0">
      <alignment horizontal="right"/>
      <protection locked="0"/>
    </xf>
    <xf numFmtId="0" fontId="57" fillId="0" borderId="0" applyFill="0" applyBorder="0"/>
    <xf numFmtId="0" fontId="58" fillId="15" borderId="18">
      <alignment horizontal="left" vertical="center" wrapText="1"/>
    </xf>
    <xf numFmtId="4" fontId="15" fillId="10" borderId="0"/>
    <xf numFmtId="0" fontId="34" fillId="0" borderId="19" applyNumberFormat="0" applyAlignment="0" applyProtection="0"/>
    <xf numFmtId="0" fontId="59" fillId="16" borderId="0" applyNumberFormat="0" applyAlignment="0" applyProtection="0"/>
    <xf numFmtId="0" fontId="60" fillId="0" borderId="19" applyNumberFormat="0" applyAlignment="0" applyProtection="0"/>
    <xf numFmtId="166" fontId="38" fillId="0" borderId="0" applyFont="0" applyFill="0" applyBorder="0" applyAlignment="0" applyProtection="0"/>
    <xf numFmtId="0" fontId="61" fillId="0" borderId="0" applyNumberFormat="0" applyFill="0" applyBorder="0" applyProtection="0">
      <alignment horizontal="left" vertical="center"/>
    </xf>
    <xf numFmtId="0" fontId="62" fillId="0" borderId="10">
      <alignment horizontal="left"/>
      <protection locked="0"/>
    </xf>
    <xf numFmtId="1" fontId="52" fillId="0" borderId="0" applyNumberFormat="0" applyFill="0" applyBorder="0" applyAlignment="0" applyProtection="0"/>
    <xf numFmtId="215" fontId="63" fillId="17" borderId="0" applyBorder="0" applyAlignment="0">
      <alignment horizontal="right"/>
    </xf>
    <xf numFmtId="40" fontId="10" fillId="0" borderId="0" applyFont="0" applyFill="0" applyBorder="0" applyAlignment="0" applyProtection="0"/>
    <xf numFmtId="0" fontId="64" fillId="0" borderId="0" applyBorder="0"/>
    <xf numFmtId="217" fontId="4" fillId="0" borderId="0" applyFont="0" applyFill="0" applyBorder="0" applyAlignment="0" applyProtection="0"/>
    <xf numFmtId="218" fontId="4" fillId="0" borderId="0" applyFont="0" applyFill="0" applyBorder="0" applyAlignment="0" applyProtection="0"/>
    <xf numFmtId="219" fontId="16" fillId="0" borderId="20" applyFont="0" applyFill="0" applyBorder="0" applyAlignment="0" applyProtection="0">
      <alignment horizontal="center"/>
    </xf>
    <xf numFmtId="172" fontId="5" fillId="0" borderId="21" applyFont="0" applyFill="0" applyBorder="0" applyAlignment="0" applyProtection="0">
      <alignment horizontal="center"/>
    </xf>
    <xf numFmtId="167" fontId="4" fillId="0" borderId="0"/>
    <xf numFmtId="188" fontId="65" fillId="0" borderId="0" applyFont="0" applyFill="0" applyBorder="0" applyAlignment="0" applyProtection="0"/>
    <xf numFmtId="0" fontId="66" fillId="0" borderId="0"/>
    <xf numFmtId="222" fontId="37" fillId="0" borderId="22" applyBorder="0" applyAlignment="0" applyProtection="0">
      <alignment horizontal="center"/>
    </xf>
    <xf numFmtId="1" fontId="43" fillId="0" borderId="0"/>
    <xf numFmtId="223" fontId="38" fillId="0" borderId="0"/>
    <xf numFmtId="223" fontId="67" fillId="0" borderId="0"/>
    <xf numFmtId="0" fontId="68" fillId="3" borderId="0" applyNumberFormat="0" applyBorder="0" applyAlignment="0">
      <alignment horizontal="right"/>
      <protection hidden="1"/>
    </xf>
    <xf numFmtId="0" fontId="22" fillId="0" borderId="0"/>
    <xf numFmtId="1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189" fontId="4" fillId="0" borderId="0" applyFont="0" applyFill="0" applyBorder="0" applyAlignment="0"/>
    <xf numFmtId="224" fontId="23" fillId="0" borderId="0" applyFont="0" applyFill="0" applyBorder="0" applyAlignment="0" applyProtection="0">
      <protection locked="0"/>
    </xf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200" fontId="69" fillId="0" borderId="0" applyBorder="0">
      <alignment vertical="center"/>
    </xf>
    <xf numFmtId="225" fontId="69" fillId="0" borderId="0">
      <alignment vertical="center"/>
    </xf>
    <xf numFmtId="0" fontId="14" fillId="0" borderId="0"/>
    <xf numFmtId="0" fontId="4" fillId="0" borderId="0"/>
    <xf numFmtId="0" fontId="70" fillId="0" borderId="10"/>
    <xf numFmtId="226" fontId="22" fillId="0" borderId="0"/>
    <xf numFmtId="227" fontId="71" fillId="0" borderId="0" applyFill="0" applyBorder="0" applyProtection="0"/>
    <xf numFmtId="228" fontId="72" fillId="0" borderId="0" applyFont="0" applyFill="0" applyBorder="0" applyAlignment="0" applyProtection="0"/>
    <xf numFmtId="229" fontId="72" fillId="0" borderId="0" applyFont="0" applyFill="0" applyBorder="0" applyAlignment="0" applyProtection="0"/>
    <xf numFmtId="203" fontId="73" fillId="0" borderId="10" applyBorder="0"/>
    <xf numFmtId="203" fontId="74" fillId="0" borderId="10" applyBorder="0"/>
    <xf numFmtId="230" fontId="14" fillId="0" borderId="0" applyFill="0" applyBorder="0"/>
    <xf numFmtId="231" fontId="75" fillId="0" borderId="0"/>
    <xf numFmtId="231" fontId="67" fillId="0" borderId="0"/>
    <xf numFmtId="0" fontId="76" fillId="11" borderId="0">
      <alignment horizontal="right"/>
    </xf>
    <xf numFmtId="0" fontId="77" fillId="0" borderId="0" applyProtection="0"/>
    <xf numFmtId="0" fontId="78" fillId="0" borderId="0" applyNumberFormat="0" applyFill="0" applyBorder="0" applyProtection="0"/>
    <xf numFmtId="2" fontId="79" fillId="0" borderId="12" applyNumberFormat="0" applyFill="0" applyProtection="0">
      <alignment horizontal="right" vertical="center"/>
      <protection locked="0"/>
    </xf>
    <xf numFmtId="4" fontId="51" fillId="0" borderId="0" applyNumberFormat="0" applyFill="0" applyBorder="0" applyProtection="0">
      <alignment horizontal="left" vertical="center"/>
      <protection locked="0"/>
    </xf>
    <xf numFmtId="4" fontId="51" fillId="0" borderId="0" applyFill="0" applyBorder="0" applyProtection="0">
      <alignment horizontal="right" vertical="center"/>
      <protection locked="0"/>
    </xf>
    <xf numFmtId="0" fontId="19" fillId="0" borderId="2" applyNumberFormat="0" applyFill="0" applyBorder="0" applyProtection="0">
      <protection locked="0"/>
    </xf>
    <xf numFmtId="1" fontId="80" fillId="0" borderId="0" applyProtection="0">
      <alignment horizontal="right" vertical="center"/>
    </xf>
    <xf numFmtId="232" fontId="81" fillId="0" borderId="12">
      <alignment vertical="center"/>
    </xf>
    <xf numFmtId="233" fontId="12" fillId="0" borderId="0" applyFont="0" applyFill="0" applyBorder="0" applyAlignment="0" applyProtection="0"/>
    <xf numFmtId="167" fontId="82" fillId="0" borderId="10" applyBorder="0"/>
    <xf numFmtId="234" fontId="4" fillId="0" borderId="0" applyFont="0" applyFill="0" applyBorder="0" applyAlignment="0" applyProtection="0"/>
    <xf numFmtId="235" fontId="4" fillId="0" borderId="0" applyFont="0" applyFill="0" applyBorder="0" applyAlignment="0" applyProtection="0">
      <protection hidden="1"/>
    </xf>
    <xf numFmtId="236" fontId="4" fillId="0" borderId="0" applyFont="0" applyFill="0" applyBorder="0" applyAlignment="0" applyProtection="0"/>
    <xf numFmtId="236" fontId="4" fillId="0" borderId="0" applyFont="0" applyFill="0" applyBorder="0" applyAlignment="0" applyProtection="0">
      <protection hidden="1"/>
    </xf>
    <xf numFmtId="2" fontId="38" fillId="0" borderId="0"/>
    <xf numFmtId="0" fontId="10" fillId="0" borderId="0" applyFont="0" applyFill="0" applyBorder="0" applyAlignment="0" applyProtection="0"/>
    <xf numFmtId="167" fontId="4" fillId="0" borderId="0" applyFont="0" applyFill="0" applyBorder="0" applyAlignment="0" applyProtection="0"/>
    <xf numFmtId="237" fontId="4" fillId="0" borderId="0" applyFont="0" applyFill="0" applyBorder="0" applyAlignment="0" applyProtection="0"/>
    <xf numFmtId="238" fontId="4" fillId="0" borderId="0" applyFont="0" applyFill="0" applyBorder="0" applyAlignment="0" applyProtection="0"/>
    <xf numFmtId="239" fontId="4" fillId="0" borderId="0" applyFont="0" applyFill="0" applyBorder="0" applyAlignment="0" applyProtection="0"/>
    <xf numFmtId="240" fontId="4" fillId="0" borderId="0" applyFont="0" applyFill="0" applyBorder="0" applyAlignment="0" applyProtection="0"/>
    <xf numFmtId="241" fontId="22" fillId="0" borderId="0" applyFont="0" applyFill="0" applyBorder="0" applyAlignment="0"/>
    <xf numFmtId="242" fontId="83" fillId="17" borderId="0">
      <alignment horizontal="right"/>
    </xf>
    <xf numFmtId="43" fontId="4" fillId="0" borderId="0" applyFill="0" applyBorder="0">
      <alignment horizontal="right"/>
      <protection locked="0"/>
    </xf>
    <xf numFmtId="243" fontId="33" fillId="0" borderId="0" applyFill="0" applyBorder="0"/>
    <xf numFmtId="243" fontId="10" fillId="0" borderId="0" applyFill="0" applyBorder="0"/>
    <xf numFmtId="244" fontId="38" fillId="0" borderId="0"/>
    <xf numFmtId="184" fontId="14" fillId="0" borderId="0"/>
    <xf numFmtId="184" fontId="84" fillId="0" borderId="0"/>
    <xf numFmtId="38" fontId="85" fillId="0" borderId="0" applyBorder="0">
      <alignment horizontal="right"/>
    </xf>
    <xf numFmtId="189" fontId="85" fillId="0" borderId="0" applyBorder="0">
      <alignment horizontal="center"/>
    </xf>
    <xf numFmtId="0" fontId="86" fillId="18" borderId="0" applyNumberFormat="0" applyBorder="0" applyAlignment="0" applyProtection="0"/>
    <xf numFmtId="167" fontId="38" fillId="0" borderId="0" applyFont="0" applyFill="0" applyBorder="0" applyAlignment="0" applyProtection="0"/>
    <xf numFmtId="10" fontId="38" fillId="15" borderId="0"/>
    <xf numFmtId="9" fontId="38" fillId="0" borderId="0" applyFont="0" applyFill="0" applyBorder="0" applyAlignment="0" applyProtection="0"/>
    <xf numFmtId="0" fontId="87" fillId="0" borderId="0"/>
    <xf numFmtId="0" fontId="87" fillId="0" borderId="6">
      <alignment horizontal="right"/>
    </xf>
    <xf numFmtId="0" fontId="87" fillId="0" borderId="0"/>
    <xf numFmtId="168" fontId="56" fillId="19" borderId="16">
      <alignment horizontal="right"/>
    </xf>
    <xf numFmtId="0" fontId="4" fillId="0" borderId="0">
      <alignment horizontal="right"/>
    </xf>
    <xf numFmtId="245" fontId="12" fillId="9" borderId="0" applyNumberFormat="0" applyAlignment="0">
      <alignment horizontal="center"/>
    </xf>
    <xf numFmtId="246" fontId="10" fillId="0" borderId="0" applyFill="0" applyBorder="0">
      <alignment horizontal="right"/>
      <protection locked="0"/>
    </xf>
    <xf numFmtId="247" fontId="4" fillId="0" borderId="0">
      <alignment horizontal="right"/>
      <protection locked="0"/>
    </xf>
    <xf numFmtId="0" fontId="88" fillId="0" borderId="10" applyNumberFormat="0" applyFill="0" applyBorder="0" applyAlignment="0" applyProtection="0">
      <protection hidden="1"/>
    </xf>
    <xf numFmtId="172" fontId="89" fillId="0" borderId="23" applyNumberFormat="0" applyAlignment="0" applyProtection="0">
      <alignment horizontal="right" vertical="center"/>
    </xf>
    <xf numFmtId="0" fontId="61" fillId="0" borderId="0" applyNumberFormat="0" applyFill="0" applyBorder="0" applyProtection="0">
      <alignment horizontal="right" vertical="center"/>
    </xf>
    <xf numFmtId="0" fontId="4" fillId="0" borderId="0">
      <alignment horizontal="right"/>
    </xf>
    <xf numFmtId="0" fontId="4" fillId="0" borderId="0">
      <alignment horizontal="right"/>
    </xf>
    <xf numFmtId="0" fontId="4" fillId="0" borderId="0" applyFill="0" applyBorder="0" applyProtection="0">
      <alignment horizontal="right"/>
    </xf>
    <xf numFmtId="0" fontId="51" fillId="0" borderId="0" applyNumberFormat="0" applyFill="0" applyBorder="0" applyAlignment="0" applyProtection="0"/>
    <xf numFmtId="248" fontId="25" fillId="0" borderId="0">
      <alignment horizontal="left" vertical="center"/>
    </xf>
    <xf numFmtId="249" fontId="90" fillId="0" borderId="0">
      <alignment horizontal="left" vertical="center" indent="1"/>
    </xf>
    <xf numFmtId="250" fontId="4" fillId="9" borderId="24" applyFont="0" applyFill="0" applyBorder="0" applyAlignment="0" applyProtection="0">
      <alignment horizontal="center"/>
    </xf>
    <xf numFmtId="164" fontId="4" fillId="0" borderId="0" applyFill="0" applyBorder="0">
      <alignment horizontal="right"/>
      <protection hidden="1"/>
    </xf>
    <xf numFmtId="0" fontId="91" fillId="4" borderId="16">
      <alignment horizontal="center" vertical="center" wrapText="1"/>
      <protection hidden="1"/>
    </xf>
    <xf numFmtId="168" fontId="16" fillId="0" borderId="12" applyFont="0" applyFill="0" applyBorder="0" applyAlignment="0" applyProtection="0">
      <alignment horizontal="right"/>
    </xf>
    <xf numFmtId="198" fontId="16" fillId="0" borderId="0"/>
    <xf numFmtId="0" fontId="92" fillId="0" borderId="0" applyNumberFormat="0" applyFill="0" applyBorder="0" applyAlignment="0" applyProtection="0"/>
    <xf numFmtId="0" fontId="93" fillId="0" borderId="0" applyNumberFormat="0" applyFill="0" applyBorder="0" applyProtection="0">
      <protection locked="0"/>
    </xf>
    <xf numFmtId="172" fontId="94" fillId="0" borderId="0" applyFill="0" applyBorder="0" applyProtection="0">
      <alignment horizontal="right"/>
    </xf>
    <xf numFmtId="251" fontId="10" fillId="0" borderId="0">
      <protection locked="0"/>
    </xf>
    <xf numFmtId="3" fontId="68" fillId="0" borderId="0"/>
    <xf numFmtId="0" fontId="95" fillId="8" borderId="0" applyNumberFormat="0" applyProtection="0">
      <alignment horizontal="center" vertical="center"/>
    </xf>
    <xf numFmtId="0" fontId="95" fillId="8" borderId="0" applyNumberFormat="0" applyProtection="0">
      <alignment horizontal="center" vertical="top"/>
    </xf>
    <xf numFmtId="0" fontId="95" fillId="8" borderId="25" applyNumberFormat="0" applyProtection="0">
      <alignment horizontal="left" vertical="center"/>
    </xf>
    <xf numFmtId="0" fontId="95" fillId="8" borderId="25" applyNumberFormat="0" applyProtection="0">
      <alignment horizontal="right" vertical="center"/>
    </xf>
    <xf numFmtId="0" fontId="96" fillId="8" borderId="0" applyNumberFormat="0" applyProtection="0">
      <alignment horizontal="right" vertical="center" wrapText="1"/>
    </xf>
    <xf numFmtId="0" fontId="97" fillId="8" borderId="0" applyNumberFormat="0" applyProtection="0">
      <alignment horizontal="left" vertical="center"/>
    </xf>
    <xf numFmtId="252" fontId="98" fillId="8" borderId="26" applyProtection="0">
      <alignment horizontal="right" vertical="center"/>
    </xf>
    <xf numFmtId="0" fontId="99" fillId="8" borderId="0" applyNumberFormat="0" applyProtection="0">
      <alignment horizontal="left" vertical="center"/>
    </xf>
    <xf numFmtId="252" fontId="97" fillId="8" borderId="0" applyProtection="0">
      <alignment horizontal="right" vertical="center"/>
    </xf>
    <xf numFmtId="0" fontId="100" fillId="8" borderId="0" applyNumberFormat="0" applyProtection="0">
      <alignment horizontal="left" vertical="center"/>
    </xf>
    <xf numFmtId="0" fontId="101" fillId="8" borderId="0" applyNumberFormat="0" applyProtection="0">
      <alignment horizontal="center" vertical="center" wrapText="1"/>
    </xf>
    <xf numFmtId="0" fontId="86" fillId="20" borderId="0" applyNumberFormat="0" applyProtection="0">
      <alignment horizontal="center" vertical="center" wrapText="1"/>
    </xf>
    <xf numFmtId="0" fontId="102" fillId="0" borderId="0" applyNumberFormat="0" applyFill="0" applyBorder="0" applyProtection="0">
      <alignment horizontal="left" vertical="center"/>
    </xf>
    <xf numFmtId="168" fontId="103" fillId="0" borderId="10" applyBorder="0"/>
    <xf numFmtId="0" fontId="104" fillId="0" borderId="0" applyNumberFormat="0" applyFill="0" applyBorder="0" applyAlignment="0" applyProtection="0">
      <alignment horizontal="left"/>
    </xf>
    <xf numFmtId="0" fontId="105" fillId="0" borderId="0"/>
    <xf numFmtId="0" fontId="102" fillId="0" borderId="21" applyNumberFormat="0" applyFill="0" applyProtection="0">
      <alignment horizontal="left" vertical="center"/>
    </xf>
    <xf numFmtId="0" fontId="106" fillId="0" borderId="9" applyNumberFormat="0" applyFill="0" applyBorder="0" applyAlignment="0" applyProtection="0"/>
    <xf numFmtId="0" fontId="73" fillId="1" borderId="27" applyNumberFormat="0" applyBorder="0" applyAlignment="0"/>
    <xf numFmtId="0" fontId="107" fillId="0" borderId="0" applyBorder="0" applyProtection="0">
      <alignment vertical="center"/>
    </xf>
    <xf numFmtId="202" fontId="107" fillId="0" borderId="12" applyBorder="0" applyProtection="0">
      <alignment horizontal="right" vertical="center"/>
    </xf>
    <xf numFmtId="0" fontId="108" fillId="21" borderId="0" applyBorder="0" applyProtection="0">
      <alignment horizontal="centerContinuous" vertical="center"/>
    </xf>
    <xf numFmtId="0" fontId="108" fillId="20" borderId="12" applyBorder="0" applyProtection="0">
      <alignment horizontal="centerContinuous" vertical="center"/>
    </xf>
    <xf numFmtId="0" fontId="19" fillId="0" borderId="12" applyNumberFormat="0" applyFill="0" applyProtection="0">
      <alignment horizontal="right" vertical="center"/>
      <protection locked="0"/>
    </xf>
    <xf numFmtId="0" fontId="12" fillId="0" borderId="0" applyNumberFormat="0" applyFill="0" applyBorder="0" applyProtection="0">
      <alignment horizontal="left" vertical="center"/>
    </xf>
    <xf numFmtId="0" fontId="51" fillId="0" borderId="0" applyNumberFormat="0" applyFill="0" applyBorder="0" applyAlignment="0" applyProtection="0">
      <protection locked="0"/>
    </xf>
    <xf numFmtId="253" fontId="12" fillId="0" borderId="0" applyFill="0" applyBorder="0" applyProtection="0">
      <alignment horizontal="right" vertical="center"/>
    </xf>
    <xf numFmtId="168" fontId="12" fillId="0" borderId="0" applyFill="0" applyBorder="0" applyProtection="0">
      <alignment horizontal="right" vertical="center"/>
    </xf>
    <xf numFmtId="0" fontId="51" fillId="0" borderId="0" applyNumberFormat="0" applyFill="0" applyBorder="0" applyAlignment="0" applyProtection="0">
      <protection locked="0"/>
    </xf>
    <xf numFmtId="0" fontId="109" fillId="0" borderId="0" applyFill="0" applyBorder="0" applyProtection="0">
      <alignment horizontal="left"/>
    </xf>
    <xf numFmtId="0" fontId="110" fillId="0" borderId="0" applyFill="0" applyBorder="0" applyProtection="0">
      <alignment horizontal="left" vertical="top"/>
    </xf>
    <xf numFmtId="253" fontId="12" fillId="8" borderId="0" applyFont="0" applyFill="0" applyBorder="0" applyAlignment="0" applyProtection="0">
      <alignment vertical="center"/>
    </xf>
    <xf numFmtId="0" fontId="38" fillId="0" borderId="0"/>
    <xf numFmtId="254" fontId="19" fillId="0" borderId="0" applyBorder="0" applyProtection="0">
      <alignment horizontal="right"/>
    </xf>
    <xf numFmtId="20" fontId="4" fillId="0" borderId="0" applyFont="0" applyFill="0" applyBorder="0" applyAlignment="0" applyProtection="0"/>
    <xf numFmtId="255" fontId="4" fillId="0" borderId="0" applyFont="0" applyFill="0" applyBorder="0" applyAlignment="0" applyProtection="0"/>
    <xf numFmtId="0" fontId="111" fillId="0" borderId="0" applyNumberFormat="0" applyFill="0" applyBorder="0" applyAlignment="0" applyProtection="0"/>
    <xf numFmtId="255" fontId="112" fillId="0" borderId="0">
      <alignment horizontal="right" vertical="center"/>
    </xf>
    <xf numFmtId="0" fontId="113" fillId="0" borderId="0"/>
    <xf numFmtId="0" fontId="114" fillId="22" borderId="0" applyNumberFormat="0" applyBorder="0" applyProtection="0">
      <alignment horizontal="left" vertical="center"/>
    </xf>
    <xf numFmtId="0" fontId="115" fillId="1" borderId="0" applyNumberFormat="0" applyBorder="0" applyProtection="0">
      <alignment horizontal="left" vertical="center"/>
    </xf>
    <xf numFmtId="0" fontId="10" fillId="0" borderId="0" applyBorder="0"/>
    <xf numFmtId="0" fontId="28" fillId="2" borderId="10"/>
    <xf numFmtId="172" fontId="4" fillId="0" borderId="15" applyNumberFormat="0" applyFont="0" applyFill="0" applyAlignment="0"/>
    <xf numFmtId="49" fontId="4" fillId="0" borderId="13" applyNumberFormat="0">
      <alignment vertical="center"/>
    </xf>
    <xf numFmtId="256" fontId="5" fillId="0" borderId="13">
      <alignment vertical="center"/>
    </xf>
    <xf numFmtId="49" fontId="4" fillId="0" borderId="13" applyNumberFormat="0">
      <alignment vertical="center"/>
    </xf>
    <xf numFmtId="257" fontId="12" fillId="0" borderId="0" applyBorder="0" applyProtection="0">
      <alignment horizontal="right"/>
    </xf>
    <xf numFmtId="40" fontId="43" fillId="0" borderId="0"/>
    <xf numFmtId="189" fontId="116" fillId="0" borderId="0"/>
    <xf numFmtId="203" fontId="117" fillId="0" borderId="0" applyNumberFormat="0"/>
    <xf numFmtId="0" fontId="118" fillId="23" borderId="28">
      <alignment horizontal="left"/>
    </xf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212" fontId="119" fillId="0" borderId="0" applyNumberFormat="0" applyFill="0" applyBorder="0" applyAlignment="0" applyProtection="0"/>
    <xf numFmtId="0" fontId="4" fillId="0" borderId="0" applyNumberFormat="0" applyFont="0" applyBorder="0" applyAlignment="0">
      <protection locked="0"/>
    </xf>
    <xf numFmtId="0" fontId="120" fillId="0" borderId="0"/>
    <xf numFmtId="1" fontId="121" fillId="0" borderId="0"/>
    <xf numFmtId="0" fontId="122" fillId="0" borderId="9" applyNumberFormat="0" applyFill="0" applyBorder="0" applyAlignment="0" applyProtection="0"/>
    <xf numFmtId="0" fontId="123" fillId="0" borderId="9" applyNumberFormat="0" applyFill="0" applyBorder="0" applyAlignment="0" applyProtection="0"/>
    <xf numFmtId="0" fontId="124" fillId="0" borderId="9" applyNumberFormat="0" applyFill="0" applyBorder="0" applyAlignment="0" applyProtection="0"/>
    <xf numFmtId="1" fontId="125" fillId="0" borderId="0">
      <alignment horizontal="right"/>
    </xf>
    <xf numFmtId="171" fontId="16" fillId="0" borderId="0"/>
    <xf numFmtId="258" fontId="126" fillId="0" borderId="12" applyFont="0">
      <alignment horizontal="right"/>
    </xf>
    <xf numFmtId="204" fontId="52" fillId="0" borderId="0"/>
    <xf numFmtId="256" fontId="4" fillId="0" borderId="0">
      <alignment horizontal="right"/>
    </xf>
    <xf numFmtId="256" fontId="5" fillId="0" borderId="0">
      <alignment horizontal="right"/>
    </xf>
    <xf numFmtId="256" fontId="4" fillId="0" borderId="0">
      <alignment horizontal="right"/>
    </xf>
    <xf numFmtId="49" fontId="4" fillId="0" borderId="29">
      <alignment horizontal="right" vertical="top" wrapText="1"/>
    </xf>
    <xf numFmtId="0" fontId="104" fillId="0" borderId="12">
      <alignment horizontal="right"/>
    </xf>
    <xf numFmtId="259" fontId="16" fillId="0" borderId="12">
      <alignment horizontal="right"/>
    </xf>
    <xf numFmtId="0" fontId="127" fillId="24" borderId="0" applyNumberFormat="0" applyProtection="0">
      <alignment horizontal="left"/>
    </xf>
    <xf numFmtId="181" fontId="55" fillId="25" borderId="16" applyNumberFormat="0" applyAlignment="0">
      <alignment horizontal="right"/>
    </xf>
    <xf numFmtId="181" fontId="56" fillId="25" borderId="16" applyNumberFormat="0" applyAlignment="0">
      <alignment horizontal="right"/>
    </xf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34" fillId="0" borderId="0" applyNumberForma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 applyNumberFormat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39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0" fontId="3" fillId="0" borderId="0"/>
    <xf numFmtId="234" fontId="3" fillId="0" borderId="0" applyFont="0" applyFill="0" applyBorder="0" applyAlignment="0" applyProtection="0"/>
    <xf numFmtId="0" fontId="3" fillId="0" borderId="0">
      <alignment horizontal="right"/>
    </xf>
    <xf numFmtId="0" fontId="3" fillId="0" borderId="0" applyNumberFormat="0"/>
    <xf numFmtId="0" fontId="3" fillId="0" borderId="0" applyNumberFormat="0"/>
    <xf numFmtId="0" fontId="3" fillId="0" borderId="5" applyNumberFormat="0"/>
    <xf numFmtId="0" fontId="3" fillId="0" borderId="6" applyNumberFormat="0" applyFont="0" applyFill="0" applyBorder="0" applyAlignment="0">
      <alignment horizontal="left"/>
    </xf>
    <xf numFmtId="0" fontId="3" fillId="0" borderId="0" applyFill="0" applyBorder="0" applyProtection="0"/>
    <xf numFmtId="237" fontId="3" fillId="0" borderId="0" applyFont="0" applyFill="0" applyBorder="0" applyAlignment="0" applyProtection="0"/>
    <xf numFmtId="0" fontId="3" fillId="0" borderId="0" applyBorder="0">
      <alignment horizontal="right"/>
    </xf>
    <xf numFmtId="238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41" fontId="3" fillId="0" borderId="0" applyFill="0" applyBorder="0">
      <alignment horizontal="right"/>
      <protection locked="0"/>
    </xf>
    <xf numFmtId="255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15" fontId="3" fillId="0" borderId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167" fontId="3" fillId="11" borderId="16" applyNumberFormat="0" applyFont="0" applyAlignment="0"/>
    <xf numFmtId="0" fontId="3" fillId="0" borderId="0" applyNumberFormat="0" applyFill="0" applyBorder="0" applyAlignment="0" applyProtection="0">
      <alignment horizontal="left"/>
    </xf>
    <xf numFmtId="212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0" fontId="3" fillId="0" borderId="0" applyFill="0" applyBorder="0">
      <alignment horizontal="right"/>
      <protection locked="0"/>
    </xf>
    <xf numFmtId="165" fontId="3" fillId="0" borderId="0" applyFill="0" applyBorder="0">
      <alignment horizontal="right"/>
      <protection locked="0"/>
    </xf>
    <xf numFmtId="217" fontId="3" fillId="0" borderId="0" applyFont="0" applyFill="0" applyBorder="0" applyAlignment="0" applyProtection="0"/>
    <xf numFmtId="218" fontId="3" fillId="0" borderId="0" applyFont="0" applyFill="0" applyBorder="0" applyAlignment="0" applyProtection="0"/>
    <xf numFmtId="167" fontId="3" fillId="0" borderId="0"/>
    <xf numFmtId="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2" fontId="3" fillId="0" borderId="0" applyFont="0" applyFill="0" applyBorder="0" applyAlignment="0" applyProtection="0"/>
    <xf numFmtId="189" fontId="3" fillId="0" borderId="0" applyFont="0" applyFill="0" applyBorder="0" applyAlignment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234" fontId="3" fillId="0" borderId="0" applyFont="0" applyFill="0" applyBorder="0" applyAlignment="0" applyProtection="0"/>
    <xf numFmtId="235" fontId="3" fillId="0" borderId="0" applyFont="0" applyFill="0" applyBorder="0" applyAlignment="0" applyProtection="0">
      <protection hidden="1"/>
    </xf>
    <xf numFmtId="23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40" fontId="3" fillId="0" borderId="0" applyFont="0" applyFill="0" applyBorder="0" applyAlignment="0" applyProtection="0"/>
    <xf numFmtId="43" fontId="3" fillId="0" borderId="0" applyFill="0" applyBorder="0">
      <alignment horizontal="right"/>
      <protection locked="0"/>
    </xf>
    <xf numFmtId="217" fontId="3" fillId="0" borderId="0" applyFont="0" applyFill="0" applyBorder="0" applyAlignment="0" applyProtection="0"/>
    <xf numFmtId="0" fontId="3" fillId="0" borderId="0">
      <alignment horizontal="right"/>
    </xf>
    <xf numFmtId="15" fontId="3" fillId="0" borderId="0" applyProtection="0"/>
    <xf numFmtId="247" fontId="3" fillId="0" borderId="0">
      <alignment horizontal="right"/>
      <protection locked="0"/>
    </xf>
    <xf numFmtId="0" fontId="3" fillId="0" borderId="0">
      <alignment horizontal="right"/>
    </xf>
    <xf numFmtId="0" fontId="3" fillId="0" borderId="0">
      <alignment horizontal="right"/>
    </xf>
    <xf numFmtId="0" fontId="3" fillId="0" borderId="0" applyFill="0" applyBorder="0" applyProtection="0">
      <alignment horizontal="right"/>
    </xf>
    <xf numFmtId="164" fontId="3" fillId="0" borderId="0" applyFill="0" applyBorder="0">
      <alignment horizontal="right"/>
      <protection hidden="1"/>
    </xf>
    <xf numFmtId="20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172" fontId="3" fillId="0" borderId="15" applyNumberFormat="0" applyFont="0" applyFill="0" applyAlignment="0"/>
    <xf numFmtId="49" fontId="3" fillId="0" borderId="13" applyNumberFormat="0">
      <alignment vertical="center"/>
    </xf>
    <xf numFmtId="217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234" fontId="3" fillId="0" borderId="0" applyFont="0" applyFill="0" applyBorder="0" applyAlignment="0" applyProtection="0"/>
    <xf numFmtId="0" fontId="3" fillId="0" borderId="0" applyNumberFormat="0" applyFont="0" applyBorder="0" applyAlignment="0">
      <protection locked="0"/>
    </xf>
    <xf numFmtId="238" fontId="3" fillId="0" borderId="0" applyFont="0" applyFill="0" applyBorder="0" applyAlignment="0" applyProtection="0"/>
    <xf numFmtId="0" fontId="3" fillId="0" borderId="0">
      <alignment horizontal="right"/>
    </xf>
    <xf numFmtId="0" fontId="3" fillId="0" borderId="0">
      <alignment horizontal="right"/>
    </xf>
    <xf numFmtId="256" fontId="3" fillId="0" borderId="0">
      <alignment horizontal="right"/>
    </xf>
    <xf numFmtId="49" fontId="3" fillId="0" borderId="29">
      <alignment horizontal="right" vertical="top" wrapText="1"/>
    </xf>
    <xf numFmtId="238" fontId="3" fillId="0" borderId="0" applyFont="0" applyFill="0" applyBorder="0" applyAlignment="0" applyProtection="0"/>
    <xf numFmtId="15" fontId="3" fillId="0" borderId="0" applyProtection="0"/>
    <xf numFmtId="0" fontId="3" fillId="0" borderId="0"/>
    <xf numFmtId="0" fontId="3" fillId="0" borderId="0"/>
    <xf numFmtId="168" fontId="49" fillId="29" borderId="10">
      <alignment horizontal="right"/>
    </xf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68" fillId="0" borderId="0">
      <alignment vertical="center"/>
    </xf>
    <xf numFmtId="0" fontId="3" fillId="0" borderId="0"/>
    <xf numFmtId="0" fontId="3" fillId="0" borderId="0"/>
    <xf numFmtId="3" fontId="68" fillId="0" borderId="0"/>
    <xf numFmtId="3" fontId="68" fillId="0" borderId="0"/>
    <xf numFmtId="261" fontId="3" fillId="0" borderId="0" applyFont="0" applyFill="0" applyBorder="0" applyAlignment="0" applyProtection="0"/>
    <xf numFmtId="0" fontId="3" fillId="0" borderId="0"/>
    <xf numFmtId="3" fontId="68" fillId="0" borderId="0"/>
    <xf numFmtId="0" fontId="94" fillId="0" borderId="0">
      <alignment vertical="center"/>
    </xf>
    <xf numFmtId="262" fontId="10" fillId="0" borderId="0"/>
    <xf numFmtId="9" fontId="3" fillId="0" borderId="0"/>
    <xf numFmtId="166" fontId="10" fillId="0" borderId="0"/>
    <xf numFmtId="2" fontId="10" fillId="0" borderId="0"/>
    <xf numFmtId="0" fontId="10" fillId="0" borderId="0"/>
    <xf numFmtId="0" fontId="10" fillId="0" borderId="0"/>
    <xf numFmtId="1" fontId="10" fillId="0" borderId="0"/>
    <xf numFmtId="1" fontId="10" fillId="0" borderId="0"/>
    <xf numFmtId="0" fontId="3" fillId="0" borderId="0"/>
    <xf numFmtId="0" fontId="3" fillId="0" borderId="6" applyNumberFormat="0" applyFont="0" applyFill="0" applyBorder="0" applyAlignment="0">
      <alignment horizontal="left"/>
    </xf>
    <xf numFmtId="0" fontId="139" fillId="30" borderId="0" applyNumberFormat="0" applyBorder="0" applyAlignment="0" applyProtection="0"/>
    <xf numFmtId="0" fontId="139" fillId="31" borderId="0" applyNumberFormat="0" applyBorder="0" applyAlignment="0" applyProtection="0"/>
    <xf numFmtId="0" fontId="139" fillId="32" borderId="0" applyNumberFormat="0" applyBorder="0" applyAlignment="0" applyProtection="0"/>
    <xf numFmtId="0" fontId="139" fillId="16" borderId="0" applyNumberFormat="0" applyBorder="0" applyAlignment="0" applyProtection="0"/>
    <xf numFmtId="0" fontId="139" fillId="30" borderId="0" applyNumberFormat="0" applyBorder="0" applyAlignment="0" applyProtection="0"/>
    <xf numFmtId="0" fontId="139" fillId="31" borderId="0" applyNumberFormat="0" applyBorder="0" applyAlignment="0" applyProtection="0"/>
    <xf numFmtId="0" fontId="139" fillId="33" borderId="0" applyNumberFormat="0" applyBorder="0" applyAlignment="0" applyProtection="0"/>
    <xf numFmtId="0" fontId="139" fillId="30" borderId="0" applyNumberFormat="0" applyBorder="0" applyAlignment="0" applyProtection="0"/>
    <xf numFmtId="0" fontId="139" fillId="32" borderId="0" applyNumberFormat="0" applyBorder="0" applyAlignment="0" applyProtection="0"/>
    <xf numFmtId="0" fontId="139" fillId="31" borderId="0" applyNumberFormat="0" applyBorder="0" applyAlignment="0" applyProtection="0"/>
    <xf numFmtId="0" fontId="139" fillId="32" borderId="0" applyNumberFormat="0" applyBorder="0" applyAlignment="0" applyProtection="0"/>
    <xf numFmtId="0" fontId="139" fillId="34" borderId="0" applyNumberFormat="0" applyBorder="0" applyAlignment="0" applyProtection="0"/>
    <xf numFmtId="0" fontId="139" fillId="31" borderId="0" applyNumberFormat="0" applyBorder="0" applyAlignment="0" applyProtection="0"/>
    <xf numFmtId="0" fontId="139" fillId="16" borderId="0" applyNumberFormat="0" applyBorder="0" applyAlignment="0" applyProtection="0"/>
    <xf numFmtId="0" fontId="139" fillId="33" borderId="0" applyNumberFormat="0" applyBorder="0" applyAlignment="0" applyProtection="0"/>
    <xf numFmtId="0" fontId="139" fillId="30" borderId="0" applyNumberFormat="0" applyBorder="0" applyAlignment="0" applyProtection="0"/>
    <xf numFmtId="0" fontId="139" fillId="32" borderId="0" applyNumberFormat="0" applyBorder="0" applyAlignment="0" applyProtection="0"/>
    <xf numFmtId="0" fontId="139" fillId="31" borderId="0" applyNumberFormat="0" applyBorder="0" applyAlignment="0" applyProtection="0"/>
    <xf numFmtId="181" fontId="14" fillId="0" borderId="6" applyNumberFormat="0" applyFont="0" applyFill="0" applyBorder="0" applyAlignment="0"/>
    <xf numFmtId="0" fontId="139" fillId="30" borderId="0" applyNumberFormat="0" applyBorder="0" applyAlignment="0" applyProtection="0"/>
    <xf numFmtId="0" fontId="139" fillId="35" borderId="0" applyNumberFormat="0" applyBorder="0" applyAlignment="0" applyProtection="0"/>
    <xf numFmtId="0" fontId="139" fillId="32" borderId="0" applyNumberFormat="0" applyBorder="0" applyAlignment="0" applyProtection="0"/>
    <xf numFmtId="0" fontId="139" fillId="2" borderId="0" applyNumberFormat="0" applyBorder="0" applyAlignment="0" applyProtection="0"/>
    <xf numFmtId="0" fontId="139" fillId="30" borderId="0" applyNumberFormat="0" applyBorder="0" applyAlignment="0" applyProtection="0"/>
    <xf numFmtId="0" fontId="139" fillId="31" borderId="0" applyNumberFormat="0" applyBorder="0" applyAlignment="0" applyProtection="0"/>
    <xf numFmtId="0" fontId="139" fillId="33" borderId="0" applyNumberFormat="0" applyBorder="0" applyAlignment="0" applyProtection="0"/>
    <xf numFmtId="0" fontId="139" fillId="30" borderId="0" applyNumberFormat="0" applyBorder="0" applyAlignment="0" applyProtection="0"/>
    <xf numFmtId="0" fontId="139" fillId="36" borderId="0" applyNumberFormat="0" applyBorder="0" applyAlignment="0" applyProtection="0"/>
    <xf numFmtId="0" fontId="139" fillId="35" borderId="0" applyNumberFormat="0" applyBorder="0" applyAlignment="0" applyProtection="0"/>
    <xf numFmtId="0" fontId="139" fillId="32" borderId="0" applyNumberFormat="0" applyBorder="0" applyAlignment="0" applyProtection="0"/>
    <xf numFmtId="0" fontId="139" fillId="34" borderId="0" applyNumberFormat="0" applyBorder="0" applyAlignment="0" applyProtection="0"/>
    <xf numFmtId="0" fontId="139" fillId="37" borderId="0" applyNumberFormat="0" applyBorder="0" applyAlignment="0" applyProtection="0"/>
    <xf numFmtId="0" fontId="139" fillId="2" borderId="0" applyNumberFormat="0" applyBorder="0" applyAlignment="0" applyProtection="0"/>
    <xf numFmtId="0" fontId="139" fillId="33" borderId="0" applyNumberFormat="0" applyBorder="0" applyAlignment="0" applyProtection="0"/>
    <xf numFmtId="0" fontId="139" fillId="30" borderId="0" applyNumberFormat="0" applyBorder="0" applyAlignment="0" applyProtection="0"/>
    <xf numFmtId="0" fontId="139" fillId="32" borderId="0" applyNumberFormat="0" applyBorder="0" applyAlignment="0" applyProtection="0"/>
    <xf numFmtId="0" fontId="139" fillId="31" borderId="0" applyNumberFormat="0" applyBorder="0" applyAlignment="0" applyProtection="0"/>
    <xf numFmtId="0" fontId="140" fillId="38" borderId="0" applyNumberFormat="0" applyBorder="0" applyAlignment="0" applyProtection="0"/>
    <xf numFmtId="0" fontId="140" fillId="35" borderId="0" applyNumberFormat="0" applyBorder="0" applyAlignment="0" applyProtection="0"/>
    <xf numFmtId="0" fontId="140" fillId="32" borderId="0" applyNumberFormat="0" applyBorder="0" applyAlignment="0" applyProtection="0"/>
    <xf numFmtId="0" fontId="140" fillId="39" borderId="0" applyNumberFormat="0" applyBorder="0" applyAlignment="0" applyProtection="0"/>
    <xf numFmtId="0" fontId="140" fillId="40" borderId="0" applyNumberFormat="0" applyBorder="0" applyAlignment="0" applyProtection="0"/>
    <xf numFmtId="0" fontId="140" fillId="35" borderId="0" applyNumberFormat="0" applyBorder="0" applyAlignment="0" applyProtection="0"/>
    <xf numFmtId="0" fontId="140" fillId="33" borderId="0" applyNumberFormat="0" applyBorder="0" applyAlignment="0" applyProtection="0"/>
    <xf numFmtId="0" fontId="140" fillId="38" borderId="0" applyNumberFormat="0" applyBorder="0" applyAlignment="0" applyProtection="0"/>
    <xf numFmtId="0" fontId="140" fillId="36" borderId="0" applyNumberFormat="0" applyBorder="0" applyAlignment="0" applyProtection="0"/>
    <xf numFmtId="0" fontId="140" fillId="35" borderId="0" applyNumberFormat="0" applyBorder="0" applyAlignment="0" applyProtection="0"/>
    <xf numFmtId="0" fontId="140" fillId="41" borderId="0" applyNumberFormat="0" applyBorder="0" applyAlignment="0" applyProtection="0"/>
    <xf numFmtId="0" fontId="140" fillId="34" borderId="0" applyNumberFormat="0" applyBorder="0" applyAlignment="0" applyProtection="0"/>
    <xf numFmtId="0" fontId="140" fillId="37" borderId="0" applyNumberFormat="0" applyBorder="0" applyAlignment="0" applyProtection="0"/>
    <xf numFmtId="0" fontId="140" fillId="39" borderId="0" applyNumberFormat="0" applyBorder="0" applyAlignment="0" applyProtection="0"/>
    <xf numFmtId="0" fontId="140" fillId="33" borderId="0" applyNumberFormat="0" applyBorder="0" applyAlignment="0" applyProtection="0"/>
    <xf numFmtId="0" fontId="140" fillId="40" borderId="0" applyNumberFormat="0" applyBorder="0" applyAlignment="0" applyProtection="0"/>
    <xf numFmtId="0" fontId="140" fillId="32" borderId="0" applyNumberFormat="0" applyBorder="0" applyAlignment="0" applyProtection="0"/>
    <xf numFmtId="0" fontId="140" fillId="35" borderId="0" applyNumberFormat="0" applyBorder="0" applyAlignment="0" applyProtection="0"/>
    <xf numFmtId="37" fontId="141" fillId="0" borderId="0">
      <alignment horizontal="center"/>
    </xf>
    <xf numFmtId="0" fontId="140" fillId="42" borderId="0" applyNumberFormat="0" applyBorder="0" applyAlignment="0" applyProtection="0"/>
    <xf numFmtId="0" fontId="140" fillId="43" borderId="0" applyNumberFormat="0" applyBorder="0" applyAlignment="0" applyProtection="0"/>
    <xf numFmtId="0" fontId="140" fillId="36" borderId="0" applyNumberFormat="0" applyBorder="0" applyAlignment="0" applyProtection="0"/>
    <xf numFmtId="0" fontId="140" fillId="44" borderId="0" applyNumberFormat="0" applyBorder="0" applyAlignment="0" applyProtection="0"/>
    <xf numFmtId="0" fontId="140" fillId="41" borderId="0" applyNumberFormat="0" applyBorder="0" applyAlignment="0" applyProtection="0"/>
    <xf numFmtId="0" fontId="140" fillId="45" borderId="0" applyNumberFormat="0" applyBorder="0" applyAlignment="0" applyProtection="0"/>
    <xf numFmtId="0" fontId="140" fillId="46" borderId="0" applyNumberFormat="0" applyBorder="0" applyAlignment="0" applyProtection="0"/>
    <xf numFmtId="0" fontId="140" fillId="47" borderId="0" applyNumberFormat="0" applyBorder="0" applyAlignment="0" applyProtection="0"/>
    <xf numFmtId="0" fontId="140" fillId="44" borderId="0" applyNumberFormat="0" applyBorder="0" applyAlignment="0" applyProtection="0"/>
    <xf numFmtId="0" fontId="140" fillId="48" borderId="0" applyNumberFormat="0" applyBorder="0" applyAlignment="0" applyProtection="0"/>
    <xf numFmtId="198" fontId="3" fillId="0" borderId="0" applyFont="0" applyFill="0" applyBorder="0">
      <alignment horizontal="right"/>
    </xf>
    <xf numFmtId="263" fontId="41" fillId="5" borderId="0">
      <alignment horizontal="right"/>
    </xf>
    <xf numFmtId="253" fontId="16" fillId="0" borderId="0" applyFont="0" applyFill="0" applyBorder="0" applyAlignment="0" applyProtection="0">
      <protection locked="0"/>
    </xf>
    <xf numFmtId="0" fontId="3" fillId="0" borderId="0"/>
    <xf numFmtId="183" fontId="16" fillId="0" borderId="8" applyBorder="0"/>
    <xf numFmtId="264" fontId="142" fillId="0" borderId="19" applyNumberFormat="0" applyBorder="0" applyProtection="0">
      <alignment horizontal="center" vertical="center"/>
    </xf>
    <xf numFmtId="263" fontId="143" fillId="3" borderId="0"/>
    <xf numFmtId="265" fontId="143" fillId="3" borderId="0"/>
    <xf numFmtId="9" fontId="143" fillId="3" borderId="0"/>
    <xf numFmtId="0" fontId="144" fillId="0" borderId="0" applyNumberFormat="0" applyFill="0" applyBorder="0" applyAlignment="0" applyProtection="0"/>
    <xf numFmtId="14" fontId="145" fillId="49" borderId="0" applyNumberFormat="0" applyBorder="0" applyProtection="0">
      <alignment horizontal="left" vertical="center" wrapText="1"/>
    </xf>
    <xf numFmtId="0" fontId="146" fillId="50" borderId="0" applyNumberFormat="0" applyBorder="0" applyAlignment="0" applyProtection="0"/>
    <xf numFmtId="0" fontId="147" fillId="37" borderId="0" applyNumberFormat="0" applyBorder="0" applyAlignment="0" applyProtection="0"/>
    <xf numFmtId="9" fontId="148" fillId="8" borderId="0" applyNumberFormat="0" applyFont="0" applyFill="0"/>
    <xf numFmtId="0" fontId="149" fillId="0" borderId="0" applyNumberFormat="0" applyFill="0" applyBorder="0" applyAlignment="0" applyProtection="0"/>
    <xf numFmtId="0" fontId="150" fillId="0" borderId="0"/>
    <xf numFmtId="263" fontId="41" fillId="11" borderId="0"/>
    <xf numFmtId="265" fontId="41" fillId="11" borderId="0"/>
    <xf numFmtId="266" fontId="41" fillId="11" borderId="0"/>
    <xf numFmtId="267" fontId="41" fillId="11" borderId="0"/>
    <xf numFmtId="263" fontId="41" fillId="51" borderId="0"/>
    <xf numFmtId="265" fontId="41" fillId="51" borderId="0"/>
    <xf numFmtId="266" fontId="41" fillId="51" borderId="0"/>
    <xf numFmtId="267" fontId="41" fillId="51" borderId="0"/>
    <xf numFmtId="0" fontId="151" fillId="16" borderId="31" applyNumberFormat="0" applyAlignment="0" applyProtection="0"/>
    <xf numFmtId="0" fontId="152" fillId="16" borderId="31" applyNumberFormat="0" applyAlignment="0" applyProtection="0"/>
    <xf numFmtId="0" fontId="151" fillId="16" borderId="31" applyNumberFormat="0" applyAlignment="0" applyProtection="0"/>
    <xf numFmtId="0" fontId="153" fillId="16" borderId="0" applyNumberFormat="0" applyBorder="0" applyProtection="0"/>
    <xf numFmtId="0" fontId="154" fillId="0" borderId="32" applyNumberFormat="0" applyFill="0" applyAlignment="0" applyProtection="0"/>
    <xf numFmtId="1" fontId="155" fillId="0" borderId="0"/>
    <xf numFmtId="0" fontId="156" fillId="0" borderId="0" applyAlignment="0"/>
    <xf numFmtId="0" fontId="157" fillId="43" borderId="33" applyNumberFormat="0" applyAlignment="0" applyProtection="0"/>
    <xf numFmtId="0" fontId="157" fillId="52" borderId="34" applyNumberFormat="0" applyAlignment="0" applyProtection="0"/>
    <xf numFmtId="0" fontId="158" fillId="53" borderId="0" applyAlignment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39" fillId="0" borderId="0" applyFont="0" applyFill="0" applyBorder="0" applyAlignment="0" applyProtection="0"/>
    <xf numFmtId="172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39" fillId="0" borderId="0" applyFont="0" applyFill="0" applyBorder="0" applyAlignment="0" applyProtection="0"/>
    <xf numFmtId="43" fontId="139" fillId="0" borderId="0" applyFont="0" applyFill="0" applyBorder="0" applyAlignment="0" applyProtection="0"/>
    <xf numFmtId="268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32" borderId="35" applyNumberFormat="0" applyFont="0" applyAlignment="0" applyProtection="0"/>
    <xf numFmtId="44" fontId="3" fillId="0" borderId="0" applyFont="0" applyFill="0" applyBorder="0" applyAlignment="0" applyProtection="0"/>
    <xf numFmtId="269" fontId="3" fillId="0" borderId="0" applyFont="0" applyFill="0" applyBorder="0" applyAlignment="0" applyProtection="0"/>
    <xf numFmtId="232" fontId="159" fillId="0" borderId="0" applyNumberFormat="0" applyBorder="0" applyAlignment="0"/>
    <xf numFmtId="3" fontId="160" fillId="0" borderId="0"/>
    <xf numFmtId="14" fontId="5" fillId="0" borderId="21" applyFont="0">
      <alignment horizontal="right"/>
    </xf>
    <xf numFmtId="14" fontId="5" fillId="0" borderId="21" applyFont="0">
      <alignment horizontal="right"/>
    </xf>
    <xf numFmtId="14" fontId="5" fillId="0" borderId="21" applyFont="0">
      <alignment horizontal="right"/>
    </xf>
    <xf numFmtId="14" fontId="5" fillId="0" borderId="21" applyFont="0">
      <alignment horizontal="right"/>
    </xf>
    <xf numFmtId="14" fontId="5" fillId="0" borderId="21" applyFont="0">
      <alignment horizontal="right"/>
    </xf>
    <xf numFmtId="17" fontId="12" fillId="0" borderId="3"/>
    <xf numFmtId="14" fontId="5" fillId="0" borderId="21" applyFont="0">
      <alignment horizontal="right"/>
    </xf>
    <xf numFmtId="14" fontId="5" fillId="0" borderId="21" applyFont="0">
      <alignment horizontal="right"/>
    </xf>
    <xf numFmtId="14" fontId="5" fillId="0" borderId="21" applyFont="0">
      <alignment horizontal="right"/>
    </xf>
    <xf numFmtId="14" fontId="5" fillId="0" borderId="21" applyFont="0">
      <alignment horizontal="right"/>
    </xf>
    <xf numFmtId="16" fontId="161" fillId="3" borderId="0"/>
    <xf numFmtId="15" fontId="3" fillId="0" borderId="0" applyProtection="0"/>
    <xf numFmtId="232" fontId="16" fillId="0" borderId="0"/>
    <xf numFmtId="3" fontId="162" fillId="16" borderId="19" applyNumberFormat="0" applyBorder="0" applyProtection="0">
      <alignment horizontal="right" vertical="center"/>
    </xf>
    <xf numFmtId="168" fontId="162" fillId="16" borderId="19" applyNumberFormat="0" applyBorder="0" applyProtection="0">
      <alignment horizontal="right" vertical="center"/>
    </xf>
    <xf numFmtId="4" fontId="153" fillId="16" borderId="19" applyNumberFormat="0" applyBorder="0" applyProtection="0">
      <alignment horizontal="right" vertical="center"/>
    </xf>
    <xf numFmtId="0" fontId="153" fillId="16" borderId="19" applyNumberFormat="0" applyBorder="0" applyProtection="0">
      <alignment horizontal="right" vertical="center"/>
    </xf>
    <xf numFmtId="263" fontId="163" fillId="54" borderId="0"/>
    <xf numFmtId="267" fontId="163" fillId="54" borderId="0"/>
    <xf numFmtId="0" fontId="164" fillId="0" borderId="0">
      <protection locked="0"/>
    </xf>
    <xf numFmtId="232" fontId="156" fillId="0" borderId="0" applyFont="0" applyFill="0" applyBorder="0" applyAlignment="0" applyProtection="0">
      <protection locked="0"/>
    </xf>
    <xf numFmtId="203" fontId="37" fillId="0" borderId="15" applyNumberFormat="0" applyBorder="0"/>
    <xf numFmtId="270" fontId="165" fillId="0" borderId="0">
      <protection locked="0"/>
    </xf>
    <xf numFmtId="270" fontId="165" fillId="0" borderId="0">
      <protection locked="0"/>
    </xf>
    <xf numFmtId="0" fontId="5" fillId="0" borderId="0" applyNumberFormat="0" applyFill="0" applyBorder="0"/>
    <xf numFmtId="0" fontId="5" fillId="0" borderId="0" applyNumberFormat="0" applyFill="0" applyBorder="0"/>
    <xf numFmtId="0" fontId="166" fillId="31" borderId="31" applyNumberFormat="0" applyAlignment="0" applyProtection="0"/>
    <xf numFmtId="204" fontId="167" fillId="0" borderId="0" applyFont="0" applyFill="0" applyBorder="0" applyAlignment="0" applyProtection="0"/>
    <xf numFmtId="253" fontId="168" fillId="55" borderId="16" applyProtection="0">
      <alignment horizontal="right"/>
    </xf>
    <xf numFmtId="271" fontId="168" fillId="55" borderId="16">
      <alignment horizontal="right"/>
    </xf>
    <xf numFmtId="204" fontId="40" fillId="0" borderId="3" applyFont="0" applyFill="0" applyBorder="0" applyAlignment="0" applyProtection="0">
      <alignment horizontal="center" vertical="center" wrapText="1"/>
    </xf>
    <xf numFmtId="16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7" fontId="169" fillId="56" borderId="0"/>
    <xf numFmtId="263" fontId="143" fillId="54" borderId="0"/>
    <xf numFmtId="265" fontId="143" fillId="54" borderId="0"/>
    <xf numFmtId="266" fontId="143" fillId="54" borderId="0"/>
    <xf numFmtId="267" fontId="143" fillId="54" borderId="0"/>
    <xf numFmtId="272" fontId="3" fillId="57" borderId="4">
      <alignment horizontal="left"/>
    </xf>
    <xf numFmtId="206" fontId="9" fillId="57" borderId="4">
      <alignment horizontal="left"/>
    </xf>
    <xf numFmtId="273" fontId="164" fillId="0" borderId="0">
      <protection locked="0"/>
    </xf>
    <xf numFmtId="274" fontId="164" fillId="0" borderId="0">
      <protection locked="0"/>
    </xf>
    <xf numFmtId="189" fontId="10" fillId="0" borderId="15" applyBorder="0"/>
    <xf numFmtId="189" fontId="10" fillId="0" borderId="15" applyBorder="0"/>
    <xf numFmtId="0" fontId="170" fillId="16" borderId="19" applyNumberFormat="0" applyBorder="0" applyProtection="0">
      <alignment horizontal="right" vertical="center"/>
    </xf>
    <xf numFmtId="0" fontId="171" fillId="34" borderId="0" applyNumberFormat="0" applyBorder="0" applyAlignment="0" applyProtection="0"/>
    <xf numFmtId="167" fontId="3" fillId="11" borderId="16" applyNumberFormat="0" applyFont="0" applyAlignment="0"/>
    <xf numFmtId="210" fontId="19" fillId="11" borderId="16" applyNumberFormat="0" applyFont="0" applyAlignment="0"/>
    <xf numFmtId="0" fontId="45" fillId="12" borderId="17"/>
    <xf numFmtId="0" fontId="172" fillId="0" borderId="23" applyNumberFormat="0" applyAlignment="0" applyProtection="0">
      <alignment horizontal="left" vertical="center"/>
    </xf>
    <xf numFmtId="0" fontId="172" fillId="0" borderId="21">
      <alignment horizontal="left" vertical="center"/>
    </xf>
    <xf numFmtId="263" fontId="169" fillId="58" borderId="0"/>
    <xf numFmtId="0" fontId="173" fillId="0" borderId="36" applyNumberFormat="0" applyFill="0" applyAlignment="0" applyProtection="0"/>
    <xf numFmtId="263" fontId="174" fillId="9" borderId="0"/>
    <xf numFmtId="0" fontId="175" fillId="0" borderId="37" applyNumberFormat="0" applyFill="0" applyAlignment="0" applyProtection="0"/>
    <xf numFmtId="0" fontId="176" fillId="0" borderId="38" applyNumberFormat="0" applyFill="0" applyAlignment="0" applyProtection="0"/>
    <xf numFmtId="0" fontId="176" fillId="0" borderId="39" applyNumberFormat="0" applyFill="0" applyAlignment="0" applyProtection="0"/>
    <xf numFmtId="0" fontId="176" fillId="0" borderId="0" applyNumberFormat="0" applyFill="0" applyBorder="0" applyAlignment="0" applyProtection="0"/>
    <xf numFmtId="0" fontId="177" fillId="0" borderId="0"/>
    <xf numFmtId="0" fontId="178" fillId="0" borderId="0" applyNumberFormat="0" applyFill="0" applyBorder="0" applyAlignment="0" applyProtection="0">
      <alignment vertical="top"/>
      <protection locked="0"/>
    </xf>
    <xf numFmtId="253" fontId="179" fillId="0" borderId="0" applyFill="0" applyBorder="0" applyProtection="0">
      <alignment horizontal="right" vertical="center"/>
    </xf>
    <xf numFmtId="0" fontId="180" fillId="0" borderId="0" applyNumberFormat="0" applyFill="0" applyBorder="0" applyAlignment="0" applyProtection="0">
      <alignment vertical="top"/>
      <protection locked="0"/>
    </xf>
    <xf numFmtId="1" fontId="169" fillId="54" borderId="0"/>
    <xf numFmtId="167" fontId="169" fillId="54" borderId="0"/>
    <xf numFmtId="263" fontId="161" fillId="3" borderId="0"/>
    <xf numFmtId="265" fontId="161" fillId="3" borderId="0"/>
    <xf numFmtId="266" fontId="161" fillId="3" borderId="0"/>
    <xf numFmtId="267" fontId="161" fillId="3" borderId="0"/>
    <xf numFmtId="10" fontId="12" fillId="11" borderId="16" applyNumberFormat="0" applyBorder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0" fontId="166" fillId="31" borderId="31" applyNumberFormat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0" fontId="166" fillId="32" borderId="31" applyNumberFormat="0" applyAlignment="0" applyProtection="0"/>
    <xf numFmtId="263" fontId="161" fillId="3" borderId="0"/>
    <xf numFmtId="265" fontId="161" fillId="3" borderId="0"/>
    <xf numFmtId="266" fontId="161" fillId="3" borderId="0"/>
    <xf numFmtId="267" fontId="161" fillId="3" borderId="0"/>
    <xf numFmtId="9" fontId="161" fillId="3" borderId="0"/>
    <xf numFmtId="0" fontId="147" fillId="37" borderId="0" applyNumberFormat="0" applyBorder="0" applyAlignment="0" applyProtection="0"/>
    <xf numFmtId="181" fontId="55" fillId="14" borderId="16" applyNumberFormat="0" applyAlignment="0">
      <alignment horizontal="right"/>
    </xf>
    <xf numFmtId="181" fontId="56" fillId="14" borderId="16" applyNumberFormat="0" applyAlignment="0">
      <alignment horizontal="right"/>
    </xf>
    <xf numFmtId="0" fontId="181" fillId="0" borderId="0" applyAlignment="0"/>
    <xf numFmtId="0" fontId="182" fillId="0" borderId="19" applyNumberFormat="0" applyBorder="0" applyProtection="0"/>
    <xf numFmtId="0" fontId="34" fillId="0" borderId="19" applyNumberFormat="0" applyBorder="0" applyProtection="0"/>
    <xf numFmtId="0" fontId="138" fillId="49" borderId="0" applyNumberFormat="0" applyBorder="0" applyProtection="0">
      <alignment vertical="center"/>
    </xf>
    <xf numFmtId="0" fontId="183" fillId="59" borderId="0" applyNumberFormat="0" applyBorder="0" applyProtection="0"/>
    <xf numFmtId="0" fontId="184" fillId="16" borderId="0" applyNumberFormat="0" applyBorder="0" applyProtection="0"/>
    <xf numFmtId="0" fontId="185" fillId="59" borderId="0" applyNumberFormat="0" applyAlignment="0" applyProtection="0"/>
    <xf numFmtId="0" fontId="59" fillId="16" borderId="0" applyNumberFormat="0" applyBorder="0" applyProtection="0"/>
    <xf numFmtId="41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263" fontId="41" fillId="9" borderId="0" applyFont="0"/>
    <xf numFmtId="0" fontId="3" fillId="0" borderId="0" applyNumberFormat="0" applyFill="0" applyBorder="0" applyAlignment="0" applyProtection="0">
      <alignment vertical="top"/>
      <protection locked="0"/>
    </xf>
    <xf numFmtId="0" fontId="16" fillId="60" borderId="0" applyNumberFormat="0" applyFont="0" applyBorder="0" applyProtection="0"/>
    <xf numFmtId="0" fontId="186" fillId="0" borderId="19" applyNumberFormat="0" applyBorder="0" applyProtection="0">
      <alignment horizontal="right" vertical="center"/>
    </xf>
    <xf numFmtId="0" fontId="144" fillId="0" borderId="40" applyNumberFormat="0" applyFill="0" applyAlignment="0" applyProtection="0"/>
    <xf numFmtId="0" fontId="154" fillId="0" borderId="32" applyNumberFormat="0" applyFill="0" applyAlignment="0" applyProtection="0"/>
    <xf numFmtId="0" fontId="187" fillId="61" borderId="0" applyNumberFormat="0" applyBorder="0" applyProtection="0">
      <alignment horizontal="left" vertical="center"/>
    </xf>
    <xf numFmtId="3" fontId="3" fillId="0" borderId="0"/>
    <xf numFmtId="275" fontId="3" fillId="0" borderId="0" applyFont="0" applyFill="0" applyBorder="0" applyAlignment="0" applyProtection="0"/>
    <xf numFmtId="268" fontId="3" fillId="0" borderId="0" applyFont="0" applyFill="0" applyBorder="0" applyAlignment="0" applyProtection="0"/>
    <xf numFmtId="216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72" fontId="5" fillId="0" borderId="21" applyFont="0" applyFill="0" applyBorder="0" applyAlignment="0" applyProtection="0">
      <alignment horizontal="center"/>
    </xf>
    <xf numFmtId="3" fontId="111" fillId="0" borderId="0"/>
    <xf numFmtId="3" fontId="188" fillId="0" borderId="0"/>
    <xf numFmtId="3" fontId="111" fillId="0" borderId="0"/>
    <xf numFmtId="220" fontId="3" fillId="0" borderId="0" applyFont="0" applyFill="0" applyBorder="0" applyAlignment="0" applyProtection="0"/>
    <xf numFmtId="221" fontId="3" fillId="0" borderId="0" applyFont="0" applyFill="0" applyBorder="0" applyAlignment="0" applyProtection="0"/>
    <xf numFmtId="276" fontId="164" fillId="0" borderId="0">
      <protection locked="0"/>
    </xf>
    <xf numFmtId="213" fontId="3" fillId="0" borderId="0" applyFont="0" applyFill="0" applyBorder="0">
      <alignment horizontal="right"/>
    </xf>
    <xf numFmtId="0" fontId="189" fillId="32" borderId="0" applyNumberFormat="0" applyBorder="0" applyAlignment="0" applyProtection="0"/>
    <xf numFmtId="0" fontId="190" fillId="32" borderId="0" applyNumberFormat="0" applyBorder="0" applyAlignment="0" applyProtection="0"/>
    <xf numFmtId="0" fontId="190" fillId="32" borderId="0" applyNumberFormat="0" applyBorder="0" applyAlignment="0" applyProtection="0"/>
    <xf numFmtId="0" fontId="191" fillId="62" borderId="0" applyAlignment="0"/>
    <xf numFmtId="0" fontId="86" fillId="63" borderId="0" applyAlignment="0"/>
    <xf numFmtId="0" fontId="192" fillId="0" borderId="0" applyAlignment="0"/>
    <xf numFmtId="0" fontId="94" fillId="0" borderId="0"/>
    <xf numFmtId="1" fontId="111" fillId="0" borderId="0"/>
    <xf numFmtId="0" fontId="2" fillId="0" borderId="0"/>
    <xf numFmtId="0" fontId="2" fillId="0" borderId="0"/>
    <xf numFmtId="0" fontId="2" fillId="0" borderId="0"/>
    <xf numFmtId="3" fontId="3" fillId="0" borderId="0"/>
    <xf numFmtId="0" fontId="19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3" fillId="0" borderId="0" applyNumberFormat="0" applyFill="0" applyBorder="0" applyAlignment="0" applyProtection="0"/>
    <xf numFmtId="0" fontId="2" fillId="0" borderId="0"/>
    <xf numFmtId="0" fontId="68" fillId="32" borderId="41" applyNumberFormat="0" applyFont="0" applyAlignment="0" applyProtection="0"/>
    <xf numFmtId="0" fontId="139" fillId="32" borderId="35" applyNumberFormat="0" applyFont="0" applyAlignment="0" applyProtection="0"/>
    <xf numFmtId="3" fontId="68" fillId="0" borderId="0" applyBorder="0"/>
    <xf numFmtId="166" fontId="3" fillId="0" borderId="0"/>
    <xf numFmtId="0" fontId="194" fillId="0" borderId="0">
      <alignment horizontal="left"/>
    </xf>
    <xf numFmtId="0" fontId="151" fillId="16" borderId="42" applyNumberFormat="0" applyAlignment="0" applyProtection="0"/>
    <xf numFmtId="0" fontId="151" fillId="16" borderId="42" applyNumberFormat="0" applyAlignment="0" applyProtection="0"/>
    <xf numFmtId="0" fontId="151" fillId="16" borderId="42" applyNumberFormat="0" applyAlignment="0" applyProtection="0"/>
    <xf numFmtId="0" fontId="151" fillId="16" borderId="42" applyNumberFormat="0" applyAlignment="0" applyProtection="0"/>
    <xf numFmtId="0" fontId="151" fillId="16" borderId="42" applyNumberFormat="0" applyAlignment="0" applyProtection="0"/>
    <xf numFmtId="0" fontId="195" fillId="16" borderId="43" applyNumberFormat="0" applyAlignment="0" applyProtection="0"/>
    <xf numFmtId="0" fontId="151" fillId="16" borderId="42" applyNumberFormat="0" applyAlignment="0" applyProtection="0"/>
    <xf numFmtId="0" fontId="151" fillId="16" borderId="42" applyNumberFormat="0" applyAlignment="0" applyProtection="0"/>
    <xf numFmtId="0" fontId="151" fillId="16" borderId="42" applyNumberFormat="0" applyAlignment="0" applyProtection="0"/>
    <xf numFmtId="0" fontId="151" fillId="16" borderId="42" applyNumberFormat="0" applyAlignment="0" applyProtection="0"/>
    <xf numFmtId="0" fontId="14" fillId="0" borderId="0">
      <alignment vertical="center"/>
    </xf>
    <xf numFmtId="2" fontId="79" fillId="0" borderId="12" applyNumberFormat="0" applyFill="0" applyProtection="0">
      <alignment horizontal="right" vertical="center"/>
      <protection locked="0"/>
    </xf>
    <xf numFmtId="9" fontId="163" fillId="11" borderId="0"/>
    <xf numFmtId="167" fontId="163" fillId="11" borderId="0"/>
    <xf numFmtId="167" fontId="163" fillId="11" borderId="0"/>
    <xf numFmtId="167" fontId="163" fillId="11" borderId="0"/>
    <xf numFmtId="167" fontId="163" fillId="11" borderId="0"/>
    <xf numFmtId="167" fontId="163" fillId="11" borderId="0"/>
    <xf numFmtId="167" fontId="163" fillId="11" borderId="0"/>
    <xf numFmtId="167" fontId="163" fillId="11" borderId="0"/>
    <xf numFmtId="167" fontId="163" fillId="11" borderId="0"/>
    <xf numFmtId="167" fontId="163" fillId="11" borderId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43" fillId="54" borderId="0"/>
    <xf numFmtId="167" fontId="143" fillId="54" borderId="0"/>
    <xf numFmtId="10" fontId="143" fillId="54" borderId="0"/>
    <xf numFmtId="9" fontId="161" fillId="3" borderId="0"/>
    <xf numFmtId="9" fontId="196" fillId="55" borderId="0"/>
    <xf numFmtId="167" fontId="196" fillId="55" borderId="0"/>
    <xf numFmtId="9" fontId="153" fillId="0" borderId="19" applyNumberFormat="0" applyBorder="0" applyProtection="0">
      <alignment horizontal="right" vertical="center"/>
    </xf>
    <xf numFmtId="167" fontId="153" fillId="0" borderId="19" applyNumberFormat="0" applyBorder="0" applyProtection="0"/>
    <xf numFmtId="10" fontId="153" fillId="0" borderId="19" applyNumberFormat="0" applyBorder="0" applyProtection="0"/>
    <xf numFmtId="3" fontId="35" fillId="0" borderId="0" applyFont="0"/>
    <xf numFmtId="1" fontId="111" fillId="0" borderId="0"/>
    <xf numFmtId="0" fontId="197" fillId="0" borderId="0"/>
    <xf numFmtId="277" fontId="164" fillId="0" borderId="0">
      <protection locked="0"/>
    </xf>
    <xf numFmtId="243" fontId="10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87" fillId="0" borderId="6">
      <alignment horizontal="right"/>
    </xf>
    <xf numFmtId="168" fontId="56" fillId="19" borderId="16">
      <alignment horizontal="right"/>
    </xf>
    <xf numFmtId="278" fontId="3" fillId="0" borderId="0" applyFont="0" applyFill="0" applyBorder="0">
      <alignment horizontal="right"/>
    </xf>
    <xf numFmtId="279" fontId="3" fillId="0" borderId="0" applyFont="0" applyFill="0" applyBorder="0">
      <alignment horizontal="right"/>
    </xf>
    <xf numFmtId="49" fontId="68" fillId="0" borderId="0">
      <alignment horizontal="right"/>
    </xf>
    <xf numFmtId="0" fontId="3" fillId="0" borderId="0">
      <alignment horizontal="right"/>
    </xf>
    <xf numFmtId="167" fontId="163" fillId="11" borderId="0"/>
    <xf numFmtId="167" fontId="163" fillId="51" borderId="0"/>
    <xf numFmtId="167" fontId="143" fillId="54" borderId="0"/>
    <xf numFmtId="0" fontId="3" fillId="55" borderId="0" applyNumberFormat="0" applyFont="0" applyBorder="0" applyAlignment="0" applyProtection="0"/>
    <xf numFmtId="0" fontId="9" fillId="0" borderId="0"/>
    <xf numFmtId="0" fontId="9" fillId="0" borderId="44">
      <alignment horizontal="centerContinuous"/>
    </xf>
    <xf numFmtId="0" fontId="171" fillId="34" borderId="0" applyNumberFormat="0" applyBorder="0" applyAlignment="0" applyProtection="0"/>
    <xf numFmtId="0" fontId="198" fillId="64" borderId="0" applyAlignment="0"/>
    <xf numFmtId="0" fontId="91" fillId="4" borderId="16">
      <alignment horizontal="center" vertical="center" wrapText="1"/>
      <protection hidden="1"/>
    </xf>
    <xf numFmtId="168" fontId="16" fillId="0" borderId="12" applyFont="0" applyFill="0" applyBorder="0" applyAlignment="0" applyProtection="0">
      <alignment horizontal="right"/>
    </xf>
    <xf numFmtId="232" fontId="199" fillId="65" borderId="0" applyNumberFormat="0" applyFont="0" applyBorder="0" applyAlignment="0"/>
    <xf numFmtId="232" fontId="148" fillId="66" borderId="0" applyBorder="0"/>
    <xf numFmtId="280" fontId="16" fillId="55" borderId="16" applyProtection="0"/>
    <xf numFmtId="0" fontId="195" fillId="16" borderId="43" applyNumberFormat="0" applyAlignment="0" applyProtection="0"/>
    <xf numFmtId="3" fontId="12" fillId="0" borderId="0"/>
    <xf numFmtId="0" fontId="84" fillId="0" borderId="44"/>
    <xf numFmtId="3" fontId="13" fillId="0" borderId="0"/>
    <xf numFmtId="0" fontId="141" fillId="67" borderId="0"/>
    <xf numFmtId="0" fontId="200" fillId="15" borderId="0"/>
    <xf numFmtId="0" fontId="3" fillId="0" borderId="0"/>
    <xf numFmtId="0" fontId="3" fillId="0" borderId="0"/>
    <xf numFmtId="0" fontId="3" fillId="0" borderId="0">
      <alignment vertical="top"/>
    </xf>
    <xf numFmtId="168" fontId="12" fillId="0" borderId="0" applyProtection="0">
      <alignment horizontal="right" vertical="center"/>
    </xf>
    <xf numFmtId="0" fontId="201" fillId="0" borderId="0" applyAlignment="0"/>
    <xf numFmtId="0" fontId="202" fillId="0" borderId="0" applyAlignment="0"/>
    <xf numFmtId="0" fontId="203" fillId="0" borderId="9" applyNumberFormat="0" applyFill="0" applyBorder="0" applyAlignment="0" applyProtection="0"/>
    <xf numFmtId="0" fontId="73" fillId="1" borderId="27" applyNumberFormat="0" applyBorder="0" applyAlignment="0"/>
    <xf numFmtId="0" fontId="3" fillId="0" borderId="0" applyNumberFormat="0" applyFill="0" applyBorder="0"/>
    <xf numFmtId="167" fontId="5" fillId="0" borderId="0" applyNumberFormat="0" applyFill="0" applyBorder="0"/>
    <xf numFmtId="167" fontId="118" fillId="0" borderId="12" applyNumberFormat="0" applyFill="0" applyBorder="0"/>
    <xf numFmtId="232" fontId="199" fillId="8" borderId="0" applyNumberFormat="0" applyFont="0"/>
    <xf numFmtId="202" fontId="107" fillId="0" borderId="12" applyBorder="0" applyProtection="0">
      <alignment horizontal="right" vertical="center"/>
    </xf>
    <xf numFmtId="0" fontId="108" fillId="20" borderId="12" applyBorder="0" applyProtection="0">
      <alignment horizontal="centerContinuous" vertical="center"/>
    </xf>
    <xf numFmtId="0" fontId="19" fillId="0" borderId="12" applyNumberFormat="0" applyFill="0" applyProtection="0">
      <alignment horizontal="right" vertical="center"/>
      <protection locked="0"/>
    </xf>
    <xf numFmtId="3" fontId="204" fillId="0" borderId="0" applyNumberFormat="0"/>
    <xf numFmtId="167" fontId="3" fillId="0" borderId="12" applyNumberFormat="0" applyFill="0"/>
    <xf numFmtId="0" fontId="3" fillId="0" borderId="0" applyNumberFormat="0" applyBorder="0" applyProtection="0">
      <alignment horizontal="center" wrapText="1"/>
    </xf>
    <xf numFmtId="0" fontId="25" fillId="0" borderId="0" applyAlignment="0"/>
    <xf numFmtId="0" fontId="205" fillId="0" borderId="0" applyNumberFormat="0" applyFill="0" applyBorder="0" applyAlignment="0" applyProtection="0"/>
    <xf numFmtId="0" fontId="90" fillId="0" borderId="0" applyAlignment="0"/>
    <xf numFmtId="0" fontId="34" fillId="0" borderId="0" applyAlignment="0"/>
    <xf numFmtId="0" fontId="206" fillId="0" borderId="0" applyNumberFormat="0" applyFill="0" applyBorder="0" applyAlignment="0" applyProtection="0"/>
    <xf numFmtId="0" fontId="207" fillId="61" borderId="0" applyNumberFormat="0" applyBorder="0" applyProtection="0">
      <alignment horizontal="left"/>
    </xf>
    <xf numFmtId="3" fontId="208" fillId="0" borderId="0"/>
    <xf numFmtId="0" fontId="209" fillId="0" borderId="19" applyNumberFormat="0" applyBorder="0" applyProtection="0">
      <alignment wrapText="1"/>
    </xf>
    <xf numFmtId="14" fontId="210" fillId="49" borderId="0" applyNumberFormat="0" applyBorder="0" applyProtection="0">
      <alignment horizontal="center" vertical="center"/>
    </xf>
    <xf numFmtId="0" fontId="211" fillId="49" borderId="19" applyNumberFormat="0" applyBorder="0" applyProtection="0">
      <alignment horizontal="centerContinuous" vertical="center" wrapText="1"/>
    </xf>
    <xf numFmtId="14" fontId="212" fillId="2" borderId="0" applyNumberFormat="0" applyBorder="0" applyProtection="0">
      <alignment horizontal="right" vertical="center"/>
    </xf>
    <xf numFmtId="281" fontId="212" fillId="16" borderId="19" applyNumberFormat="0" applyBorder="0" applyProtection="0"/>
    <xf numFmtId="0" fontId="213" fillId="0" borderId="0" applyAlignment="0"/>
    <xf numFmtId="14" fontId="210" fillId="49" borderId="45" applyNumberFormat="0" applyBorder="0" applyProtection="0">
      <alignment horizontal="left" vertical="center" wrapText="1"/>
    </xf>
    <xf numFmtId="167" fontId="5" fillId="0" borderId="12" applyNumberFormat="0" applyFill="0" applyBorder="0"/>
    <xf numFmtId="0" fontId="206" fillId="0" borderId="0" applyNumberFormat="0" applyFill="0" applyBorder="0" applyAlignment="0" applyProtection="0"/>
    <xf numFmtId="0" fontId="173" fillId="0" borderId="36" applyNumberFormat="0" applyFill="0" applyAlignment="0" applyProtection="0"/>
    <xf numFmtId="0" fontId="175" fillId="0" borderId="37" applyNumberFormat="0" applyFill="0" applyAlignment="0" applyProtection="0"/>
    <xf numFmtId="0" fontId="176" fillId="0" borderId="39" applyNumberFormat="0" applyFill="0" applyAlignment="0" applyProtection="0"/>
    <xf numFmtId="0" fontId="176" fillId="0" borderId="0" applyNumberFormat="0" applyFill="0" applyBorder="0" applyAlignment="0" applyProtection="0"/>
    <xf numFmtId="1" fontId="16" fillId="68" borderId="0" applyNumberFormat="0" applyFont="0" applyBorder="0" applyProtection="0">
      <alignment horizontal="left"/>
    </xf>
    <xf numFmtId="232" fontId="214" fillId="66" borderId="0" applyFill="0" applyBorder="0"/>
    <xf numFmtId="0" fontId="204" fillId="0" borderId="21">
      <alignment horizontal="right" wrapText="1"/>
    </xf>
    <xf numFmtId="172" fontId="3" fillId="0" borderId="15" applyNumberFormat="0" applyFont="0" applyFill="0" applyAlignment="0"/>
    <xf numFmtId="263" fontId="196" fillId="55" borderId="0"/>
    <xf numFmtId="265" fontId="196" fillId="55" borderId="0"/>
    <xf numFmtId="266" fontId="215" fillId="55" borderId="0"/>
    <xf numFmtId="267" fontId="196" fillId="55" borderId="0"/>
    <xf numFmtId="270" fontId="164" fillId="0" borderId="46">
      <protection locked="0"/>
    </xf>
    <xf numFmtId="270" fontId="164" fillId="0" borderId="46">
      <protection locked="0"/>
    </xf>
    <xf numFmtId="270" fontId="164" fillId="0" borderId="46">
      <protection locked="0"/>
    </xf>
    <xf numFmtId="270" fontId="164" fillId="0" borderId="46">
      <protection locked="0"/>
    </xf>
    <xf numFmtId="270" fontId="164" fillId="0" borderId="46">
      <protection locked="0"/>
    </xf>
    <xf numFmtId="0" fontId="216" fillId="0" borderId="47" applyNumberFormat="0" applyFill="0" applyAlignment="0" applyProtection="0"/>
    <xf numFmtId="270" fontId="164" fillId="0" borderId="46">
      <protection locked="0"/>
    </xf>
    <xf numFmtId="270" fontId="164" fillId="0" borderId="46">
      <protection locked="0"/>
    </xf>
    <xf numFmtId="270" fontId="164" fillId="0" borderId="46">
      <protection locked="0"/>
    </xf>
    <xf numFmtId="270" fontId="164" fillId="0" borderId="46">
      <protection locked="0"/>
    </xf>
    <xf numFmtId="3" fontId="204" fillId="0" borderId="12" applyNumberFormat="0"/>
    <xf numFmtId="232" fontId="117" fillId="0" borderId="0" applyNumberFormat="0"/>
    <xf numFmtId="3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0" fontId="157" fillId="52" borderId="34" applyNumberFormat="0" applyAlignment="0" applyProtection="0"/>
    <xf numFmtId="0" fontId="144" fillId="0" borderId="0" applyNumberFormat="0" applyFill="0" applyBorder="0" applyAlignment="0" applyProtection="0"/>
    <xf numFmtId="258" fontId="126" fillId="0" borderId="12" applyFont="0">
      <alignment horizontal="right"/>
    </xf>
    <xf numFmtId="259" fontId="16" fillId="0" borderId="12">
      <alignment horizontal="right"/>
    </xf>
    <xf numFmtId="181" fontId="55" fillId="25" borderId="16" applyNumberFormat="0" applyAlignment="0">
      <alignment horizontal="right"/>
    </xf>
    <xf numFmtId="181" fontId="56" fillId="25" borderId="16" applyNumberFormat="0" applyAlignment="0">
      <alignment horizontal="right"/>
    </xf>
    <xf numFmtId="282" fontId="217" fillId="0" borderId="0" applyFont="0" applyFill="0" applyBorder="0" applyAlignment="0" applyProtection="0"/>
    <xf numFmtId="0" fontId="217" fillId="0" borderId="0" applyFont="0" applyFill="0" applyBorder="0" applyAlignment="0" applyProtection="0"/>
    <xf numFmtId="0" fontId="218" fillId="0" borderId="0"/>
    <xf numFmtId="0" fontId="219" fillId="0" borderId="0"/>
    <xf numFmtId="4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 applyNumberFormat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3" fontId="3" fillId="0" borderId="0" applyFont="0" applyFill="0" applyBorder="0" applyAlignment="0" applyProtection="0"/>
    <xf numFmtId="174" fontId="3" fillId="0" borderId="0" applyFont="0" applyFill="0" applyBorder="0" applyAlignment="0" applyProtection="0"/>
    <xf numFmtId="39" fontId="3" fillId="0" borderId="0" applyFont="0" applyFill="0" applyBorder="0" applyAlignment="0" applyProtection="0"/>
    <xf numFmtId="175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0" fontId="3" fillId="0" borderId="0"/>
    <xf numFmtId="0" fontId="3" fillId="0" borderId="0">
      <alignment horizontal="right"/>
    </xf>
    <xf numFmtId="0" fontId="3" fillId="0" borderId="0" applyNumberFormat="0"/>
    <xf numFmtId="0" fontId="3" fillId="0" borderId="0" applyNumberFormat="0"/>
    <xf numFmtId="0" fontId="3" fillId="0" borderId="5" applyNumberFormat="0"/>
    <xf numFmtId="0" fontId="3" fillId="0" borderId="0" applyFill="0" applyBorder="0" applyProtection="0"/>
    <xf numFmtId="0" fontId="21" fillId="0" borderId="10">
      <protection hidden="1"/>
    </xf>
    <xf numFmtId="0" fontId="22" fillId="2" borderId="10" applyNumberFormat="0" applyFont="0" applyBorder="0" applyAlignment="0" applyProtection="0">
      <protection hidden="1"/>
    </xf>
    <xf numFmtId="238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0" fontId="3" fillId="0" borderId="0" applyBorder="0">
      <alignment horizontal="right"/>
    </xf>
    <xf numFmtId="234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41" fontId="3" fillId="0" borderId="0" applyFill="0" applyBorder="0">
      <alignment horizontal="right"/>
      <protection locked="0"/>
    </xf>
    <xf numFmtId="15" fontId="3" fillId="0" borderId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198" fontId="3" fillId="0" borderId="0" applyFont="0" applyFill="0" applyBorder="0" applyAlignment="0" applyProtection="0"/>
    <xf numFmtId="199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/>
    </xf>
    <xf numFmtId="212" fontId="3" fillId="0" borderId="0" applyFont="0" applyFill="0" applyBorder="0" applyAlignment="0" applyProtection="0"/>
    <xf numFmtId="0" fontId="3" fillId="0" borderId="0" applyFill="0" applyBorder="0">
      <alignment horizontal="right"/>
      <protection locked="0"/>
    </xf>
    <xf numFmtId="165" fontId="3" fillId="0" borderId="0" applyFill="0" applyBorder="0">
      <alignment horizontal="right"/>
      <protection locked="0"/>
    </xf>
    <xf numFmtId="0" fontId="62" fillId="0" borderId="10">
      <alignment horizontal="left"/>
      <protection locked="0"/>
    </xf>
    <xf numFmtId="217" fontId="3" fillId="0" borderId="0" applyFont="0" applyFill="0" applyBorder="0" applyAlignment="0" applyProtection="0"/>
    <xf numFmtId="218" fontId="3" fillId="0" borderId="0" applyFont="0" applyFill="0" applyBorder="0" applyAlignment="0" applyProtection="0"/>
    <xf numFmtId="167" fontId="3" fillId="0" borderId="0"/>
    <xf numFmtId="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2" fontId="3" fillId="0" borderId="0" applyFont="0" applyFill="0" applyBorder="0" applyAlignment="0" applyProtection="0"/>
    <xf numFmtId="189" fontId="3" fillId="0" borderId="0" applyFont="0" applyFill="0" applyBorder="0" applyAlignment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70" fillId="0" borderId="10"/>
    <xf numFmtId="203" fontId="73" fillId="0" borderId="10" applyBorder="0"/>
    <xf numFmtId="203" fontId="74" fillId="0" borderId="10" applyBorder="0"/>
    <xf numFmtId="167" fontId="82" fillId="0" borderId="10" applyBorder="0"/>
    <xf numFmtId="234" fontId="3" fillId="0" borderId="0" applyFont="0" applyFill="0" applyBorder="0" applyAlignment="0" applyProtection="0"/>
    <xf numFmtId="235" fontId="3" fillId="0" borderId="0" applyFont="0" applyFill="0" applyBorder="0" applyAlignment="0" applyProtection="0">
      <protection hidden="1"/>
    </xf>
    <xf numFmtId="236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40" fontId="3" fillId="0" borderId="0" applyFont="0" applyFill="0" applyBorder="0" applyAlignment="0" applyProtection="0"/>
    <xf numFmtId="43" fontId="3" fillId="0" borderId="0" applyFill="0" applyBorder="0">
      <alignment horizontal="right"/>
      <protection locked="0"/>
    </xf>
    <xf numFmtId="15" fontId="3" fillId="0" borderId="0" applyProtection="0"/>
    <xf numFmtId="0" fontId="3" fillId="0" borderId="0">
      <alignment horizontal="right"/>
    </xf>
    <xf numFmtId="247" fontId="3" fillId="0" borderId="0">
      <alignment horizontal="right"/>
      <protection locked="0"/>
    </xf>
    <xf numFmtId="0" fontId="88" fillId="0" borderId="10" applyNumberFormat="0" applyFill="0" applyBorder="0" applyAlignment="0" applyProtection="0">
      <protection hidden="1"/>
    </xf>
    <xf numFmtId="0" fontId="3" fillId="0" borderId="0">
      <alignment horizontal="right"/>
    </xf>
    <xf numFmtId="0" fontId="3" fillId="0" borderId="0">
      <alignment horizontal="right"/>
    </xf>
    <xf numFmtId="0" fontId="3" fillId="0" borderId="0" applyFill="0" applyBorder="0" applyProtection="0">
      <alignment horizontal="right"/>
    </xf>
    <xf numFmtId="164" fontId="3" fillId="0" borderId="0" applyFill="0" applyBorder="0">
      <alignment horizontal="right"/>
      <protection hidden="1"/>
    </xf>
    <xf numFmtId="168" fontId="103" fillId="0" borderId="10" applyBorder="0"/>
    <xf numFmtId="20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0" fontId="28" fillId="2" borderId="10"/>
    <xf numFmtId="49" fontId="3" fillId="0" borderId="13" applyNumberFormat="0">
      <alignment vertical="center"/>
    </xf>
    <xf numFmtId="0" fontId="3" fillId="0" borderId="0" applyNumberFormat="0" applyFont="0" applyBorder="0" applyAlignment="0">
      <protection locked="0"/>
    </xf>
    <xf numFmtId="256" fontId="3" fillId="0" borderId="0">
      <alignment horizontal="right"/>
    </xf>
    <xf numFmtId="49" fontId="3" fillId="0" borderId="29">
      <alignment horizontal="right" vertical="top" wrapText="1"/>
    </xf>
    <xf numFmtId="43" fontId="2" fillId="0" borderId="0" applyFont="0" applyFill="0" applyBorder="0" applyAlignment="0" applyProtection="0"/>
    <xf numFmtId="255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217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15" fontId="3" fillId="0" borderId="0" applyProtection="0"/>
    <xf numFmtId="238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15" fontId="3" fillId="0" borderId="0" applyProtection="0"/>
    <xf numFmtId="15" fontId="3" fillId="0" borderId="0" applyProtection="0"/>
    <xf numFmtId="217" fontId="3" fillId="0" borderId="0" applyFont="0" applyFill="0" applyBorder="0" applyAlignment="0" applyProtection="0"/>
    <xf numFmtId="0" fontId="3" fillId="0" borderId="0">
      <alignment horizontal="right"/>
    </xf>
    <xf numFmtId="237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15" fontId="3" fillId="0" borderId="0" applyProtection="0"/>
    <xf numFmtId="0" fontId="3" fillId="0" borderId="0">
      <alignment horizontal="right"/>
    </xf>
    <xf numFmtId="0" fontId="3" fillId="0" borderId="0">
      <alignment horizontal="right"/>
    </xf>
    <xf numFmtId="237" fontId="3" fillId="0" borderId="0" applyFont="0" applyFill="0" applyBorder="0" applyAlignment="0" applyProtection="0"/>
    <xf numFmtId="0" fontId="3" fillId="0" borderId="0">
      <alignment horizontal="right"/>
    </xf>
    <xf numFmtId="15" fontId="3" fillId="0" borderId="0" applyProtection="0"/>
    <xf numFmtId="217" fontId="3" fillId="0" borderId="0" applyFont="0" applyFill="0" applyBorder="0" applyAlignment="0" applyProtection="0"/>
    <xf numFmtId="0" fontId="3" fillId="0" borderId="0">
      <alignment horizontal="right"/>
    </xf>
    <xf numFmtId="217" fontId="3" fillId="0" borderId="0" applyFont="0" applyFill="0" applyBorder="0" applyAlignment="0" applyProtection="0"/>
    <xf numFmtId="0" fontId="3" fillId="0" borderId="0">
      <alignment horizontal="right"/>
    </xf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15" fontId="3" fillId="0" borderId="0" applyProtection="0"/>
    <xf numFmtId="217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15" fontId="3" fillId="0" borderId="0" applyProtection="0"/>
    <xf numFmtId="234" fontId="3" fillId="0" borderId="0" applyFont="0" applyFill="0" applyBorder="0" applyAlignment="0" applyProtection="0"/>
    <xf numFmtId="0" fontId="3" fillId="0" borderId="0">
      <alignment horizontal="right"/>
    </xf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0" fontId="3" fillId="0" borderId="0">
      <alignment horizontal="right"/>
    </xf>
    <xf numFmtId="237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15" fontId="3" fillId="0" borderId="0" applyProtection="0"/>
    <xf numFmtId="255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15" fontId="3" fillId="0" borderId="0" applyProtection="0"/>
    <xf numFmtId="234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0" fontId="3" fillId="0" borderId="0">
      <alignment horizontal="right"/>
    </xf>
    <xf numFmtId="15" fontId="3" fillId="0" borderId="0" applyProtection="0"/>
    <xf numFmtId="238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217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0" fontId="3" fillId="0" borderId="0">
      <alignment horizontal="right"/>
    </xf>
    <xf numFmtId="15" fontId="3" fillId="0" borderId="0" applyProtection="0"/>
    <xf numFmtId="15" fontId="3" fillId="0" borderId="0" applyProtection="0"/>
    <xf numFmtId="217" fontId="3" fillId="0" borderId="0" applyFont="0" applyFill="0" applyBorder="0" applyAlignment="0" applyProtection="0"/>
    <xf numFmtId="234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0" fontId="3" fillId="0" borderId="0">
      <alignment horizontal="right"/>
    </xf>
    <xf numFmtId="0" fontId="3" fillId="0" borderId="0">
      <alignment horizontal="right"/>
    </xf>
    <xf numFmtId="217" fontId="3" fillId="0" borderId="0" applyFont="0" applyFill="0" applyBorder="0" applyAlignment="0" applyProtection="0"/>
    <xf numFmtId="15" fontId="3" fillId="0" borderId="0" applyProtection="0"/>
    <xf numFmtId="234" fontId="3" fillId="0" borderId="0" applyFont="0" applyFill="0" applyBorder="0" applyAlignment="0" applyProtection="0"/>
    <xf numFmtId="15" fontId="3" fillId="0" borderId="0" applyProtection="0"/>
    <xf numFmtId="217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234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37" fontId="3" fillId="0" borderId="0" applyFont="0" applyFill="0" applyBorder="0" applyAlignment="0" applyProtection="0"/>
    <xf numFmtId="0" fontId="3" fillId="0" borderId="0">
      <alignment horizontal="right"/>
    </xf>
    <xf numFmtId="217" fontId="3" fillId="0" borderId="0" applyFont="0" applyFill="0" applyBorder="0" applyAlignment="0" applyProtection="0"/>
    <xf numFmtId="255" fontId="3" fillId="0" borderId="0" applyFont="0" applyFill="0" applyBorder="0" applyAlignment="0" applyProtection="0"/>
    <xf numFmtId="15" fontId="3" fillId="0" borderId="0" applyProtection="0"/>
    <xf numFmtId="43" fontId="2" fillId="0" borderId="0" applyFont="0" applyFill="0" applyBorder="0" applyAlignment="0" applyProtection="0"/>
    <xf numFmtId="234" fontId="3" fillId="0" borderId="0" applyFont="0" applyFill="0" applyBorder="0" applyAlignment="0" applyProtection="0"/>
    <xf numFmtId="0" fontId="3" fillId="0" borderId="0">
      <alignment horizontal="right"/>
    </xf>
    <xf numFmtId="238" fontId="3" fillId="0" borderId="0" applyFont="0" applyFill="0" applyBorder="0" applyAlignment="0" applyProtection="0"/>
    <xf numFmtId="238" fontId="3" fillId="0" borderId="0" applyFont="0" applyFill="0" applyBorder="0" applyAlignment="0" applyProtection="0"/>
    <xf numFmtId="237" fontId="3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3" fillId="0" borderId="0" xfId="2"/>
    <xf numFmtId="10" fontId="3" fillId="0" borderId="0" xfId="2" applyNumberFormat="1"/>
    <xf numFmtId="0" fontId="5" fillId="0" borderId="0" xfId="2" applyFont="1" applyAlignment="1">
      <alignment horizontal="right"/>
    </xf>
    <xf numFmtId="0" fontId="5" fillId="0" borderId="0" xfId="2" applyFont="1" applyAlignment="1">
      <alignment horizontal="center"/>
    </xf>
    <xf numFmtId="0" fontId="5" fillId="0" borderId="0" xfId="2" applyFont="1"/>
    <xf numFmtId="167" fontId="5" fillId="0" borderId="0" xfId="2" applyNumberFormat="1" applyFont="1" applyAlignment="1">
      <alignment horizontal="right"/>
    </xf>
    <xf numFmtId="167" fontId="5" fillId="0" borderId="0" xfId="2" applyNumberFormat="1" applyFont="1"/>
    <xf numFmtId="0" fontId="6" fillId="0" borderId="0" xfId="2" applyFont="1"/>
    <xf numFmtId="166" fontId="5" fillId="0" borderId="0" xfId="2" applyNumberFormat="1" applyFont="1" applyAlignment="1">
      <alignment horizontal="left"/>
    </xf>
    <xf numFmtId="4" fontId="5" fillId="0" borderId="0" xfId="2" applyNumberFormat="1" applyFont="1" applyAlignment="1">
      <alignment horizontal="right"/>
    </xf>
    <xf numFmtId="169" fontId="5" fillId="0" borderId="0" xfId="4" applyNumberFormat="1" applyFont="1"/>
    <xf numFmtId="4" fontId="8" fillId="0" borderId="0" xfId="2" applyNumberFormat="1" applyFont="1" applyAlignment="1">
      <alignment horizontal="right"/>
    </xf>
    <xf numFmtId="4" fontId="5" fillId="0" borderId="0" xfId="2" applyNumberFormat="1" applyFont="1"/>
    <xf numFmtId="9" fontId="3" fillId="0" borderId="0" xfId="2" applyNumberFormat="1" applyAlignment="1">
      <alignment horizontal="left"/>
    </xf>
    <xf numFmtId="9" fontId="3" fillId="0" borderId="0" xfId="2" applyNumberFormat="1" applyAlignment="1">
      <alignment horizontal="right"/>
    </xf>
    <xf numFmtId="0" fontId="3" fillId="0" borderId="0" xfId="2" applyAlignment="1">
      <alignment horizontal="right"/>
    </xf>
    <xf numFmtId="0" fontId="3" fillId="0" borderId="1" xfId="2" applyBorder="1"/>
    <xf numFmtId="169" fontId="3" fillId="0" borderId="0" xfId="4" applyNumberFormat="1" applyFont="1" applyAlignment="1">
      <alignment horizontal="right"/>
    </xf>
    <xf numFmtId="169" fontId="3" fillId="0" borderId="0" xfId="4" applyNumberFormat="1" applyFont="1" applyBorder="1" applyAlignment="1">
      <alignment horizontal="right"/>
    </xf>
    <xf numFmtId="169" fontId="3" fillId="0" borderId="0" xfId="4" applyNumberFormat="1" applyFont="1"/>
    <xf numFmtId="4" fontId="3" fillId="0" borderId="0" xfId="2" applyNumberFormat="1" applyAlignment="1">
      <alignment horizontal="right"/>
    </xf>
    <xf numFmtId="169" fontId="3" fillId="0" borderId="1" xfId="4" applyNumberFormat="1" applyFont="1" applyBorder="1" applyAlignment="1">
      <alignment horizontal="right"/>
    </xf>
    <xf numFmtId="4" fontId="3" fillId="0" borderId="0" xfId="2" applyNumberFormat="1"/>
    <xf numFmtId="14" fontId="3" fillId="0" borderId="0" xfId="2" applyNumberFormat="1" applyAlignment="1">
      <alignment horizontal="right"/>
    </xf>
    <xf numFmtId="0" fontId="3" fillId="0" borderId="0" xfId="2" applyAlignment="1">
      <alignment horizontal="left"/>
    </xf>
    <xf numFmtId="167" fontId="3" fillId="0" borderId="0" xfId="2" applyNumberFormat="1"/>
    <xf numFmtId="167" fontId="3" fillId="0" borderId="0" xfId="2" applyNumberFormat="1" applyAlignment="1">
      <alignment horizontal="right"/>
    </xf>
    <xf numFmtId="167" fontId="3" fillId="0" borderId="0" xfId="4" applyNumberFormat="1" applyFont="1" applyAlignment="1">
      <alignment horizontal="right"/>
    </xf>
    <xf numFmtId="169" fontId="3" fillId="0" borderId="0" xfId="4" applyNumberFormat="1" applyFont="1" applyBorder="1"/>
    <xf numFmtId="168" fontId="3" fillId="0" borderId="0" xfId="4" applyNumberFormat="1" applyFont="1" applyAlignment="1">
      <alignment horizontal="right"/>
    </xf>
    <xf numFmtId="168" fontId="3" fillId="0" borderId="0" xfId="4" applyNumberFormat="1" applyFont="1"/>
    <xf numFmtId="168" fontId="3" fillId="0" borderId="0" xfId="2" applyNumberFormat="1" applyAlignment="1">
      <alignment horizontal="right"/>
    </xf>
    <xf numFmtId="168" fontId="3" fillId="0" borderId="0" xfId="2" applyNumberFormat="1"/>
    <xf numFmtId="166" fontId="3" fillId="0" borderId="0" xfId="2" applyNumberFormat="1" applyAlignment="1">
      <alignment horizontal="left" indent="1"/>
    </xf>
    <xf numFmtId="10" fontId="3" fillId="0" borderId="0" xfId="2" applyNumberFormat="1" applyAlignment="1">
      <alignment horizontal="right"/>
    </xf>
    <xf numFmtId="4" fontId="3" fillId="0" borderId="0" xfId="2" applyNumberFormat="1" applyAlignment="1">
      <alignment horizontal="left" indent="1"/>
    </xf>
    <xf numFmtId="166" fontId="3" fillId="0" borderId="0" xfId="2" applyNumberFormat="1" applyAlignment="1">
      <alignment horizontal="left"/>
    </xf>
    <xf numFmtId="43" fontId="3" fillId="0" borderId="0" xfId="4" applyFont="1"/>
    <xf numFmtId="166" fontId="3" fillId="0" borderId="0" xfId="2" applyNumberFormat="1" applyAlignment="1">
      <alignment horizontal="left" indent="2"/>
    </xf>
    <xf numFmtId="0" fontId="3" fillId="0" borderId="0" xfId="2" applyAlignment="1">
      <alignment horizontal="left" indent="1"/>
    </xf>
    <xf numFmtId="170" fontId="129" fillId="0" borderId="0" xfId="4" applyNumberFormat="1" applyFont="1" applyBorder="1" applyAlignment="1">
      <alignment horizontal="right"/>
    </xf>
    <xf numFmtId="169" fontId="129" fillId="0" borderId="0" xfId="4" applyNumberFormat="1" applyFont="1" applyBorder="1" applyAlignment="1">
      <alignment horizontal="right"/>
    </xf>
    <xf numFmtId="4" fontId="3" fillId="0" borderId="0" xfId="4" applyNumberFormat="1" applyFont="1" applyAlignment="1">
      <alignment horizontal="right"/>
    </xf>
    <xf numFmtId="4" fontId="130" fillId="0" borderId="0" xfId="2" applyNumberFormat="1" applyFont="1" applyAlignment="1">
      <alignment horizontal="right"/>
    </xf>
    <xf numFmtId="168" fontId="129" fillId="0" borderId="0" xfId="4" applyNumberFormat="1" applyFont="1" applyBorder="1" applyAlignment="1">
      <alignment horizontal="right"/>
    </xf>
    <xf numFmtId="168" fontId="5" fillId="0" borderId="0" xfId="2" applyNumberFormat="1" applyFont="1"/>
    <xf numFmtId="0" fontId="5" fillId="0" borderId="0" xfId="2" applyFont="1" applyAlignment="1">
      <alignment horizontal="left"/>
    </xf>
    <xf numFmtId="0" fontId="3" fillId="0" borderId="0" xfId="2" applyAlignment="1">
      <alignment horizontal="left" indent="3"/>
    </xf>
    <xf numFmtId="4" fontId="3" fillId="0" borderId="0" xfId="2" applyNumberFormat="1" applyAlignment="1">
      <alignment horizontal="left"/>
    </xf>
    <xf numFmtId="168" fontId="3" fillId="0" borderId="0" xfId="4" applyNumberFormat="1" applyFont="1" applyBorder="1" applyAlignment="1">
      <alignment horizontal="right"/>
    </xf>
    <xf numFmtId="168" fontId="130" fillId="0" borderId="0" xfId="2" applyNumberFormat="1" applyFont="1" applyAlignment="1">
      <alignment horizontal="right"/>
    </xf>
    <xf numFmtId="168" fontId="7" fillId="0" borderId="0" xfId="4" applyNumberFormat="1" applyFont="1" applyBorder="1"/>
    <xf numFmtId="168" fontId="3" fillId="0" borderId="0" xfId="4" applyNumberFormat="1" applyFont="1" applyBorder="1"/>
    <xf numFmtId="4" fontId="3" fillId="0" borderId="0" xfId="4" applyNumberFormat="1" applyFont="1" applyBorder="1" applyAlignment="1">
      <alignment horizontal="right"/>
    </xf>
    <xf numFmtId="14" fontId="5" fillId="0" borderId="0" xfId="2" applyNumberFormat="1" applyFont="1" applyAlignment="1">
      <alignment horizontal="right"/>
    </xf>
    <xf numFmtId="4" fontId="7" fillId="0" borderId="0" xfId="4" applyNumberFormat="1" applyFont="1" applyBorder="1" applyAlignment="1">
      <alignment horizontal="right"/>
    </xf>
    <xf numFmtId="0" fontId="132" fillId="0" borderId="0" xfId="0" applyFont="1"/>
    <xf numFmtId="0" fontId="0" fillId="0" borderId="0" xfId="0" applyAlignment="1">
      <alignment horizontal="right" wrapText="1"/>
    </xf>
    <xf numFmtId="0" fontId="0" fillId="0" borderId="0" xfId="0" applyAlignment="1">
      <alignment horizontal="center" wrapText="1"/>
    </xf>
    <xf numFmtId="0" fontId="133" fillId="0" borderId="0" xfId="0" applyFont="1"/>
    <xf numFmtId="3" fontId="0" fillId="0" borderId="0" xfId="0" applyNumberFormat="1"/>
    <xf numFmtId="14" fontId="0" fillId="0" borderId="0" xfId="0" applyNumberFormat="1" applyAlignment="1">
      <alignment horizontal="right"/>
    </xf>
    <xf numFmtId="0" fontId="3" fillId="0" borderId="0" xfId="2" applyAlignment="1">
      <alignment horizontal="left" indent="2"/>
    </xf>
    <xf numFmtId="168" fontId="3" fillId="0" borderId="0" xfId="325" applyNumberFormat="1" applyFont="1" applyBorder="1" applyAlignment="1">
      <alignment horizontal="right"/>
    </xf>
    <xf numFmtId="166" fontId="3" fillId="0" borderId="0" xfId="2" applyNumberFormat="1" applyAlignment="1">
      <alignment horizontal="left" indent="3"/>
    </xf>
    <xf numFmtId="9" fontId="3" fillId="0" borderId="0" xfId="326" applyFont="1" applyAlignment="1">
      <alignment horizontal="right"/>
    </xf>
    <xf numFmtId="0" fontId="134" fillId="0" borderId="0" xfId="327"/>
    <xf numFmtId="0" fontId="0" fillId="0" borderId="0" xfId="0" applyAlignment="1">
      <alignment horizontal="right"/>
    </xf>
    <xf numFmtId="260" fontId="3" fillId="0" borderId="0" xfId="2" applyNumberFormat="1"/>
    <xf numFmtId="0" fontId="3" fillId="0" borderId="0" xfId="2" applyAlignment="1">
      <alignment horizontal="left" indent="4"/>
    </xf>
    <xf numFmtId="168" fontId="3" fillId="26" borderId="0" xfId="4" applyNumberFormat="1" applyFont="1" applyFill="1" applyBorder="1" applyAlignment="1">
      <alignment horizontal="right"/>
    </xf>
    <xf numFmtId="168" fontId="5" fillId="26" borderId="0" xfId="4" applyNumberFormat="1" applyFont="1" applyFill="1" applyBorder="1" applyAlignment="1">
      <alignment horizontal="right"/>
    </xf>
    <xf numFmtId="168" fontId="135" fillId="0" borderId="0" xfId="2" applyNumberFormat="1" applyFont="1" applyAlignment="1">
      <alignment horizontal="lef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3" fontId="5" fillId="0" borderId="30" xfId="4" applyNumberFormat="1" applyFont="1" applyBorder="1"/>
    <xf numFmtId="3" fontId="5" fillId="0" borderId="10" xfId="4" applyNumberFormat="1" applyFont="1" applyBorder="1"/>
    <xf numFmtId="3" fontId="5" fillId="0" borderId="24" xfId="4" applyNumberFormat="1" applyFont="1" applyBorder="1"/>
    <xf numFmtId="169" fontId="3" fillId="0" borderId="0" xfId="4" applyNumberFormat="1" applyFont="1" applyBorder="1" applyAlignment="1">
      <alignment horizontal="left"/>
    </xf>
    <xf numFmtId="14" fontId="136" fillId="0" borderId="0" xfId="0" applyNumberFormat="1" applyFont="1" applyAlignment="1">
      <alignment horizontal="right"/>
    </xf>
    <xf numFmtId="167" fontId="3" fillId="0" borderId="0" xfId="2" applyNumberFormat="1" applyAlignment="1">
      <alignment horizontal="center"/>
    </xf>
    <xf numFmtId="0" fontId="5" fillId="27" borderId="0" xfId="2" applyFont="1" applyFill="1"/>
    <xf numFmtId="167" fontId="5" fillId="27" borderId="0" xfId="2" applyNumberFormat="1" applyFont="1" applyFill="1" applyAlignment="1">
      <alignment horizontal="right"/>
    </xf>
    <xf numFmtId="166" fontId="5" fillId="28" borderId="0" xfId="2" applyNumberFormat="1" applyFont="1" applyFill="1" applyAlignment="1">
      <alignment horizontal="left"/>
    </xf>
    <xf numFmtId="168" fontId="5" fillId="28" borderId="0" xfId="2" applyNumberFormat="1" applyFont="1" applyFill="1" applyAlignment="1">
      <alignment horizontal="right"/>
    </xf>
    <xf numFmtId="166" fontId="5" fillId="28" borderId="0" xfId="2" applyNumberFormat="1" applyFont="1" applyFill="1" applyAlignment="1">
      <alignment horizontal="left" indent="1"/>
    </xf>
    <xf numFmtId="260" fontId="137" fillId="0" borderId="0" xfId="2" applyNumberFormat="1" applyFont="1"/>
    <xf numFmtId="43" fontId="129" fillId="0" borderId="0" xfId="4" applyFont="1" applyBorder="1" applyAlignment="1">
      <alignment horizontal="right"/>
    </xf>
    <xf numFmtId="168" fontId="7" fillId="0" borderId="0" xfId="4" applyNumberFormat="1" applyFont="1" applyBorder="1" applyAlignment="1">
      <alignment horizontal="right"/>
    </xf>
    <xf numFmtId="260" fontId="137" fillId="0" borderId="0" xfId="2" applyNumberFormat="1" applyFont="1" applyAlignment="1">
      <alignment horizontal="right"/>
    </xf>
    <xf numFmtId="166" fontId="0" fillId="0" borderId="0" xfId="0" applyNumberFormat="1" applyAlignment="1">
      <alignment horizontal="left"/>
    </xf>
    <xf numFmtId="0" fontId="3" fillId="0" borderId="0" xfId="2" applyAlignment="1">
      <alignment horizontal="center"/>
    </xf>
    <xf numFmtId="3" fontId="5" fillId="0" borderId="16" xfId="4" applyNumberFormat="1" applyFont="1" applyBorder="1"/>
    <xf numFmtId="168" fontId="8" fillId="0" borderId="0" xfId="2" applyNumberFormat="1" applyFont="1" applyAlignment="1">
      <alignment horizontal="right"/>
    </xf>
    <xf numFmtId="17" fontId="0" fillId="0" borderId="0" xfId="0" applyNumberFormat="1"/>
    <xf numFmtId="283" fontId="3" fillId="0" borderId="0" xfId="4" applyNumberFormat="1" applyFont="1" applyAlignment="1">
      <alignment horizontal="right"/>
    </xf>
    <xf numFmtId="283" fontId="3" fillId="0" borderId="0" xfId="2" applyNumberFormat="1"/>
    <xf numFmtId="3" fontId="3" fillId="0" borderId="0" xfId="2" applyNumberFormat="1" applyAlignment="1">
      <alignment horizontal="right"/>
    </xf>
    <xf numFmtId="9" fontId="3" fillId="0" borderId="0" xfId="2" applyNumberFormat="1"/>
    <xf numFmtId="3" fontId="8" fillId="0" borderId="0" xfId="2" applyNumberFormat="1" applyFont="1" applyAlignment="1">
      <alignment horizontal="right"/>
    </xf>
    <xf numFmtId="167" fontId="3" fillId="0" borderId="0" xfId="4" applyNumberFormat="1" applyFont="1" applyBorder="1" applyAlignment="1">
      <alignment horizontal="right"/>
    </xf>
    <xf numFmtId="283" fontId="3" fillId="0" borderId="0" xfId="4" applyNumberFormat="1" applyFont="1" applyBorder="1" applyAlignment="1">
      <alignment horizontal="right"/>
    </xf>
    <xf numFmtId="9" fontId="3" fillId="0" borderId="0" xfId="326" applyFont="1" applyBorder="1" applyAlignment="1">
      <alignment horizontal="right"/>
    </xf>
    <xf numFmtId="260" fontId="3" fillId="0" borderId="0" xfId="2" applyNumberFormat="1" applyAlignment="1">
      <alignment horizontal="right"/>
    </xf>
    <xf numFmtId="9" fontId="3" fillId="0" borderId="0" xfId="4" applyNumberFormat="1" applyFont="1" applyBorder="1" applyAlignment="1">
      <alignment horizontal="right"/>
    </xf>
    <xf numFmtId="4" fontId="6" fillId="0" borderId="0" xfId="2" applyNumberFormat="1" applyFont="1" applyAlignment="1">
      <alignment horizontal="left"/>
    </xf>
    <xf numFmtId="0" fontId="220" fillId="0" borderId="0" xfId="2" applyFont="1"/>
    <xf numFmtId="168" fontId="3" fillId="69" borderId="0" xfId="4" applyNumberFormat="1" applyFont="1" applyFill="1" applyBorder="1" applyAlignment="1">
      <alignment horizontal="right"/>
    </xf>
    <xf numFmtId="0" fontId="133" fillId="0" borderId="0" xfId="0" applyFont="1" applyAlignment="1">
      <alignment horizontal="center"/>
    </xf>
    <xf numFmtId="284" fontId="8" fillId="0" borderId="0" xfId="2" applyNumberFormat="1" applyFont="1" applyAlignment="1">
      <alignment horizontal="right"/>
    </xf>
    <xf numFmtId="288" fontId="129" fillId="0" borderId="0" xfId="325" applyNumberFormat="1" applyFont="1" applyBorder="1" applyAlignment="1">
      <alignment horizontal="right"/>
    </xf>
    <xf numFmtId="0" fontId="5" fillId="70" borderId="0" xfId="2" applyFont="1" applyFill="1"/>
    <xf numFmtId="0" fontId="3" fillId="70" borderId="0" xfId="2" applyFill="1" applyAlignment="1">
      <alignment horizontal="right"/>
    </xf>
    <xf numFmtId="169" fontId="3" fillId="70" borderId="0" xfId="4" applyNumberFormat="1" applyFont="1" applyFill="1"/>
    <xf numFmtId="0" fontId="3" fillId="70" borderId="0" xfId="2" applyFill="1"/>
    <xf numFmtId="0" fontId="5" fillId="0" borderId="0" xfId="2" applyFont="1" applyAlignment="1">
      <alignment horizontal="left" indent="1"/>
    </xf>
    <xf numFmtId="168" fontId="5" fillId="0" borderId="0" xfId="2" applyNumberFormat="1" applyFont="1" applyAlignment="1">
      <alignment horizontal="right"/>
    </xf>
    <xf numFmtId="0" fontId="3" fillId="71" borderId="0" xfId="2" applyFill="1"/>
    <xf numFmtId="284" fontId="5" fillId="0" borderId="0" xfId="325" applyNumberFormat="1" applyFont="1"/>
    <xf numFmtId="168" fontId="130" fillId="0" borderId="0" xfId="2" applyNumberFormat="1" applyFont="1" applyAlignment="1">
      <alignment horizontal="left"/>
    </xf>
    <xf numFmtId="10" fontId="221" fillId="0" borderId="0" xfId="2" applyNumberFormat="1" applyFont="1"/>
    <xf numFmtId="9" fontId="221" fillId="0" borderId="0" xfId="2" applyNumberFormat="1" applyFont="1"/>
    <xf numFmtId="9" fontId="222" fillId="0" borderId="0" xfId="2" applyNumberFormat="1" applyFont="1"/>
    <xf numFmtId="289" fontId="3" fillId="0" borderId="0" xfId="2" applyNumberFormat="1" applyAlignment="1">
      <alignment horizontal="right"/>
    </xf>
    <xf numFmtId="4" fontId="3" fillId="69" borderId="0" xfId="4" applyNumberFormat="1" applyFont="1" applyFill="1" applyBorder="1" applyAlignment="1">
      <alignment horizontal="right"/>
    </xf>
  </cellXfs>
  <cellStyles count="1034">
    <cellStyle name=" 1" xfId="418" xr:uid="{00000000-0005-0000-0000-000000000000}"/>
    <cellStyle name="_x000a_bidires=100_x000a_" xfId="5" xr:uid="{00000000-0005-0000-0000-000001000000}"/>
    <cellStyle name="_x000a_bidires=100_x000a_ 2" xfId="862" xr:uid="{00000000-0005-0000-0000-000002000000}"/>
    <cellStyle name="_x000a_bidires=100_x000a_ 3" xfId="330" xr:uid="{00000000-0005-0000-0000-000003000000}"/>
    <cellStyle name="_x000a_bidires=100_x000d_" xfId="6" xr:uid="{00000000-0005-0000-0000-000004000000}"/>
    <cellStyle name="_x000a_bidires=100_x000d_ 2" xfId="863" xr:uid="{00000000-0005-0000-0000-000005000000}"/>
    <cellStyle name="_x000a_bidires=100_x000d_ 3" xfId="331" xr:uid="{00000000-0005-0000-0000-000006000000}"/>
    <cellStyle name="&quot;X&quot; Men" xfId="7" xr:uid="{00000000-0005-0000-0000-000007000000}"/>
    <cellStyle name="%" xfId="8" xr:uid="{00000000-0005-0000-0000-000008000000}"/>
    <cellStyle name="% 2" xfId="419" xr:uid="{00000000-0005-0000-0000-000009000000}"/>
    <cellStyle name="% 3" xfId="420" xr:uid="{00000000-0005-0000-0000-00000A000000}"/>
    <cellStyle name="% 4" xfId="864" xr:uid="{00000000-0005-0000-0000-00000B000000}"/>
    <cellStyle name="% 5" xfId="332" xr:uid="{00000000-0005-0000-0000-00000C000000}"/>
    <cellStyle name="]_x000a__x000a_Extension=conv.dll_x000a__x000a_MS-DOS Tools Extentions=C:\DOS\MSTOOLS.DLL_x000a__x000a__x000a__x000a_[Settings]_x000a__x000a_UNDELETE.DLL=C:\DOS\MSTOOLS.DLL_x000a__x000a_W" xfId="9" xr:uid="{00000000-0005-0000-0000-00000D000000}"/>
    <cellStyle name="]_x000a__x000a_Extension=conv.dll_x000a__x000a_MS-DOS Tools Extentions=C:\DOS\MSTOOLS.DLL_x000a__x000a__x000a__x000a_[Settings]_x000a__x000a_UNDELETE.DLL=C:\DOS\MSTOOLS.DLL_x000a__x000a_W 2" xfId="865" xr:uid="{00000000-0005-0000-0000-00000E000000}"/>
    <cellStyle name="]_x000a__x000a_Extension=conv.dll_x000a__x000a_MS-DOS Tools Extentions=C:\DOS\MSTOOLS.DLL_x000a__x000a__x000a__x000a_[Settings]_x000a__x000a_UNDELETE.DLL=C:\DOS\MSTOOLS.DLL_x000a__x000a_W 3" xfId="333" xr:uid="{00000000-0005-0000-0000-00000F000000}"/>
    <cellStyle name="_144921" xfId="421" xr:uid="{00000000-0005-0000-0000-000010000000}"/>
    <cellStyle name="_Chapter Template 30-01-02" xfId="422" xr:uid="{00000000-0005-0000-0000-000011000000}"/>
    <cellStyle name="_Chapter Template Feb 22-02" xfId="423" xr:uid="{00000000-0005-0000-0000-000012000000}"/>
    <cellStyle name="_Comma" xfId="10" xr:uid="{00000000-0005-0000-0000-000013000000}"/>
    <cellStyle name="_Comma 2" xfId="866" xr:uid="{00000000-0005-0000-0000-000014000000}"/>
    <cellStyle name="_Comma 3" xfId="334" xr:uid="{00000000-0005-0000-0000-000015000000}"/>
    <cellStyle name="_Currency" xfId="11" xr:uid="{00000000-0005-0000-0000-000016000000}"/>
    <cellStyle name="_Currency 2" xfId="867" xr:uid="{00000000-0005-0000-0000-000017000000}"/>
    <cellStyle name="_Currency 3" xfId="335" xr:uid="{00000000-0005-0000-0000-000018000000}"/>
    <cellStyle name="_Currency_LAFARGE_bk_new_ex Roofing" xfId="12" xr:uid="{00000000-0005-0000-0000-000019000000}"/>
    <cellStyle name="_Currency_LAFARGE_bk_new_ex Roofing 2" xfId="868" xr:uid="{00000000-0005-0000-0000-00001A000000}"/>
    <cellStyle name="_Currency_LAFARGE_bk_new_ex Roofing 3" xfId="336" xr:uid="{00000000-0005-0000-0000-00001B000000}"/>
    <cellStyle name="_Currency_SYMRISE_bk" xfId="13" xr:uid="{00000000-0005-0000-0000-00001C000000}"/>
    <cellStyle name="_Currency_SYMRISE_bk 2" xfId="869" xr:uid="{00000000-0005-0000-0000-00001D000000}"/>
    <cellStyle name="_Currency_SYMRISE_bk 3" xfId="337" xr:uid="{00000000-0005-0000-0000-00001E000000}"/>
    <cellStyle name="_CurrencySpace" xfId="14" xr:uid="{00000000-0005-0000-0000-00001F000000}"/>
    <cellStyle name="_CurrencySpace 2" xfId="870" xr:uid="{00000000-0005-0000-0000-000020000000}"/>
    <cellStyle name="_CurrencySpace 3" xfId="338" xr:uid="{00000000-0005-0000-0000-000021000000}"/>
    <cellStyle name="_Modelo Campofrio" xfId="424" xr:uid="{00000000-0005-0000-0000-000022000000}"/>
    <cellStyle name="_Multiple" xfId="15" xr:uid="{00000000-0005-0000-0000-000023000000}"/>
    <cellStyle name="_Multiple 2" xfId="871" xr:uid="{00000000-0005-0000-0000-000024000000}"/>
    <cellStyle name="_Multiple 3" xfId="339" xr:uid="{00000000-0005-0000-0000-000025000000}"/>
    <cellStyle name="_MultipleSpace" xfId="16" xr:uid="{00000000-0005-0000-0000-000026000000}"/>
    <cellStyle name="_MultipleSpace 2" xfId="872" xr:uid="{00000000-0005-0000-0000-000027000000}"/>
    <cellStyle name="_MultipleSpace 3" xfId="340" xr:uid="{00000000-0005-0000-0000-000028000000}"/>
    <cellStyle name="_Percent" xfId="17" xr:uid="{00000000-0005-0000-0000-000029000000}"/>
    <cellStyle name="_Percent 2" xfId="873" xr:uid="{00000000-0005-0000-0000-00002A000000}"/>
    <cellStyle name="_Percent 3" xfId="341" xr:uid="{00000000-0005-0000-0000-00002B000000}"/>
    <cellStyle name="_PercentSpace" xfId="18" xr:uid="{00000000-0005-0000-0000-00002C000000}"/>
    <cellStyle name="_PercentSpace 2" xfId="874" xr:uid="{00000000-0005-0000-0000-00002D000000}"/>
    <cellStyle name="_PercentSpace 3" xfId="342" xr:uid="{00000000-0005-0000-0000-00002E000000}"/>
    <cellStyle name="_SUMMARY " xfId="425" xr:uid="{00000000-0005-0000-0000-00002F000000}"/>
    <cellStyle name="_TOC Macro File 31-01-02" xfId="426" xr:uid="{00000000-0005-0000-0000-000030000000}"/>
    <cellStyle name="=C:\WINNT35\SYSTEM32\COMMAND.COM" xfId="19" xr:uid="{00000000-0005-0000-0000-000031000000}"/>
    <cellStyle name="=C:\WINNT35\SYSTEM32\COMMAND.COM 2" xfId="427" xr:uid="{00000000-0005-0000-0000-000032000000}"/>
    <cellStyle name="=C:\WINNT35\SYSTEM32\COMMAND.COM 3" xfId="875" xr:uid="{00000000-0005-0000-0000-000033000000}"/>
    <cellStyle name="=C:\WINNT35\SYSTEM32\COMMAND.COM 4" xfId="343" xr:uid="{00000000-0005-0000-0000-000034000000}"/>
    <cellStyle name="ÊÝ [0.00]_×Ö[g" xfId="20" xr:uid="{00000000-0005-0000-0000-000035000000}"/>
    <cellStyle name="ÊÝ_×Ö[g" xfId="21" xr:uid="{00000000-0005-0000-0000-000036000000}"/>
    <cellStyle name="W_\ (2)" xfId="22" xr:uid="{00000000-0005-0000-0000-000037000000}"/>
    <cellStyle name="0" xfId="23" xr:uid="{00000000-0005-0000-0000-000038000000}"/>
    <cellStyle name="0 2" xfId="428" xr:uid="{00000000-0005-0000-0000-000039000000}"/>
    <cellStyle name="0%" xfId="429" xr:uid="{00000000-0005-0000-0000-00003A000000}"/>
    <cellStyle name="0.0" xfId="24" xr:uid="{00000000-0005-0000-0000-00003B000000}"/>
    <cellStyle name="0.0 2" xfId="430" xr:uid="{00000000-0005-0000-0000-00003C000000}"/>
    <cellStyle name="0.0%" xfId="25" xr:uid="{00000000-0005-0000-0000-00003D000000}"/>
    <cellStyle name="0.0_segs" xfId="26" xr:uid="{00000000-0005-0000-0000-00003E000000}"/>
    <cellStyle name="0.00" xfId="27" xr:uid="{00000000-0005-0000-0000-00003F000000}"/>
    <cellStyle name="0.00 2" xfId="431" xr:uid="{00000000-0005-0000-0000-000040000000}"/>
    <cellStyle name="0.00%" xfId="28" xr:uid="{00000000-0005-0000-0000-000041000000}"/>
    <cellStyle name="0.00_segs" xfId="29" xr:uid="{00000000-0005-0000-0000-000042000000}"/>
    <cellStyle name="0_Book4" xfId="30" xr:uid="{00000000-0005-0000-0000-000043000000}"/>
    <cellStyle name="0_Book4_!PLT Model (Current, base case)" xfId="31" xr:uid="{00000000-0005-0000-0000-000044000000}"/>
    <cellStyle name="0_Capex &amp; Depreciation " xfId="432" xr:uid="{00000000-0005-0000-0000-000045000000}"/>
    <cellStyle name="0_Cookson RR" xfId="32" xr:uid="{00000000-0005-0000-0000-000046000000}"/>
    <cellStyle name="0_Valuing BP " xfId="433" xr:uid="{00000000-0005-0000-0000-000047000000}"/>
    <cellStyle name="0_Workings" xfId="434" xr:uid="{00000000-0005-0000-0000-000048000000}"/>
    <cellStyle name="0_Workings 2" xfId="435" xr:uid="{00000000-0005-0000-0000-000049000000}"/>
    <cellStyle name="05 Datum" xfId="33" xr:uid="{00000000-0005-0000-0000-00004A000000}"/>
    <cellStyle name="06 tabel 2 kolom" xfId="34" xr:uid="{00000000-0005-0000-0000-00004B000000}"/>
    <cellStyle name="06 tabel 2 kolom 2" xfId="877" xr:uid="{00000000-0005-0000-0000-00004C000000}"/>
    <cellStyle name="06 tabel 2 kolom 3" xfId="346" xr:uid="{00000000-0005-0000-0000-00004D000000}"/>
    <cellStyle name="07 tabel 5 kolom" xfId="35" xr:uid="{00000000-0005-0000-0000-00004E000000}"/>
    <cellStyle name="07 tabel 5 kolom 2" xfId="878" xr:uid="{00000000-0005-0000-0000-00004F000000}"/>
    <cellStyle name="07 tabel 5 kolom 3" xfId="347" xr:uid="{00000000-0005-0000-0000-000050000000}"/>
    <cellStyle name="1" xfId="436" xr:uid="{00000000-0005-0000-0000-000051000000}"/>
    <cellStyle name="1,comma" xfId="36" xr:uid="{00000000-0005-0000-0000-000052000000}"/>
    <cellStyle name="10 Grijze lijn" xfId="37" xr:uid="{00000000-0005-0000-0000-000053000000}"/>
    <cellStyle name="10 Grijze lijn 2" xfId="879" xr:uid="{00000000-0005-0000-0000-000054000000}"/>
    <cellStyle name="10 Grijze lijn 3" xfId="348" xr:uid="{00000000-0005-0000-0000-000055000000}"/>
    <cellStyle name="1992" xfId="38" xr:uid="{00000000-0005-0000-0000-000056000000}"/>
    <cellStyle name="1parte" xfId="39" xr:uid="{00000000-0005-0000-0000-000057000000}"/>
    <cellStyle name="1parte 2" xfId="437" xr:uid="{00000000-0005-0000-0000-000058000000}"/>
    <cellStyle name="1parte 3" xfId="349" xr:uid="{00000000-0005-0000-0000-000059000000}"/>
    <cellStyle name="20 % - Accent1" xfId="438" xr:uid="{00000000-0005-0000-0000-00005A000000}"/>
    <cellStyle name="20 % - Accent2" xfId="439" xr:uid="{00000000-0005-0000-0000-00005B000000}"/>
    <cellStyle name="20 % - Accent3" xfId="440" xr:uid="{00000000-0005-0000-0000-00005C000000}"/>
    <cellStyle name="20 % - Accent4" xfId="441" xr:uid="{00000000-0005-0000-0000-00005D000000}"/>
    <cellStyle name="20 % - Accent5" xfId="442" xr:uid="{00000000-0005-0000-0000-00005E000000}"/>
    <cellStyle name="20 % - Accent6" xfId="443" xr:uid="{00000000-0005-0000-0000-00005F000000}"/>
    <cellStyle name="20% - Accent1 2" xfId="444" xr:uid="{00000000-0005-0000-0000-000060000000}"/>
    <cellStyle name="20% - Accent1 3" xfId="445" xr:uid="{00000000-0005-0000-0000-000061000000}"/>
    <cellStyle name="20% - Accent2 2" xfId="446" xr:uid="{00000000-0005-0000-0000-000062000000}"/>
    <cellStyle name="20% - Accent2 3" xfId="447" xr:uid="{00000000-0005-0000-0000-000063000000}"/>
    <cellStyle name="20% - Accent3 2" xfId="448" xr:uid="{00000000-0005-0000-0000-000064000000}"/>
    <cellStyle name="20% - Accent3 3" xfId="449" xr:uid="{00000000-0005-0000-0000-000065000000}"/>
    <cellStyle name="20% - Accent4 2" xfId="450" xr:uid="{00000000-0005-0000-0000-000066000000}"/>
    <cellStyle name="20% - Accent4 3" xfId="451" xr:uid="{00000000-0005-0000-0000-000067000000}"/>
    <cellStyle name="20% - Accent5 2" xfId="452" xr:uid="{00000000-0005-0000-0000-000068000000}"/>
    <cellStyle name="20% - Accent5 3" xfId="453" xr:uid="{00000000-0005-0000-0000-000069000000}"/>
    <cellStyle name="20% - Accent6 2" xfId="454" xr:uid="{00000000-0005-0000-0000-00006A000000}"/>
    <cellStyle name="20% - Accent6 3" xfId="455" xr:uid="{00000000-0005-0000-0000-00006B000000}"/>
    <cellStyle name="2parte" xfId="40" xr:uid="{00000000-0005-0000-0000-00006C000000}"/>
    <cellStyle name="2parte 2" xfId="456" xr:uid="{00000000-0005-0000-0000-00006D000000}"/>
    <cellStyle name="40 % - Accent1" xfId="457" xr:uid="{00000000-0005-0000-0000-00006E000000}"/>
    <cellStyle name="40 % - Accent2" xfId="458" xr:uid="{00000000-0005-0000-0000-00006F000000}"/>
    <cellStyle name="40 % - Accent3" xfId="459" xr:uid="{00000000-0005-0000-0000-000070000000}"/>
    <cellStyle name="40 % - Accent4" xfId="460" xr:uid="{00000000-0005-0000-0000-000071000000}"/>
    <cellStyle name="40 % - Accent5" xfId="461" xr:uid="{00000000-0005-0000-0000-000072000000}"/>
    <cellStyle name="40 % - Accent6" xfId="462" xr:uid="{00000000-0005-0000-0000-000073000000}"/>
    <cellStyle name="40% - Accent1 2" xfId="463" xr:uid="{00000000-0005-0000-0000-000074000000}"/>
    <cellStyle name="40% - Accent1 3" xfId="464" xr:uid="{00000000-0005-0000-0000-000075000000}"/>
    <cellStyle name="40% - Accent2 2" xfId="465" xr:uid="{00000000-0005-0000-0000-000076000000}"/>
    <cellStyle name="40% - Accent2 3" xfId="466" xr:uid="{00000000-0005-0000-0000-000077000000}"/>
    <cellStyle name="40% - Accent3 2" xfId="467" xr:uid="{00000000-0005-0000-0000-000078000000}"/>
    <cellStyle name="40% - Accent3 3" xfId="468" xr:uid="{00000000-0005-0000-0000-000079000000}"/>
    <cellStyle name="40% - Accent4 2" xfId="469" xr:uid="{00000000-0005-0000-0000-00007A000000}"/>
    <cellStyle name="40% - Accent4 3" xfId="470" xr:uid="{00000000-0005-0000-0000-00007B000000}"/>
    <cellStyle name="40% - Accent5 2" xfId="471" xr:uid="{00000000-0005-0000-0000-00007C000000}"/>
    <cellStyle name="40% - Accent5 3" xfId="472" xr:uid="{00000000-0005-0000-0000-00007D000000}"/>
    <cellStyle name="40% - Accent6 2" xfId="473" xr:uid="{00000000-0005-0000-0000-00007E000000}"/>
    <cellStyle name="40% - Accent6 3" xfId="474" xr:uid="{00000000-0005-0000-0000-00007F000000}"/>
    <cellStyle name="60 % - Accent1" xfId="475" xr:uid="{00000000-0005-0000-0000-000080000000}"/>
    <cellStyle name="60 % - Accent2" xfId="476" xr:uid="{00000000-0005-0000-0000-000081000000}"/>
    <cellStyle name="60 % - Accent3" xfId="477" xr:uid="{00000000-0005-0000-0000-000082000000}"/>
    <cellStyle name="60 % - Accent4" xfId="478" xr:uid="{00000000-0005-0000-0000-000083000000}"/>
    <cellStyle name="60 % - Accent5" xfId="479" xr:uid="{00000000-0005-0000-0000-000084000000}"/>
    <cellStyle name="60 % - Accent6" xfId="480" xr:uid="{00000000-0005-0000-0000-000085000000}"/>
    <cellStyle name="60% - Accent1 2" xfId="481" xr:uid="{00000000-0005-0000-0000-000086000000}"/>
    <cellStyle name="60% - Accent1 3" xfId="482" xr:uid="{00000000-0005-0000-0000-000087000000}"/>
    <cellStyle name="60% - Accent2 2" xfId="483" xr:uid="{00000000-0005-0000-0000-000088000000}"/>
    <cellStyle name="60% - Accent2 3" xfId="484" xr:uid="{00000000-0005-0000-0000-000089000000}"/>
    <cellStyle name="60% - Accent3 2" xfId="485" xr:uid="{00000000-0005-0000-0000-00008A000000}"/>
    <cellStyle name="60% - Accent3 3" xfId="486" xr:uid="{00000000-0005-0000-0000-00008B000000}"/>
    <cellStyle name="60% - Accent4 2" xfId="487" xr:uid="{00000000-0005-0000-0000-00008C000000}"/>
    <cellStyle name="60% - Accent4 3" xfId="488" xr:uid="{00000000-0005-0000-0000-00008D000000}"/>
    <cellStyle name="60% - Accent5 2" xfId="489" xr:uid="{00000000-0005-0000-0000-00008E000000}"/>
    <cellStyle name="60% - Accent5 3" xfId="490" xr:uid="{00000000-0005-0000-0000-00008F000000}"/>
    <cellStyle name="60% - Accent6 2" xfId="491" xr:uid="{00000000-0005-0000-0000-000090000000}"/>
    <cellStyle name="60% - Accent6 3" xfId="492" xr:uid="{00000000-0005-0000-0000-000091000000}"/>
    <cellStyle name="752131" xfId="493" xr:uid="{00000000-0005-0000-0000-000092000000}"/>
    <cellStyle name="Accent1 2" xfId="494" xr:uid="{00000000-0005-0000-0000-000093000000}"/>
    <cellStyle name="Accent1 3" xfId="495" xr:uid="{00000000-0005-0000-0000-000094000000}"/>
    <cellStyle name="Accent2 2" xfId="496" xr:uid="{00000000-0005-0000-0000-000095000000}"/>
    <cellStyle name="Accent2 3" xfId="497" xr:uid="{00000000-0005-0000-0000-000096000000}"/>
    <cellStyle name="Accent3 2" xfId="498" xr:uid="{00000000-0005-0000-0000-000097000000}"/>
    <cellStyle name="Accent3 3" xfId="499" xr:uid="{00000000-0005-0000-0000-000098000000}"/>
    <cellStyle name="Accent4 2" xfId="500" xr:uid="{00000000-0005-0000-0000-000099000000}"/>
    <cellStyle name="Accent5 2" xfId="501" xr:uid="{00000000-0005-0000-0000-00009A000000}"/>
    <cellStyle name="Accent6 2" xfId="502" xr:uid="{00000000-0005-0000-0000-00009B000000}"/>
    <cellStyle name="Accent6 3" xfId="503" xr:uid="{00000000-0005-0000-0000-00009C000000}"/>
    <cellStyle name="Actions" xfId="504" xr:uid="{00000000-0005-0000-0000-00009D000000}"/>
    <cellStyle name="adj_share" xfId="41" xr:uid="{00000000-0005-0000-0000-00009E000000}"/>
    <cellStyle name="Admin" xfId="505" xr:uid="{00000000-0005-0000-0000-00009F000000}"/>
    <cellStyle name="AFE" xfId="42" xr:uid="{00000000-0005-0000-0000-0000A0000000}"/>
    <cellStyle name="AFE 2" xfId="506" xr:uid="{00000000-0005-0000-0000-0000A1000000}"/>
    <cellStyle name="AFE 3" xfId="507" xr:uid="{00000000-0005-0000-0000-0000A2000000}"/>
    <cellStyle name="AFE 4" xfId="880" xr:uid="{00000000-0005-0000-0000-0000A3000000}"/>
    <cellStyle name="AFE 5" xfId="350" xr:uid="{00000000-0005-0000-0000-0000A4000000}"/>
    <cellStyle name="Afjusted" xfId="43" xr:uid="{00000000-0005-0000-0000-0000A5000000}"/>
    <cellStyle name="Afjusted 2" xfId="508" xr:uid="{00000000-0005-0000-0000-0000A6000000}"/>
    <cellStyle name="Arial 12" xfId="44" xr:uid="{00000000-0005-0000-0000-0000A7000000}"/>
    <cellStyle name="Arial6Bold" xfId="45" xr:uid="{00000000-0005-0000-0000-0000A8000000}"/>
    <cellStyle name="Arial8Bold" xfId="46" xr:uid="{00000000-0005-0000-0000-0000A9000000}"/>
    <cellStyle name="Arial8Italic" xfId="47" xr:uid="{00000000-0005-0000-0000-0000AA000000}"/>
    <cellStyle name="ArialNormal" xfId="48" xr:uid="{00000000-0005-0000-0000-0000AB000000}"/>
    <cellStyle name="Array" xfId="49" xr:uid="{00000000-0005-0000-0000-0000AC000000}"/>
    <cellStyle name="Array 2" xfId="881" xr:uid="{00000000-0005-0000-0000-0000AD000000}"/>
    <cellStyle name="Array Enter" xfId="50" xr:uid="{00000000-0005-0000-0000-0000AE000000}"/>
    <cellStyle name="Array Enter 2" xfId="882" xr:uid="{00000000-0005-0000-0000-0000AF000000}"/>
    <cellStyle name="Arrow" xfId="509" xr:uid="{00000000-0005-0000-0000-0000B0000000}"/>
    <cellStyle name="Assum [0]" xfId="510" xr:uid="{00000000-0005-0000-0000-0000B1000000}"/>
    <cellStyle name="Assum [1]" xfId="511" xr:uid="{00000000-0005-0000-0000-0000B2000000}"/>
    <cellStyle name="Assum percent [0]" xfId="512" xr:uid="{00000000-0005-0000-0000-0000B3000000}"/>
    <cellStyle name="Availability" xfId="51" xr:uid="{00000000-0005-0000-0000-0000B4000000}"/>
    <cellStyle name="Avertissement" xfId="513" xr:uid="{00000000-0005-0000-0000-0000B5000000}"/>
    <cellStyle name="Back_button" xfId="514" xr:uid="{00000000-0005-0000-0000-0000B6000000}"/>
    <cellStyle name="Bad 2" xfId="515" xr:uid="{00000000-0005-0000-0000-0000B7000000}"/>
    <cellStyle name="Bad 3" xfId="516" xr:uid="{00000000-0005-0000-0000-0000B8000000}"/>
    <cellStyle name="BLANCO" xfId="517" xr:uid="{00000000-0005-0000-0000-0000B9000000}"/>
    <cellStyle name="blank" xfId="52" xr:uid="{00000000-0005-0000-0000-0000BA000000}"/>
    <cellStyle name="Bleu" xfId="53" xr:uid="{00000000-0005-0000-0000-0000BB000000}"/>
    <cellStyle name="blue" xfId="54" xr:uid="{00000000-0005-0000-0000-0000BC000000}"/>
    <cellStyle name="Blue 2" xfId="518" xr:uid="{00000000-0005-0000-0000-0000BD000000}"/>
    <cellStyle name="c_HardInc " xfId="519" xr:uid="{00000000-0005-0000-0000-0000BE000000}"/>
    <cellStyle name="Calc [0]" xfId="520" xr:uid="{00000000-0005-0000-0000-0000BF000000}"/>
    <cellStyle name="Calc [1]" xfId="521" xr:uid="{00000000-0005-0000-0000-0000C0000000}"/>
    <cellStyle name="Calc [2]" xfId="522" xr:uid="{00000000-0005-0000-0000-0000C1000000}"/>
    <cellStyle name="Calc [3]" xfId="523" xr:uid="{00000000-0005-0000-0000-0000C2000000}"/>
    <cellStyle name="Calc alt [0]" xfId="524" xr:uid="{00000000-0005-0000-0000-0000C3000000}"/>
    <cellStyle name="Calc alt [1]" xfId="525" xr:uid="{00000000-0005-0000-0000-0000C4000000}"/>
    <cellStyle name="Calc alt [2]" xfId="526" xr:uid="{00000000-0005-0000-0000-0000C5000000}"/>
    <cellStyle name="Calc alt [3]" xfId="527" xr:uid="{00000000-0005-0000-0000-0000C6000000}"/>
    <cellStyle name="Calc_0dp" xfId="55" xr:uid="{00000000-0005-0000-0000-0000C7000000}"/>
    <cellStyle name="Calcul" xfId="528" xr:uid="{00000000-0005-0000-0000-0000C8000000}"/>
    <cellStyle name="Calculation 2" xfId="529" xr:uid="{00000000-0005-0000-0000-0000C9000000}"/>
    <cellStyle name="Calculation 3" xfId="530" xr:uid="{00000000-0005-0000-0000-0000CA000000}"/>
    <cellStyle name="Cell_Gen" xfId="531" xr:uid="{00000000-0005-0000-0000-0000CB000000}"/>
    <cellStyle name="Cellule liée" xfId="532" xr:uid="{00000000-0005-0000-0000-0000CC000000}"/>
    <cellStyle name="Changeable" xfId="533" xr:uid="{00000000-0005-0000-0000-0000CD000000}"/>
    <cellStyle name="Chapter Heading" xfId="56" xr:uid="{00000000-0005-0000-0000-0000CE000000}"/>
    <cellStyle name="ChartingText" xfId="534" xr:uid="{00000000-0005-0000-0000-0000CF000000}"/>
    <cellStyle name="Check Cell 2" xfId="535" xr:uid="{00000000-0005-0000-0000-0000D0000000}"/>
    <cellStyle name="Check Cell 3" xfId="536" xr:uid="{00000000-0005-0000-0000-0000D1000000}"/>
    <cellStyle name="Colhead_left" xfId="57" xr:uid="{00000000-0005-0000-0000-0000D2000000}"/>
    <cellStyle name="ColHeading" xfId="58" xr:uid="{00000000-0005-0000-0000-0000D3000000}"/>
    <cellStyle name="ColumnHeaderNormal" xfId="537" xr:uid="{00000000-0005-0000-0000-0000D4000000}"/>
    <cellStyle name="Comma" xfId="325" builtinId="3"/>
    <cellStyle name="comma - number" xfId="59" xr:uid="{00000000-0005-0000-0000-0000D6000000}"/>
    <cellStyle name="Comma (1)" xfId="60" xr:uid="{00000000-0005-0000-0000-0000D7000000}"/>
    <cellStyle name="Comma ," xfId="61" xr:uid="{00000000-0005-0000-0000-0000D8000000}"/>
    <cellStyle name="Comma , 2" xfId="885" xr:uid="{00000000-0005-0000-0000-0000D9000000}"/>
    <cellStyle name="Comma , 3" xfId="352" xr:uid="{00000000-0005-0000-0000-0000DA000000}"/>
    <cellStyle name="Comma [2]" xfId="62" xr:uid="{00000000-0005-0000-0000-0000DB000000}"/>
    <cellStyle name="comma [zero]" xfId="63" xr:uid="{00000000-0005-0000-0000-0000DC000000}"/>
    <cellStyle name="Comma 0" xfId="64" xr:uid="{00000000-0005-0000-0000-0000DD000000}"/>
    <cellStyle name="Comma 10" xfId="538" xr:uid="{00000000-0005-0000-0000-0000DE000000}"/>
    <cellStyle name="Comma 11" xfId="539" xr:uid="{00000000-0005-0000-0000-0000DF000000}"/>
    <cellStyle name="Comma 12" xfId="540" xr:uid="{00000000-0005-0000-0000-0000E0000000}"/>
    <cellStyle name="Comma 13" xfId="541" xr:uid="{00000000-0005-0000-0000-0000E1000000}"/>
    <cellStyle name="Comma 14" xfId="542" xr:uid="{00000000-0005-0000-0000-0000E2000000}"/>
    <cellStyle name="Comma 15" xfId="543" xr:uid="{00000000-0005-0000-0000-0000E3000000}"/>
    <cellStyle name="Comma 16" xfId="544" xr:uid="{00000000-0005-0000-0000-0000E4000000}"/>
    <cellStyle name="Comma 17" xfId="545" xr:uid="{00000000-0005-0000-0000-0000E5000000}"/>
    <cellStyle name="Comma 18" xfId="546" xr:uid="{00000000-0005-0000-0000-0000E6000000}"/>
    <cellStyle name="Comma 19" xfId="547" xr:uid="{00000000-0005-0000-0000-0000E7000000}"/>
    <cellStyle name="Comma 2" xfId="1" xr:uid="{00000000-0005-0000-0000-0000E8000000}"/>
    <cellStyle name="Comma 2 2" xfId="548" xr:uid="{00000000-0005-0000-0000-0000E9000000}"/>
    <cellStyle name="Comma 2 3" xfId="549" xr:uid="{00000000-0005-0000-0000-0000EA000000}"/>
    <cellStyle name="Comma 20" xfId="938" xr:uid="{00000000-0005-0000-0000-0000EB000000}"/>
    <cellStyle name="Comma 21" xfId="940" xr:uid="{00000000-0005-0000-0000-0000EC000000}"/>
    <cellStyle name="Comma 22" xfId="977" xr:uid="{00000000-0005-0000-0000-0000ED000000}"/>
    <cellStyle name="Comma 23" xfId="403" xr:uid="{00000000-0005-0000-0000-0000EE000000}"/>
    <cellStyle name="Comma 24" xfId="1028" xr:uid="{00000000-0005-0000-0000-0000EF000000}"/>
    <cellStyle name="Comma 25" xfId="1019" xr:uid="{00000000-0005-0000-0000-0000F0000000}"/>
    <cellStyle name="Comma 3" xfId="4" xr:uid="{00000000-0005-0000-0000-0000F1000000}"/>
    <cellStyle name="Comma 3 2" xfId="550" xr:uid="{00000000-0005-0000-0000-0000F2000000}"/>
    <cellStyle name="Comma 3 3" xfId="329" xr:uid="{00000000-0005-0000-0000-0000F3000000}"/>
    <cellStyle name="Comma 4" xfId="417" xr:uid="{00000000-0005-0000-0000-0000F4000000}"/>
    <cellStyle name="Comma 4 2" xfId="551" xr:uid="{00000000-0005-0000-0000-0000F5000000}"/>
    <cellStyle name="Comma 5" xfId="552" xr:uid="{00000000-0005-0000-0000-0000F6000000}"/>
    <cellStyle name="Comma 5 2" xfId="553" xr:uid="{00000000-0005-0000-0000-0000F7000000}"/>
    <cellStyle name="Comma 5 2 2" xfId="554" xr:uid="{00000000-0005-0000-0000-0000F8000000}"/>
    <cellStyle name="Comma 5 3" xfId="555" xr:uid="{00000000-0005-0000-0000-0000F9000000}"/>
    <cellStyle name="Comma 6" xfId="556" xr:uid="{00000000-0005-0000-0000-0000FA000000}"/>
    <cellStyle name="Comma 6 2" xfId="557" xr:uid="{00000000-0005-0000-0000-0000FB000000}"/>
    <cellStyle name="Comma 7" xfId="558" xr:uid="{00000000-0005-0000-0000-0000FC000000}"/>
    <cellStyle name="Comma 8" xfId="559" xr:uid="{00000000-0005-0000-0000-0000FD000000}"/>
    <cellStyle name="Comma 9" xfId="560" xr:uid="{00000000-0005-0000-0000-0000FE000000}"/>
    <cellStyle name="Commentaire" xfId="561" xr:uid="{00000000-0005-0000-0000-0000FF000000}"/>
    <cellStyle name="Company" xfId="65" xr:uid="{00000000-0005-0000-0000-000000010000}"/>
    <cellStyle name="Company Heading" xfId="66" xr:uid="{00000000-0005-0000-0000-000001010000}"/>
    <cellStyle name="Company Heading with borders" xfId="67" xr:uid="{00000000-0005-0000-0000-000002010000}"/>
    <cellStyle name="Company_Book4" xfId="68" xr:uid="{00000000-0005-0000-0000-000003010000}"/>
    <cellStyle name="Comps" xfId="69" xr:uid="{00000000-0005-0000-0000-000004010000}"/>
    <cellStyle name="Comps 2" xfId="887" xr:uid="{00000000-0005-0000-0000-000005010000}"/>
    <cellStyle name="Comps 3" xfId="355" xr:uid="{00000000-0005-0000-0000-000006010000}"/>
    <cellStyle name="Constant" xfId="70" xr:uid="{00000000-0005-0000-0000-000007010000}"/>
    <cellStyle name="Constant 0." xfId="71" xr:uid="{00000000-0005-0000-0000-000008010000}"/>
    <cellStyle name="Constant_Book4" xfId="72" xr:uid="{00000000-0005-0000-0000-000009010000}"/>
    <cellStyle name="CurRatio" xfId="73" xr:uid="{00000000-0005-0000-0000-00000A010000}"/>
    <cellStyle name="CurRatio 2" xfId="888" xr:uid="{00000000-0005-0000-0000-00000B010000}"/>
    <cellStyle name="CurRatio 3" xfId="356" xr:uid="{00000000-0005-0000-0000-00000C010000}"/>
    <cellStyle name="Currency 0" xfId="74" xr:uid="{00000000-0005-0000-0000-00000D010000}"/>
    <cellStyle name="Currency 2" xfId="75" xr:uid="{00000000-0005-0000-0000-00000E010000}"/>
    <cellStyle name="Currency 2 2" xfId="562" xr:uid="{00000000-0005-0000-0000-00000F010000}"/>
    <cellStyle name="Currency 3" xfId="563" xr:uid="{00000000-0005-0000-0000-000010010000}"/>
    <cellStyle name="CURSIVA" xfId="564" xr:uid="{00000000-0005-0000-0000-000011010000}"/>
    <cellStyle name="CUS.Work.Area" xfId="76" xr:uid="{00000000-0005-0000-0000-000012010000}"/>
    <cellStyle name="D" xfId="565" xr:uid="{00000000-0005-0000-0000-000013010000}"/>
    <cellStyle name="Data_0dp" xfId="77" xr:uid="{00000000-0005-0000-0000-000014010000}"/>
    <cellStyle name="Date" xfId="78" xr:uid="{00000000-0005-0000-0000-000015010000}"/>
    <cellStyle name="date [dd mmm]" xfId="79" xr:uid="{00000000-0005-0000-0000-000016010000}"/>
    <cellStyle name="date [dd mmm] 2" xfId="890" xr:uid="{00000000-0005-0000-0000-000017010000}"/>
    <cellStyle name="date [dd mmm] 3" xfId="360" xr:uid="{00000000-0005-0000-0000-000018010000}"/>
    <cellStyle name="date [mmm yy]" xfId="80" xr:uid="{00000000-0005-0000-0000-000019010000}"/>
    <cellStyle name="date [mmm yy] 2" xfId="891" xr:uid="{00000000-0005-0000-0000-00001A010000}"/>
    <cellStyle name="date [mmm yy] 3" xfId="361" xr:uid="{00000000-0005-0000-0000-00001B010000}"/>
    <cellStyle name="date [mmm yyyy]" xfId="81" xr:uid="{00000000-0005-0000-0000-00001C010000}"/>
    <cellStyle name="Date 10" xfId="566" xr:uid="{00000000-0005-0000-0000-00001D010000}"/>
    <cellStyle name="Date 11" xfId="567" xr:uid="{00000000-0005-0000-0000-00001E010000}"/>
    <cellStyle name="Date 12" xfId="889" xr:uid="{00000000-0005-0000-0000-00001F010000}"/>
    <cellStyle name="Date 13" xfId="922" xr:uid="{00000000-0005-0000-0000-000020010000}"/>
    <cellStyle name="Date 14" xfId="359" xr:uid="{00000000-0005-0000-0000-000021010000}"/>
    <cellStyle name="Date 15" xfId="392" xr:uid="{00000000-0005-0000-0000-000022010000}"/>
    <cellStyle name="Date 16" xfId="978" xr:uid="{00000000-0005-0000-0000-000023010000}"/>
    <cellStyle name="Date 17" xfId="986" xr:uid="{00000000-0005-0000-0000-000024010000}"/>
    <cellStyle name="Date 18" xfId="969" xr:uid="{00000000-0005-0000-0000-000025010000}"/>
    <cellStyle name="Date 19" xfId="949" xr:uid="{00000000-0005-0000-0000-000026010000}"/>
    <cellStyle name="Date 2" xfId="568" xr:uid="{00000000-0005-0000-0000-000027010000}"/>
    <cellStyle name="Date 20" xfId="960" xr:uid="{00000000-0005-0000-0000-000028010000}"/>
    <cellStyle name="Date 21" xfId="955" xr:uid="{00000000-0005-0000-0000-000029010000}"/>
    <cellStyle name="Date 22" xfId="412" xr:uid="{00000000-0005-0000-0000-00002A010000}"/>
    <cellStyle name="Date 23" xfId="990" xr:uid="{00000000-0005-0000-0000-00002B010000}"/>
    <cellStyle name="Date 24" xfId="944" xr:uid="{00000000-0005-0000-0000-00002C010000}"/>
    <cellStyle name="Date 25" xfId="948" xr:uid="{00000000-0005-0000-0000-00002D010000}"/>
    <cellStyle name="Date 26" xfId="996" xr:uid="{00000000-0005-0000-0000-00002E010000}"/>
    <cellStyle name="Date 27" xfId="1006" xr:uid="{00000000-0005-0000-0000-00002F010000}"/>
    <cellStyle name="Date 28" xfId="1017" xr:uid="{00000000-0005-0000-0000-000030010000}"/>
    <cellStyle name="Date 29" xfId="1027" xr:uid="{00000000-0005-0000-0000-000031010000}"/>
    <cellStyle name="Date 3" xfId="569" xr:uid="{00000000-0005-0000-0000-000032010000}"/>
    <cellStyle name="Date 30" xfId="1007" xr:uid="{00000000-0005-0000-0000-000033010000}"/>
    <cellStyle name="Date 31" xfId="1015" xr:uid="{00000000-0005-0000-0000-000034010000}"/>
    <cellStyle name="Date 4" xfId="570" xr:uid="{00000000-0005-0000-0000-000035010000}"/>
    <cellStyle name="Date 5" xfId="571" xr:uid="{00000000-0005-0000-0000-000036010000}"/>
    <cellStyle name="Date 6" xfId="572" xr:uid="{00000000-0005-0000-0000-000037010000}"/>
    <cellStyle name="Date 7" xfId="573" xr:uid="{00000000-0005-0000-0000-000038010000}"/>
    <cellStyle name="Date 8" xfId="574" xr:uid="{00000000-0005-0000-0000-000039010000}"/>
    <cellStyle name="Date 9" xfId="575" xr:uid="{00000000-0005-0000-0000-00003A010000}"/>
    <cellStyle name="Date Aligned" xfId="82" xr:uid="{00000000-0005-0000-0000-00003B010000}"/>
    <cellStyle name="Date D-M" xfId="576" xr:uid="{00000000-0005-0000-0000-00003C010000}"/>
    <cellStyle name="Date_!PLT Model (Current) (converge to 2-pager)" xfId="577" xr:uid="{00000000-0005-0000-0000-00003D010000}"/>
    <cellStyle name="Date2" xfId="578" xr:uid="{00000000-0005-0000-0000-00003E010000}"/>
    <cellStyle name="day month" xfId="83" xr:uid="{00000000-0005-0000-0000-00003F010000}"/>
    <cellStyle name="days" xfId="84" xr:uid="{00000000-0005-0000-0000-000040010000}"/>
    <cellStyle name="days 2" xfId="892" xr:uid="{00000000-0005-0000-0000-000041010000}"/>
    <cellStyle name="days 3" xfId="362" xr:uid="{00000000-0005-0000-0000-000042010000}"/>
    <cellStyle name="Dec_0" xfId="85" xr:uid="{00000000-0005-0000-0000-000043010000}"/>
    <cellStyle name="Dec0" xfId="579" xr:uid="{00000000-0005-0000-0000-000044010000}"/>
    <cellStyle name="Dec1" xfId="580" xr:uid="{00000000-0005-0000-0000-000045010000}"/>
    <cellStyle name="Dec2" xfId="581" xr:uid="{00000000-0005-0000-0000-000046010000}"/>
    <cellStyle name="Dec3" xfId="582" xr:uid="{00000000-0005-0000-0000-000047010000}"/>
    <cellStyle name="decimal [3]" xfId="86" xr:uid="{00000000-0005-0000-0000-000048010000}"/>
    <cellStyle name="decimal [3] 2" xfId="893" xr:uid="{00000000-0005-0000-0000-000049010000}"/>
    <cellStyle name="decimal [3] 3" xfId="363" xr:uid="{00000000-0005-0000-0000-00004A010000}"/>
    <cellStyle name="decimal [4]" xfId="87" xr:uid="{00000000-0005-0000-0000-00004B010000}"/>
    <cellStyle name="decimal [4] 2" xfId="894" xr:uid="{00000000-0005-0000-0000-00004C010000}"/>
    <cellStyle name="decimal [4] 3" xfId="364" xr:uid="{00000000-0005-0000-0000-00004D010000}"/>
    <cellStyle name="Default [0]" xfId="583" xr:uid="{00000000-0005-0000-0000-00004E010000}"/>
    <cellStyle name="Default [3]" xfId="584" xr:uid="{00000000-0005-0000-0000-00004F010000}"/>
    <cellStyle name="Dezimal (0.0)" xfId="88" xr:uid="{00000000-0005-0000-0000-000050010000}"/>
    <cellStyle name="Dezimal [0]_CIBA.H12001" xfId="89" xr:uid="{00000000-0005-0000-0000-000051010000}"/>
    <cellStyle name="Dezimal_CIBA.H12001" xfId="90" xr:uid="{00000000-0005-0000-0000-000052010000}"/>
    <cellStyle name="Dia" xfId="585" xr:uid="{00000000-0005-0000-0000-000053010000}"/>
    <cellStyle name="Dollar" xfId="91" xr:uid="{00000000-0005-0000-0000-000054010000}"/>
    <cellStyle name="Dollars" xfId="586" xr:uid="{00000000-0005-0000-0000-000055010000}"/>
    <cellStyle name="Dotted Line" xfId="92" xr:uid="{00000000-0005-0000-0000-000056010000}"/>
    <cellStyle name="Download" xfId="93" xr:uid="{00000000-0005-0000-0000-000057010000}"/>
    <cellStyle name="Download 2" xfId="587" xr:uid="{00000000-0005-0000-0000-000058010000}"/>
    <cellStyle name="Duizenden" xfId="94" xr:uid="{00000000-0005-0000-0000-000059010000}"/>
    <cellStyle name="Eingabe" xfId="95" xr:uid="{00000000-0005-0000-0000-00005A010000}"/>
    <cellStyle name="Encabez1" xfId="588" xr:uid="{00000000-0005-0000-0000-00005B010000}"/>
    <cellStyle name="Encabez2" xfId="589" xr:uid="{00000000-0005-0000-0000-00005C010000}"/>
    <cellStyle name="Entête1" xfId="590" xr:uid="{00000000-0005-0000-0000-00005D010000}"/>
    <cellStyle name="Entête2" xfId="591" xr:uid="{00000000-0005-0000-0000-00005E010000}"/>
    <cellStyle name="Entrée" xfId="592" xr:uid="{00000000-0005-0000-0000-00005F010000}"/>
    <cellStyle name="Entry" xfId="96" xr:uid="{00000000-0005-0000-0000-000060010000}"/>
    <cellStyle name="EstándarE" xfId="593" xr:uid="{00000000-0005-0000-0000-000061010000}"/>
    <cellStyle name="Estimaciones nominal" xfId="594" xr:uid="{00000000-0005-0000-0000-000062010000}"/>
    <cellStyle name="Estimaciones porcentual" xfId="595" xr:uid="{00000000-0005-0000-0000-000063010000}"/>
    <cellStyle name="Estimate" xfId="97" xr:uid="{00000000-0005-0000-0000-000064010000}"/>
    <cellStyle name="Estimate 2" xfId="596" xr:uid="{00000000-0005-0000-0000-000065010000}"/>
    <cellStyle name="Euro" xfId="98" xr:uid="{00000000-0005-0000-0000-000066010000}"/>
    <cellStyle name="Euro 2" xfId="597" xr:uid="{00000000-0005-0000-0000-000067010000}"/>
    <cellStyle name="Euro 3" xfId="598" xr:uid="{00000000-0005-0000-0000-000068010000}"/>
    <cellStyle name="ExchRate" xfId="99" xr:uid="{00000000-0005-0000-0000-000069010000}"/>
    <cellStyle name="export percent [1]" xfId="599" xr:uid="{00000000-0005-0000-0000-00006A010000}"/>
    <cellStyle name="F [0]" xfId="600" xr:uid="{00000000-0005-0000-0000-00006B010000}"/>
    <cellStyle name="F [1]" xfId="601" xr:uid="{00000000-0005-0000-0000-00006C010000}"/>
    <cellStyle name="F [2]" xfId="602" xr:uid="{00000000-0005-0000-0000-00006D010000}"/>
    <cellStyle name="F [3]" xfId="603" xr:uid="{00000000-0005-0000-0000-00006E010000}"/>
    <cellStyle name="fa_data_bold_1_grouped" xfId="415" xr:uid="{00000000-0005-0000-0000-00006F010000}"/>
    <cellStyle name="fact" xfId="604" xr:uid="{00000000-0005-0000-0000-000070010000}"/>
    <cellStyle name="fact 2" xfId="605" xr:uid="{00000000-0005-0000-0000-000071010000}"/>
    <cellStyle name="fact_Feuil1 (8)" xfId="100" xr:uid="{00000000-0005-0000-0000-000072010000}"/>
    <cellStyle name="FakePercentNoDec" xfId="101" xr:uid="{00000000-0005-0000-0000-000073010000}"/>
    <cellStyle name="Fijo" xfId="606" xr:uid="{00000000-0005-0000-0000-000074010000}"/>
    <cellStyle name="Financial" xfId="102" xr:uid="{00000000-0005-0000-0000-000075010000}"/>
    <cellStyle name="Financiero" xfId="607" xr:uid="{00000000-0005-0000-0000-000076010000}"/>
    <cellStyle name="Footnote" xfId="103" xr:uid="{00000000-0005-0000-0000-000077010000}"/>
    <cellStyle name="Formula" xfId="104" xr:uid="{00000000-0005-0000-0000-000078010000}"/>
    <cellStyle name="Formula 0." xfId="105" xr:uid="{00000000-0005-0000-0000-000079010000}"/>
    <cellStyle name="Formula 0.0" xfId="106" xr:uid="{00000000-0005-0000-0000-00007A010000}"/>
    <cellStyle name="Formula 2" xfId="608" xr:uid="{00000000-0005-0000-0000-00007B010000}"/>
    <cellStyle name="Formula 3" xfId="609" xr:uid="{00000000-0005-0000-0000-00007C010000}"/>
    <cellStyle name="Formula_Book4" xfId="107" xr:uid="{00000000-0005-0000-0000-00007D010000}"/>
    <cellStyle name="fourdecplace" xfId="108" xr:uid="{00000000-0005-0000-0000-00007E010000}"/>
    <cellStyle name="Gen_Admin_Black_pD" xfId="610" xr:uid="{00000000-0005-0000-0000-00007F010000}"/>
    <cellStyle name="General" xfId="109" xr:uid="{00000000-0005-0000-0000-000080010000}"/>
    <cellStyle name="Global" xfId="110" xr:uid="{00000000-0005-0000-0000-000081010000}"/>
    <cellStyle name="Good 2" xfId="611" xr:uid="{00000000-0005-0000-0000-000082010000}"/>
    <cellStyle name="Grey" xfId="111" xr:uid="{00000000-0005-0000-0000-000083010000}"/>
    <cellStyle name="GWN Table Body" xfId="112" xr:uid="{00000000-0005-0000-0000-000084010000}"/>
    <cellStyle name="GWN Table Header" xfId="113" xr:uid="{00000000-0005-0000-0000-000085010000}"/>
    <cellStyle name="GWN Table Left Header" xfId="114" xr:uid="{00000000-0005-0000-0000-000086010000}"/>
    <cellStyle name="GWN Table Note" xfId="115" xr:uid="{00000000-0005-0000-0000-000087010000}"/>
    <cellStyle name="GWN Table Title" xfId="116" xr:uid="{00000000-0005-0000-0000-000088010000}"/>
    <cellStyle name="Hard input" xfId="117" xr:uid="{00000000-0005-0000-0000-000089010000}"/>
    <cellStyle name="hard no" xfId="118" xr:uid="{00000000-0005-0000-0000-00008A010000}"/>
    <cellStyle name="hard no 2" xfId="612" xr:uid="{00000000-0005-0000-0000-00008B010000}"/>
    <cellStyle name="hard no 3" xfId="366" xr:uid="{00000000-0005-0000-0000-00008C010000}"/>
    <cellStyle name="hard no." xfId="119" xr:uid="{00000000-0005-0000-0000-00008D010000}"/>
    <cellStyle name="hard no. 2" xfId="613" xr:uid="{00000000-0005-0000-0000-00008E010000}"/>
    <cellStyle name="Hard Percent" xfId="120" xr:uid="{00000000-0005-0000-0000-00008F010000}"/>
    <cellStyle name="Hayden" xfId="121" xr:uid="{00000000-0005-0000-0000-000090010000}"/>
    <cellStyle name="Hayden 2" xfId="614" xr:uid="{00000000-0005-0000-0000-000091010000}"/>
    <cellStyle name="Header" xfId="122" xr:uid="{00000000-0005-0000-0000-000092010000}"/>
    <cellStyle name="Header1" xfId="615" xr:uid="{00000000-0005-0000-0000-000093010000}"/>
    <cellStyle name="Header2" xfId="616" xr:uid="{00000000-0005-0000-0000-000094010000}"/>
    <cellStyle name="Heading" xfId="123" xr:uid="{00000000-0005-0000-0000-000095010000}"/>
    <cellStyle name="Heading (1)" xfId="124" xr:uid="{00000000-0005-0000-0000-000096010000}"/>
    <cellStyle name="Heading 1 2" xfId="617" xr:uid="{00000000-0005-0000-0000-000097010000}"/>
    <cellStyle name="Heading 1 3" xfId="618" xr:uid="{00000000-0005-0000-0000-000098010000}"/>
    <cellStyle name="Heading 2 2" xfId="619" xr:uid="{00000000-0005-0000-0000-000099010000}"/>
    <cellStyle name="Heading 2 3" xfId="620" xr:uid="{00000000-0005-0000-0000-00009A010000}"/>
    <cellStyle name="Heading 3 2" xfId="621" xr:uid="{00000000-0005-0000-0000-00009B010000}"/>
    <cellStyle name="Heading 3 3" xfId="622" xr:uid="{00000000-0005-0000-0000-00009C010000}"/>
    <cellStyle name="Heading 4 2" xfId="623" xr:uid="{00000000-0005-0000-0000-00009D010000}"/>
    <cellStyle name="Heading 5" xfId="624" xr:uid="{00000000-0005-0000-0000-00009E010000}"/>
    <cellStyle name="Heading bar" xfId="125" xr:uid="{00000000-0005-0000-0000-00009F010000}"/>
    <cellStyle name="Heading1" xfId="126" xr:uid="{00000000-0005-0000-0000-0000A0010000}"/>
    <cellStyle name="Heading1 2" xfId="896" xr:uid="{00000000-0005-0000-0000-0000A1010000}"/>
    <cellStyle name="Heading1 3" xfId="367" xr:uid="{00000000-0005-0000-0000-0000A2010000}"/>
    <cellStyle name="Headings" xfId="127" xr:uid="{00000000-0005-0000-0000-0000A3010000}"/>
    <cellStyle name="Headings-Blue bold" xfId="128" xr:uid="{00000000-0005-0000-0000-0000A4010000}"/>
    <cellStyle name="hide" xfId="129" xr:uid="{00000000-0005-0000-0000-0000A5010000}"/>
    <cellStyle name="hide 2" xfId="897" xr:uid="{00000000-0005-0000-0000-0000A6010000}"/>
    <cellStyle name="hide 3" xfId="368" xr:uid="{00000000-0005-0000-0000-0000A7010000}"/>
    <cellStyle name="Hipervínculo_Modelo_IBLA" xfId="625" xr:uid="{00000000-0005-0000-0000-0000A8010000}"/>
    <cellStyle name="Histórico normal" xfId="626" xr:uid="{00000000-0005-0000-0000-0000A9010000}"/>
    <cellStyle name="Hyperlink" xfId="327" builtinId="8"/>
    <cellStyle name="Hyperlink 2" xfId="627" xr:uid="{00000000-0005-0000-0000-0000AB010000}"/>
    <cellStyle name="Import [0]" xfId="628" xr:uid="{00000000-0005-0000-0000-0000AC010000}"/>
    <cellStyle name="Import percent  [1]" xfId="629" xr:uid="{00000000-0005-0000-0000-0000AD010000}"/>
    <cellStyle name="Info_Main" xfId="130" xr:uid="{00000000-0005-0000-0000-0000AE010000}"/>
    <cellStyle name="InLink" xfId="131" xr:uid="{00000000-0005-0000-0000-0000AF010000}"/>
    <cellStyle name="Input [0]" xfId="630" xr:uid="{00000000-0005-0000-0000-0000B0010000}"/>
    <cellStyle name="Input [1]" xfId="631" xr:uid="{00000000-0005-0000-0000-0000B1010000}"/>
    <cellStyle name="Input [2]" xfId="632" xr:uid="{00000000-0005-0000-0000-0000B2010000}"/>
    <cellStyle name="Input [3]" xfId="633" xr:uid="{00000000-0005-0000-0000-0000B3010000}"/>
    <cellStyle name="Input [yellow]" xfId="132" xr:uid="{00000000-0005-0000-0000-0000B4010000}"/>
    <cellStyle name="Input [yellow] 2" xfId="634" xr:uid="{00000000-0005-0000-0000-0000B5010000}"/>
    <cellStyle name="Input 10" xfId="635" xr:uid="{00000000-0005-0000-0000-0000B6010000}"/>
    <cellStyle name="Input 11" xfId="636" xr:uid="{00000000-0005-0000-0000-0000B7010000}"/>
    <cellStyle name="Input 2" xfId="637" xr:uid="{00000000-0005-0000-0000-0000B8010000}"/>
    <cellStyle name="Input 3" xfId="638" xr:uid="{00000000-0005-0000-0000-0000B9010000}"/>
    <cellStyle name="Input 4" xfId="639" xr:uid="{00000000-0005-0000-0000-0000BA010000}"/>
    <cellStyle name="Input 5" xfId="640" xr:uid="{00000000-0005-0000-0000-0000BB010000}"/>
    <cellStyle name="Input 6" xfId="641" xr:uid="{00000000-0005-0000-0000-0000BC010000}"/>
    <cellStyle name="Input 7" xfId="642" xr:uid="{00000000-0005-0000-0000-0000BD010000}"/>
    <cellStyle name="Input 8" xfId="643" xr:uid="{00000000-0005-0000-0000-0000BE010000}"/>
    <cellStyle name="Input 9" xfId="644" xr:uid="{00000000-0005-0000-0000-0000BF010000}"/>
    <cellStyle name="Input1dp" xfId="133" xr:uid="{00000000-0005-0000-0000-0000C0010000}"/>
    <cellStyle name="InputBlueFont" xfId="134" xr:uid="{00000000-0005-0000-0000-0000C1010000}"/>
    <cellStyle name="InputHead" xfId="135" xr:uid="{00000000-0005-0000-0000-0000C2010000}"/>
    <cellStyle name="inputPercent1dp" xfId="136" xr:uid="{00000000-0005-0000-0000-0000C3010000}"/>
    <cellStyle name="inputs H [0]" xfId="645" xr:uid="{00000000-0005-0000-0000-0000C4010000}"/>
    <cellStyle name="inputs H [1]" xfId="646" xr:uid="{00000000-0005-0000-0000-0000C5010000}"/>
    <cellStyle name="inputs H [2]" xfId="647" xr:uid="{00000000-0005-0000-0000-0000C6010000}"/>
    <cellStyle name="inputs H [3]" xfId="648" xr:uid="{00000000-0005-0000-0000-0000C7010000}"/>
    <cellStyle name="Inputs_percent [0]" xfId="649" xr:uid="{00000000-0005-0000-0000-0000C8010000}"/>
    <cellStyle name="Insatisfaisant" xfId="650" xr:uid="{00000000-0005-0000-0000-0000C9010000}"/>
    <cellStyle name="Integer" xfId="137" xr:uid="{00000000-0005-0000-0000-0000CA010000}"/>
    <cellStyle name="Integer 2" xfId="898" xr:uid="{00000000-0005-0000-0000-0000CB010000}"/>
    <cellStyle name="Integer 3" xfId="371" xr:uid="{00000000-0005-0000-0000-0000CC010000}"/>
    <cellStyle name="IntInputBk" xfId="138" xr:uid="{00000000-0005-0000-0000-0000CD010000}"/>
    <cellStyle name="IntInputBk 2" xfId="651" xr:uid="{00000000-0005-0000-0000-0000CE010000}"/>
    <cellStyle name="IntInputBu" xfId="139" xr:uid="{00000000-0005-0000-0000-0000CF010000}"/>
    <cellStyle name="IntInputBu 2" xfId="652" xr:uid="{00000000-0005-0000-0000-0000D0010000}"/>
    <cellStyle name="Invisible" xfId="653" xr:uid="{00000000-0005-0000-0000-0000D1010000}"/>
    <cellStyle name="Item" xfId="140" xr:uid="{00000000-0005-0000-0000-0000D2010000}"/>
    <cellStyle name="Item 2" xfId="899" xr:uid="{00000000-0005-0000-0000-0000D3010000}"/>
    <cellStyle name="Item 3" xfId="372" xr:uid="{00000000-0005-0000-0000-0000D4010000}"/>
    <cellStyle name="Items_Obligatory" xfId="141" xr:uid="{00000000-0005-0000-0000-0000D5010000}"/>
    <cellStyle name="ItemTypeClass" xfId="142" xr:uid="{00000000-0005-0000-0000-0000D6010000}"/>
    <cellStyle name="James" xfId="143" xr:uid="{00000000-0005-0000-0000-0000D7010000}"/>
    <cellStyle name="JCF-ColumnTitle" xfId="654" xr:uid="{00000000-0005-0000-0000-0000D8010000}"/>
    <cellStyle name="JCF-Data" xfId="655" xr:uid="{00000000-0005-0000-0000-0000D9010000}"/>
    <cellStyle name="JCF-Detail" xfId="144" xr:uid="{00000000-0005-0000-0000-0000DA010000}"/>
    <cellStyle name="JCF-LOGO" xfId="656" xr:uid="{00000000-0005-0000-0000-0000DB010000}"/>
    <cellStyle name="JCF-RowTitle" xfId="657" xr:uid="{00000000-0005-0000-0000-0000DC010000}"/>
    <cellStyle name="JCF-Title" xfId="658" xr:uid="{00000000-0005-0000-0000-0000DD010000}"/>
    <cellStyle name="JCF-Titre" xfId="145" xr:uid="{00000000-0005-0000-0000-0000DE010000}"/>
    <cellStyle name="JCF-Titre colonne" xfId="146" xr:uid="{00000000-0005-0000-0000-0000DF010000}"/>
    <cellStyle name="JCF-Titre ligne" xfId="659" xr:uid="{00000000-0005-0000-0000-0000E0010000}"/>
    <cellStyle name="JCF-Titre_CRO 051108" xfId="660" xr:uid="{00000000-0005-0000-0000-0000E1010000}"/>
    <cellStyle name="Komma [0]_CONVERSI" xfId="661" xr:uid="{00000000-0005-0000-0000-0000E2010000}"/>
    <cellStyle name="Komma 1" xfId="147" xr:uid="{00000000-0005-0000-0000-0000E3010000}"/>
    <cellStyle name="Komma_CONVERSI" xfId="662" xr:uid="{00000000-0005-0000-0000-0000E4010000}"/>
    <cellStyle name="KP_Normal" xfId="148" xr:uid="{00000000-0005-0000-0000-0000E5010000}"/>
    <cellStyle name="Label" xfId="663" xr:uid="{00000000-0005-0000-0000-0000E6010000}"/>
    <cellStyle name="Lien hypertexte_Depress2" xfId="664" xr:uid="{00000000-0005-0000-0000-0000E7010000}"/>
    <cellStyle name="ligne_detail" xfId="665" xr:uid="{00000000-0005-0000-0000-0000E8010000}"/>
    <cellStyle name="Lines_Gen_pD" xfId="666" xr:uid="{00000000-0005-0000-0000-0000E9010000}"/>
    <cellStyle name="Linked Cell 2" xfId="667" xr:uid="{00000000-0005-0000-0000-0000EA010000}"/>
    <cellStyle name="Linked Cell 3" xfId="668" xr:uid="{00000000-0005-0000-0000-0000EB010000}"/>
    <cellStyle name="Logo" xfId="669" xr:uid="{00000000-0005-0000-0000-0000EC010000}"/>
    <cellStyle name="m1" xfId="670" xr:uid="{00000000-0005-0000-0000-0000ED010000}"/>
    <cellStyle name="MacroCode" xfId="149" xr:uid="{00000000-0005-0000-0000-0000EE010000}"/>
    <cellStyle name="MacroCode 2" xfId="900" xr:uid="{00000000-0005-0000-0000-0000EF010000}"/>
    <cellStyle name="Major item" xfId="150" xr:uid="{00000000-0005-0000-0000-0000F0010000}"/>
    <cellStyle name="Margin" xfId="151" xr:uid="{00000000-0005-0000-0000-0000F1010000}"/>
    <cellStyle name="Migliaia_Foglio1" xfId="152" xr:uid="{00000000-0005-0000-0000-0000F2010000}"/>
    <cellStyle name="Mike" xfId="153" xr:uid="{00000000-0005-0000-0000-0000F3010000}"/>
    <cellStyle name="Millares [0]_NuevoAEA1" xfId="671" xr:uid="{00000000-0005-0000-0000-0000F4010000}"/>
    <cellStyle name="Millares_Base01" xfId="672" xr:uid="{00000000-0005-0000-0000-0000F5010000}"/>
    <cellStyle name="Milliers [0]_Classeur1" xfId="673" xr:uid="{00000000-0005-0000-0000-0000F6010000}"/>
    <cellStyle name="Milliers_Arko" xfId="674" xr:uid="{00000000-0005-0000-0000-0000F7010000}"/>
    <cellStyle name="million" xfId="154" xr:uid="{00000000-0005-0000-0000-0000F8010000}"/>
    <cellStyle name="million [1]" xfId="155" xr:uid="{00000000-0005-0000-0000-0000F9010000}"/>
    <cellStyle name="million [1] 2" xfId="902" xr:uid="{00000000-0005-0000-0000-0000FA010000}"/>
    <cellStyle name="million [1] 3" xfId="374" xr:uid="{00000000-0005-0000-0000-0000FB010000}"/>
    <cellStyle name="million 10" xfId="953" xr:uid="{00000000-0005-0000-0000-0000FC010000}"/>
    <cellStyle name="million 11" xfId="971" xr:uid="{00000000-0005-0000-0000-0000FD010000}"/>
    <cellStyle name="million 12" xfId="390" xr:uid="{00000000-0005-0000-0000-0000FE010000}"/>
    <cellStyle name="million 13" xfId="961" xr:uid="{00000000-0005-0000-0000-0000FF010000}"/>
    <cellStyle name="million 14" xfId="950" xr:uid="{00000000-0005-0000-0000-000000020000}"/>
    <cellStyle name="million 15" xfId="970" xr:uid="{00000000-0005-0000-0000-000001020000}"/>
    <cellStyle name="million 16" xfId="1000" xr:uid="{00000000-0005-0000-0000-000002020000}"/>
    <cellStyle name="million 17" xfId="1001" xr:uid="{00000000-0005-0000-0000-000003020000}"/>
    <cellStyle name="million 18" xfId="1018" xr:uid="{00000000-0005-0000-0000-000004020000}"/>
    <cellStyle name="million 19" xfId="1025" xr:uid="{00000000-0005-0000-0000-000005020000}"/>
    <cellStyle name="million 2" xfId="901" xr:uid="{00000000-0005-0000-0000-000006020000}"/>
    <cellStyle name="million 20" xfId="1008" xr:uid="{00000000-0005-0000-0000-000007020000}"/>
    <cellStyle name="million 21" xfId="1014" xr:uid="{00000000-0005-0000-0000-000008020000}"/>
    <cellStyle name="million 3" xfId="895" xr:uid="{00000000-0005-0000-0000-000009020000}"/>
    <cellStyle name="million 4" xfId="373" xr:uid="{00000000-0005-0000-0000-00000A020000}"/>
    <cellStyle name="million 5" xfId="369" xr:uid="{00000000-0005-0000-0000-00000B020000}"/>
    <cellStyle name="million 6" xfId="402" xr:uid="{00000000-0005-0000-0000-00000C020000}"/>
    <cellStyle name="million 7" xfId="985" xr:uid="{00000000-0005-0000-0000-00000D020000}"/>
    <cellStyle name="million 8" xfId="941" xr:uid="{00000000-0005-0000-0000-00000E020000}"/>
    <cellStyle name="million 9" xfId="963" xr:uid="{00000000-0005-0000-0000-00000F020000}"/>
    <cellStyle name="million_DCF" xfId="156" xr:uid="{00000000-0005-0000-0000-000010020000}"/>
    <cellStyle name="Millions" xfId="157" xr:uid="{00000000-0005-0000-0000-000011020000}"/>
    <cellStyle name="Millions 2" xfId="675" xr:uid="{00000000-0005-0000-0000-000012020000}"/>
    <cellStyle name="mine" xfId="158" xr:uid="{00000000-0005-0000-0000-000013020000}"/>
    <cellStyle name="mine 2" xfId="903" xr:uid="{00000000-0005-0000-0000-000014020000}"/>
    <cellStyle name="mine 3" xfId="375" xr:uid="{00000000-0005-0000-0000-000015020000}"/>
    <cellStyle name="mod1" xfId="676" xr:uid="{00000000-0005-0000-0000-000016020000}"/>
    <cellStyle name="modelo" xfId="677" xr:uid="{00000000-0005-0000-0000-000017020000}"/>
    <cellStyle name="modelo1" xfId="678" xr:uid="{00000000-0005-0000-0000-000018020000}"/>
    <cellStyle name="Monétaire [0]_Classeur1" xfId="679" xr:uid="{00000000-0005-0000-0000-000019020000}"/>
    <cellStyle name="Monétaire_Classeur1" xfId="680" xr:uid="{00000000-0005-0000-0000-00001A020000}"/>
    <cellStyle name="Monetario" xfId="681" xr:uid="{00000000-0005-0000-0000-00001B020000}"/>
    <cellStyle name="Montant" xfId="682" xr:uid="{00000000-0005-0000-0000-00001C020000}"/>
    <cellStyle name="multiple" xfId="159" xr:uid="{00000000-0005-0000-0000-00001D020000}"/>
    <cellStyle name="Name" xfId="160" xr:uid="{00000000-0005-0000-0000-00001E020000}"/>
    <cellStyle name="neg0.0" xfId="161" xr:uid="{00000000-0005-0000-0000-00001F020000}"/>
    <cellStyle name="Neutral 2" xfId="683" xr:uid="{00000000-0005-0000-0000-000020020000}"/>
    <cellStyle name="Neutral 3" xfId="684" xr:uid="{00000000-0005-0000-0000-000021020000}"/>
    <cellStyle name="Neutre" xfId="685" xr:uid="{00000000-0005-0000-0000-000022020000}"/>
    <cellStyle name="NewColumnHeaderNormal" xfId="686" xr:uid="{00000000-0005-0000-0000-000023020000}"/>
    <cellStyle name="NewSectionHeaderNormal" xfId="687" xr:uid="{00000000-0005-0000-0000-000024020000}"/>
    <cellStyle name="NewTitleNormal" xfId="688" xr:uid="{00000000-0005-0000-0000-000025020000}"/>
    <cellStyle name="No comma (0)" xfId="162" xr:uid="{00000000-0005-0000-0000-000026020000}"/>
    <cellStyle name="NoDecimal" xfId="163" xr:uid="{00000000-0005-0000-0000-000027020000}"/>
    <cellStyle name="NoDecimalItal" xfId="164" xr:uid="{00000000-0005-0000-0000-000028020000}"/>
    <cellStyle name="No-definido" xfId="689" xr:uid="{00000000-0005-0000-0000-000029020000}"/>
    <cellStyle name="Non_Input_Cell_Figures" xfId="165" xr:uid="{00000000-0005-0000-0000-00002A020000}"/>
    <cellStyle name="NORAYAS" xfId="690" xr:uid="{00000000-0005-0000-0000-00002B020000}"/>
    <cellStyle name="Normal" xfId="0" builtinId="0"/>
    <cellStyle name="Normal - Style1" xfId="166" xr:uid="{00000000-0005-0000-0000-00002D020000}"/>
    <cellStyle name="Normal (0)" xfId="167" xr:uid="{00000000-0005-0000-0000-00002E020000}"/>
    <cellStyle name="Normal (0) 2" xfId="904" xr:uid="{00000000-0005-0000-0000-00002F020000}"/>
    <cellStyle name="Normal (0) 3" xfId="376" xr:uid="{00000000-0005-0000-0000-000030020000}"/>
    <cellStyle name="Normal (1)" xfId="168" xr:uid="{00000000-0005-0000-0000-000031020000}"/>
    <cellStyle name="Normal (1) 2" xfId="905" xr:uid="{00000000-0005-0000-0000-000032020000}"/>
    <cellStyle name="Normal (1) 3" xfId="377" xr:uid="{00000000-0005-0000-0000-000033020000}"/>
    <cellStyle name="Normal (2)" xfId="169" xr:uid="{00000000-0005-0000-0000-000034020000}"/>
    <cellStyle name="Normal (2) 2" xfId="906" xr:uid="{00000000-0005-0000-0000-000035020000}"/>
    <cellStyle name="Normal (2) 3" xfId="378" xr:uid="{00000000-0005-0000-0000-000036020000}"/>
    <cellStyle name="Normal [1]" xfId="170" xr:uid="{00000000-0005-0000-0000-000037020000}"/>
    <cellStyle name="Normal [1] 2" xfId="907" xr:uid="{00000000-0005-0000-0000-000038020000}"/>
    <cellStyle name="Normal [1] 3" xfId="379" xr:uid="{00000000-0005-0000-0000-000039020000}"/>
    <cellStyle name="normal [zero]" xfId="171" xr:uid="{00000000-0005-0000-0000-00003A020000}"/>
    <cellStyle name="Normal 10" xfId="691" xr:uid="{00000000-0005-0000-0000-00003B020000}"/>
    <cellStyle name="Normal 11" xfId="692" xr:uid="{00000000-0005-0000-0000-00003C020000}"/>
    <cellStyle name="Normal 12" xfId="693" xr:uid="{00000000-0005-0000-0000-00003D020000}"/>
    <cellStyle name="Normal 2" xfId="2" xr:uid="{00000000-0005-0000-0000-00003E020000}"/>
    <cellStyle name="Normal 2 2" xfId="694" xr:uid="{00000000-0005-0000-0000-00003F020000}"/>
    <cellStyle name="Normal 2 2 2" xfId="695" xr:uid="{00000000-0005-0000-0000-000040020000}"/>
    <cellStyle name="Normal 2 3" xfId="414" xr:uid="{00000000-0005-0000-0000-000041020000}"/>
    <cellStyle name="Normal 3" xfId="172" xr:uid="{00000000-0005-0000-0000-000042020000}"/>
    <cellStyle name="Normal 3 2" xfId="696" xr:uid="{00000000-0005-0000-0000-000043020000}"/>
    <cellStyle name="Normal 3 3" xfId="908" xr:uid="{00000000-0005-0000-0000-000044020000}"/>
    <cellStyle name="Normal 3 4" xfId="380" xr:uid="{00000000-0005-0000-0000-000045020000}"/>
    <cellStyle name="Normal 4" xfId="173" xr:uid="{00000000-0005-0000-0000-000046020000}"/>
    <cellStyle name="Normal 4 2" xfId="909" xr:uid="{00000000-0005-0000-0000-000047020000}"/>
    <cellStyle name="Normal 4 3" xfId="381" xr:uid="{00000000-0005-0000-0000-000048020000}"/>
    <cellStyle name="Normal 5" xfId="697" xr:uid="{00000000-0005-0000-0000-000049020000}"/>
    <cellStyle name="Normal 5 2" xfId="413" xr:uid="{00000000-0005-0000-0000-00004A020000}"/>
    <cellStyle name="Normal 6" xfId="698" xr:uid="{00000000-0005-0000-0000-00004B020000}"/>
    <cellStyle name="Normal 6 2" xfId="699" xr:uid="{00000000-0005-0000-0000-00004C020000}"/>
    <cellStyle name="Normal 6 2 2" xfId="700" xr:uid="{00000000-0005-0000-0000-00004D020000}"/>
    <cellStyle name="Normal 6 3" xfId="701" xr:uid="{00000000-0005-0000-0000-00004E020000}"/>
    <cellStyle name="Normal 7" xfId="702" xr:uid="{00000000-0005-0000-0000-00004F020000}"/>
    <cellStyle name="Normal 8" xfId="703" xr:uid="{00000000-0005-0000-0000-000050020000}"/>
    <cellStyle name="Normal 9" xfId="704" xr:uid="{00000000-0005-0000-0000-000051020000}"/>
    <cellStyle name="Normal1dp" xfId="174" xr:uid="{00000000-0005-0000-0000-000052020000}"/>
    <cellStyle name="Normal2dp" xfId="175" xr:uid="{00000000-0005-0000-0000-000053020000}"/>
    <cellStyle name="Normale_Ratios" xfId="176" xr:uid="{00000000-0005-0000-0000-000054020000}"/>
    <cellStyle name="Normalny_Arkusz1" xfId="177" xr:uid="{00000000-0005-0000-0000-000055020000}"/>
    <cellStyle name="Note 2" xfId="705" xr:uid="{00000000-0005-0000-0000-000056020000}"/>
    <cellStyle name="Note 3" xfId="706" xr:uid="{00000000-0005-0000-0000-000057020000}"/>
    <cellStyle name="Notes" xfId="178" xr:uid="{00000000-0005-0000-0000-000058020000}"/>
    <cellStyle name="Notes 2" xfId="910" xr:uid="{00000000-0005-0000-0000-000059020000}"/>
    <cellStyle name="Number" xfId="179" xr:uid="{00000000-0005-0000-0000-00005A020000}"/>
    <cellStyle name="Number 2" xfId="707" xr:uid="{00000000-0005-0000-0000-00005B020000}"/>
    <cellStyle name="Number, 1 dec" xfId="180" xr:uid="{00000000-0005-0000-0000-00005C020000}"/>
    <cellStyle name="Number_Sligro - Initial" xfId="181" xr:uid="{00000000-0005-0000-0000-00005D020000}"/>
    <cellStyle name="NumberX" xfId="182" xr:uid="{00000000-0005-0000-0000-00005E020000}"/>
    <cellStyle name="Numdec1" xfId="183" xr:uid="{00000000-0005-0000-0000-00005F020000}"/>
    <cellStyle name="Numdec1 2" xfId="911" xr:uid="{00000000-0005-0000-0000-000060020000}"/>
    <cellStyle name="Numdec1bold" xfId="184" xr:uid="{00000000-0005-0000-0000-000061020000}"/>
    <cellStyle name="Numdec1bold 2" xfId="912" xr:uid="{00000000-0005-0000-0000-000062020000}"/>
    <cellStyle name="Onedec_FT Valuation " xfId="708" xr:uid="{00000000-0005-0000-0000-000063020000}"/>
    <cellStyle name="OneDecimal" xfId="185" xr:uid="{00000000-0005-0000-0000-000064020000}"/>
    <cellStyle name="OneDecimalBold" xfId="186" xr:uid="{00000000-0005-0000-0000-000065020000}"/>
    <cellStyle name="OneDecimalItal" xfId="187" xr:uid="{00000000-0005-0000-0000-000066020000}"/>
    <cellStyle name="outh America" xfId="709" xr:uid="{00000000-0005-0000-0000-000067020000}"/>
    <cellStyle name="Output (1dp#)" xfId="188" xr:uid="{00000000-0005-0000-0000-000068020000}"/>
    <cellStyle name="Output 10" xfId="710" xr:uid="{00000000-0005-0000-0000-000069020000}"/>
    <cellStyle name="Output 11" xfId="711" xr:uid="{00000000-0005-0000-0000-00006A020000}"/>
    <cellStyle name="Output 2" xfId="712" xr:uid="{00000000-0005-0000-0000-00006B020000}"/>
    <cellStyle name="Output 3" xfId="713" xr:uid="{00000000-0005-0000-0000-00006C020000}"/>
    <cellStyle name="Output 4" xfId="714" xr:uid="{00000000-0005-0000-0000-00006D020000}"/>
    <cellStyle name="Output 5" xfId="715" xr:uid="{00000000-0005-0000-0000-00006E020000}"/>
    <cellStyle name="Output 6" xfId="716" xr:uid="{00000000-0005-0000-0000-00006F020000}"/>
    <cellStyle name="Output 7" xfId="717" xr:uid="{00000000-0005-0000-0000-000070020000}"/>
    <cellStyle name="Output 8" xfId="718" xr:uid="{00000000-0005-0000-0000-000071020000}"/>
    <cellStyle name="Output 9" xfId="719" xr:uid="{00000000-0005-0000-0000-000072020000}"/>
    <cellStyle name="Output Labels" xfId="189" xr:uid="{00000000-0005-0000-0000-000073020000}"/>
    <cellStyle name="p " xfId="720" xr:uid="{00000000-0005-0000-0000-000074020000}"/>
    <cellStyle name="p1 Source/note" xfId="190" xr:uid="{00000000-0005-0000-0000-000075020000}"/>
    <cellStyle name="p1 Table headers" xfId="191" xr:uid="{00000000-0005-0000-0000-000076020000}"/>
    <cellStyle name="p1 Table headers 2" xfId="721" xr:uid="{00000000-0005-0000-0000-000077020000}"/>
    <cellStyle name="p1 Table stubs" xfId="192" xr:uid="{00000000-0005-0000-0000-000078020000}"/>
    <cellStyle name="p1 Table text" xfId="193" xr:uid="{00000000-0005-0000-0000-000079020000}"/>
    <cellStyle name="p1 Table title" xfId="194" xr:uid="{00000000-0005-0000-0000-00007A020000}"/>
    <cellStyle name="Page Number" xfId="195" xr:uid="{00000000-0005-0000-0000-00007B020000}"/>
    <cellStyle name="pb_page_heading_LS" xfId="196" xr:uid="{00000000-0005-0000-0000-00007C020000}"/>
    <cellStyle name="pcent" xfId="197" xr:uid="{00000000-0005-0000-0000-00007D020000}"/>
    <cellStyle name="Pctdec1itals" xfId="198" xr:uid="{00000000-0005-0000-0000-00007E020000}"/>
    <cellStyle name="Pctdec1itals 2" xfId="913" xr:uid="{00000000-0005-0000-0000-00007F020000}"/>
    <cellStyle name="pence" xfId="199" xr:uid="{00000000-0005-0000-0000-000080020000}"/>
    <cellStyle name="pence [0]" xfId="200" xr:uid="{00000000-0005-0000-0000-000081020000}"/>
    <cellStyle name="pence [0] 2" xfId="915" xr:uid="{00000000-0005-0000-0000-000082020000}"/>
    <cellStyle name="pence [0] 3" xfId="383" xr:uid="{00000000-0005-0000-0000-000083020000}"/>
    <cellStyle name="pence [1]" xfId="201" xr:uid="{00000000-0005-0000-0000-000084020000}"/>
    <cellStyle name="pence [1] 2" xfId="916" xr:uid="{00000000-0005-0000-0000-000085020000}"/>
    <cellStyle name="pence [1] 3" xfId="384" xr:uid="{00000000-0005-0000-0000-000086020000}"/>
    <cellStyle name="pence 10" xfId="979" xr:uid="{00000000-0005-0000-0000-000087020000}"/>
    <cellStyle name="pence 11" xfId="344" xr:uid="{00000000-0005-0000-0000-000088020000}"/>
    <cellStyle name="pence 12" xfId="991" xr:uid="{00000000-0005-0000-0000-000089020000}"/>
    <cellStyle name="pence 13" xfId="992" xr:uid="{00000000-0005-0000-0000-00008A020000}"/>
    <cellStyle name="pence 14" xfId="993" xr:uid="{00000000-0005-0000-0000-00008B020000}"/>
    <cellStyle name="pence 15" xfId="994" xr:uid="{00000000-0005-0000-0000-00008C020000}"/>
    <cellStyle name="pence 16" xfId="1002" xr:uid="{00000000-0005-0000-0000-00008D020000}"/>
    <cellStyle name="pence 17" xfId="999" xr:uid="{00000000-0005-0000-0000-00008E020000}"/>
    <cellStyle name="pence 18" xfId="1020" xr:uid="{00000000-0005-0000-0000-00008F020000}"/>
    <cellStyle name="pence 19" xfId="1029" xr:uid="{00000000-0005-0000-0000-000090020000}"/>
    <cellStyle name="pence 2" xfId="914" xr:uid="{00000000-0005-0000-0000-000091020000}"/>
    <cellStyle name="pence 20" xfId="1009" xr:uid="{00000000-0005-0000-0000-000092020000}"/>
    <cellStyle name="pence 21" xfId="1016" xr:uid="{00000000-0005-0000-0000-000093020000}"/>
    <cellStyle name="pence 3" xfId="886" xr:uid="{00000000-0005-0000-0000-000094020000}"/>
    <cellStyle name="pence 4" xfId="382" xr:uid="{00000000-0005-0000-0000-000095020000}"/>
    <cellStyle name="pence 5" xfId="358" xr:uid="{00000000-0005-0000-0000-000096020000}"/>
    <cellStyle name="pence 6" xfId="404" xr:uid="{00000000-0005-0000-0000-000097020000}"/>
    <cellStyle name="pence 7" xfId="946" xr:uid="{00000000-0005-0000-0000-000098020000}"/>
    <cellStyle name="pence 8" xfId="968" xr:uid="{00000000-0005-0000-0000-000099020000}"/>
    <cellStyle name="pence 9" xfId="975" xr:uid="{00000000-0005-0000-0000-00009A020000}"/>
    <cellStyle name="pence_DCF" xfId="202" xr:uid="{00000000-0005-0000-0000-00009B020000}"/>
    <cellStyle name="Per aandeel" xfId="203" xr:uid="{00000000-0005-0000-0000-00009C020000}"/>
    <cellStyle name="Percent" xfId="326" builtinId="5"/>
    <cellStyle name="Percent (0)" xfId="204" xr:uid="{00000000-0005-0000-0000-00009E020000}"/>
    <cellStyle name="Percent (1)" xfId="205" xr:uid="{00000000-0005-0000-0000-00009F020000}"/>
    <cellStyle name="Percent (1) 2" xfId="917" xr:uid="{00000000-0005-0000-0000-0000A0020000}"/>
    <cellStyle name="Percent (1) 3" xfId="385" xr:uid="{00000000-0005-0000-0000-0000A1020000}"/>
    <cellStyle name="Percent [0]" xfId="722" xr:uid="{00000000-0005-0000-0000-0000A2020000}"/>
    <cellStyle name="percent [1]" xfId="206" xr:uid="{00000000-0005-0000-0000-0000A3020000}"/>
    <cellStyle name="percent [1-]" xfId="207" xr:uid="{00000000-0005-0000-0000-0000A4020000}"/>
    <cellStyle name="Percent [1] 10" xfId="723" xr:uid="{00000000-0005-0000-0000-0000A5020000}"/>
    <cellStyle name="percent [1-] 10" xfId="988" xr:uid="{00000000-0005-0000-0000-0000A6020000}"/>
    <cellStyle name="percent [1] 11" xfId="918" xr:uid="{00000000-0005-0000-0000-0000A7020000}"/>
    <cellStyle name="percent [1-] 11" xfId="411" xr:uid="{00000000-0005-0000-0000-0000A8020000}"/>
    <cellStyle name="percent [1] 12" xfId="884" xr:uid="{00000000-0005-0000-0000-0000A9020000}"/>
    <cellStyle name="percent [1-] 12" xfId="943" xr:uid="{00000000-0005-0000-0000-0000AA020000}"/>
    <cellStyle name="percent [1] 13" xfId="386" xr:uid="{00000000-0005-0000-0000-0000AB020000}"/>
    <cellStyle name="percent [1-] 13" xfId="982" xr:uid="{00000000-0005-0000-0000-0000AC020000}"/>
    <cellStyle name="percent [1] 14" xfId="354" xr:uid="{00000000-0005-0000-0000-0000AD020000}"/>
    <cellStyle name="percent [1-] 14" xfId="989" xr:uid="{00000000-0005-0000-0000-0000AE020000}"/>
    <cellStyle name="percent [1] 15" xfId="972" xr:uid="{00000000-0005-0000-0000-0000AF020000}"/>
    <cellStyle name="percent [1-] 15" xfId="945" xr:uid="{00000000-0005-0000-0000-0000B0020000}"/>
    <cellStyle name="percent [1] 16" xfId="984" xr:uid="{00000000-0005-0000-0000-0000B1020000}"/>
    <cellStyle name="percent [1-] 16" xfId="1004" xr:uid="{00000000-0005-0000-0000-0000B2020000}"/>
    <cellStyle name="percent [1] 17" xfId="351" xr:uid="{00000000-0005-0000-0000-0000B3020000}"/>
    <cellStyle name="percent [1-] 17" xfId="997" xr:uid="{00000000-0005-0000-0000-0000B4020000}"/>
    <cellStyle name="percent [1] 18" xfId="965" xr:uid="{00000000-0005-0000-0000-0000B5020000}"/>
    <cellStyle name="percent [1-] 18" xfId="1022" xr:uid="{00000000-0005-0000-0000-0000B6020000}"/>
    <cellStyle name="percent [1] 19" xfId="952" xr:uid="{00000000-0005-0000-0000-0000B7020000}"/>
    <cellStyle name="percent [1-] 19" xfId="1031" xr:uid="{00000000-0005-0000-0000-0000B8020000}"/>
    <cellStyle name="Percent [1] 2" xfId="724" xr:uid="{00000000-0005-0000-0000-0000B9020000}"/>
    <cellStyle name="percent [1-] 2" xfId="919" xr:uid="{00000000-0005-0000-0000-0000BA020000}"/>
    <cellStyle name="percent [1] 20" xfId="958" xr:uid="{00000000-0005-0000-0000-0000BB020000}"/>
    <cellStyle name="percent [1-] 20" xfId="1011" xr:uid="{00000000-0005-0000-0000-0000BC020000}"/>
    <cellStyle name="percent [1] 21" xfId="973" xr:uid="{00000000-0005-0000-0000-0000BD020000}"/>
    <cellStyle name="percent [1-] 21" xfId="1032" xr:uid="{00000000-0005-0000-0000-0000BE020000}"/>
    <cellStyle name="percent [1] 22" xfId="365" xr:uid="{00000000-0005-0000-0000-0000BF020000}"/>
    <cellStyle name="percent [1] 23" xfId="981" xr:uid="{00000000-0005-0000-0000-0000C0020000}"/>
    <cellStyle name="percent [1] 24" xfId="370" xr:uid="{00000000-0005-0000-0000-0000C1020000}"/>
    <cellStyle name="percent [1] 25" xfId="1003" xr:uid="{00000000-0005-0000-0000-0000C2020000}"/>
    <cellStyle name="percent [1] 26" xfId="998" xr:uid="{00000000-0005-0000-0000-0000C3020000}"/>
    <cellStyle name="percent [1] 27" xfId="1021" xr:uid="{00000000-0005-0000-0000-0000C4020000}"/>
    <cellStyle name="percent [1] 28" xfId="1023" xr:uid="{00000000-0005-0000-0000-0000C5020000}"/>
    <cellStyle name="percent [1] 29" xfId="1010" xr:uid="{00000000-0005-0000-0000-0000C6020000}"/>
    <cellStyle name="Percent [1] 3" xfId="725" xr:uid="{00000000-0005-0000-0000-0000C7020000}"/>
    <cellStyle name="percent [1-] 3" xfId="883" xr:uid="{00000000-0005-0000-0000-0000C8020000}"/>
    <cellStyle name="percent [1] 30" xfId="1033" xr:uid="{00000000-0005-0000-0000-0000C9020000}"/>
    <cellStyle name="Percent [1] 4" xfId="726" xr:uid="{00000000-0005-0000-0000-0000CA020000}"/>
    <cellStyle name="percent [1-] 4" xfId="387" xr:uid="{00000000-0005-0000-0000-0000CB020000}"/>
    <cellStyle name="Percent [1] 5" xfId="727" xr:uid="{00000000-0005-0000-0000-0000CC020000}"/>
    <cellStyle name="percent [1-] 5" xfId="353" xr:uid="{00000000-0005-0000-0000-0000CD020000}"/>
    <cellStyle name="Percent [1] 6" xfId="728" xr:uid="{00000000-0005-0000-0000-0000CE020000}"/>
    <cellStyle name="percent [1-] 6" xfId="406" xr:uid="{00000000-0005-0000-0000-0000CF020000}"/>
    <cellStyle name="Percent [1] 7" xfId="729" xr:uid="{00000000-0005-0000-0000-0000D0020000}"/>
    <cellStyle name="percent [1-] 7" xfId="947" xr:uid="{00000000-0005-0000-0000-0000D1020000}"/>
    <cellStyle name="Percent [1] 8" xfId="730" xr:uid="{00000000-0005-0000-0000-0000D2020000}"/>
    <cellStyle name="percent [1-] 8" xfId="967" xr:uid="{00000000-0005-0000-0000-0000D3020000}"/>
    <cellStyle name="Percent [1] 9" xfId="731" xr:uid="{00000000-0005-0000-0000-0000D4020000}"/>
    <cellStyle name="percent [1-] 9" xfId="966" xr:uid="{00000000-0005-0000-0000-0000D5020000}"/>
    <cellStyle name="percent [1]_DCF" xfId="208" xr:uid="{00000000-0005-0000-0000-0000D6020000}"/>
    <cellStyle name="percent [100]" xfId="209" xr:uid="{00000000-0005-0000-0000-0000D7020000}"/>
    <cellStyle name="percent [100] 2" xfId="920" xr:uid="{00000000-0005-0000-0000-0000D8020000}"/>
    <cellStyle name="percent [100] 3" xfId="388" xr:uid="{00000000-0005-0000-0000-0000D9020000}"/>
    <cellStyle name="Percent [2]" xfId="210" xr:uid="{00000000-0005-0000-0000-0000DA020000}"/>
    <cellStyle name="Percent [2] 2" xfId="732" xr:uid="{00000000-0005-0000-0000-0000DB020000}"/>
    <cellStyle name="Percent 10" xfId="733" xr:uid="{00000000-0005-0000-0000-0000DC020000}"/>
    <cellStyle name="Percent 11" xfId="734" xr:uid="{00000000-0005-0000-0000-0000DD020000}"/>
    <cellStyle name="Percent 12" xfId="735" xr:uid="{00000000-0005-0000-0000-0000DE020000}"/>
    <cellStyle name="Percent 13" xfId="736" xr:uid="{00000000-0005-0000-0000-0000DF020000}"/>
    <cellStyle name="Percent 14" xfId="737" xr:uid="{00000000-0005-0000-0000-0000E0020000}"/>
    <cellStyle name="Percent 15" xfId="738" xr:uid="{00000000-0005-0000-0000-0000E1020000}"/>
    <cellStyle name="Percent 16" xfId="739" xr:uid="{00000000-0005-0000-0000-0000E2020000}"/>
    <cellStyle name="Percent 2" xfId="3" xr:uid="{00000000-0005-0000-0000-0000E3020000}"/>
    <cellStyle name="Percent 2 2" xfId="740" xr:uid="{00000000-0005-0000-0000-0000E4020000}"/>
    <cellStyle name="Percent 2 3" xfId="861" xr:uid="{00000000-0005-0000-0000-0000E5020000}"/>
    <cellStyle name="Percent 2 4" xfId="328" xr:uid="{00000000-0005-0000-0000-0000E6020000}"/>
    <cellStyle name="Percent 3" xfId="416" xr:uid="{00000000-0005-0000-0000-0000E7020000}"/>
    <cellStyle name="Percent 3 2" xfId="741" xr:uid="{00000000-0005-0000-0000-0000E8020000}"/>
    <cellStyle name="Percent 3 2 2" xfId="742" xr:uid="{00000000-0005-0000-0000-0000E9020000}"/>
    <cellStyle name="Percent 3 3" xfId="743" xr:uid="{00000000-0005-0000-0000-0000EA020000}"/>
    <cellStyle name="Percent 4" xfId="744" xr:uid="{00000000-0005-0000-0000-0000EB020000}"/>
    <cellStyle name="Percent 5" xfId="745" xr:uid="{00000000-0005-0000-0000-0000EC020000}"/>
    <cellStyle name="Percent 6" xfId="746" xr:uid="{00000000-0005-0000-0000-0000ED020000}"/>
    <cellStyle name="Percent 7" xfId="747" xr:uid="{00000000-0005-0000-0000-0000EE020000}"/>
    <cellStyle name="Percent 8" xfId="748" xr:uid="{00000000-0005-0000-0000-0000EF020000}"/>
    <cellStyle name="Percent 9" xfId="749" xr:uid="{00000000-0005-0000-0000-0000F0020000}"/>
    <cellStyle name="Percent Change" xfId="211" xr:uid="{00000000-0005-0000-0000-0000F1020000}"/>
    <cellStyle name="Percent F [0]" xfId="750" xr:uid="{00000000-0005-0000-0000-0000F2020000}"/>
    <cellStyle name="Percent F [1]" xfId="751" xr:uid="{00000000-0005-0000-0000-0000F3020000}"/>
    <cellStyle name="Percent F [2]" xfId="752" xr:uid="{00000000-0005-0000-0000-0000F4020000}"/>
    <cellStyle name="Percent H [0]" xfId="753" xr:uid="{00000000-0005-0000-0000-0000F5020000}"/>
    <cellStyle name="Percent total [0]" xfId="754" xr:uid="{00000000-0005-0000-0000-0000F6020000}"/>
    <cellStyle name="Percent total [1]" xfId="755" xr:uid="{00000000-0005-0000-0000-0000F7020000}"/>
    <cellStyle name="Percent0" xfId="756" xr:uid="{00000000-0005-0000-0000-0000F8020000}"/>
    <cellStyle name="Percent1" xfId="757" xr:uid="{00000000-0005-0000-0000-0000F9020000}"/>
    <cellStyle name="Percent2" xfId="758" xr:uid="{00000000-0005-0000-0000-0000FA020000}"/>
    <cellStyle name="PercentChange" xfId="212" xr:uid="{00000000-0005-0000-0000-0000FB020000}"/>
    <cellStyle name="PercentChange 2" xfId="921" xr:uid="{00000000-0005-0000-0000-0000FC020000}"/>
    <cellStyle name="PercentChange 3" xfId="389" xr:uid="{00000000-0005-0000-0000-0000FD020000}"/>
    <cellStyle name="Percent-constant" xfId="213" xr:uid="{00000000-0005-0000-0000-0000FE020000}"/>
    <cellStyle name="Percent-formula" xfId="214" xr:uid="{00000000-0005-0000-0000-0000FF020000}"/>
    <cellStyle name="PercentNoDecimal" xfId="215" xr:uid="{00000000-0005-0000-0000-000000030000}"/>
    <cellStyle name="PercentOneDecimal" xfId="216" xr:uid="{00000000-0005-0000-0000-000001030000}"/>
    <cellStyle name="PercentOneDecimalItal" xfId="217" xr:uid="{00000000-0005-0000-0000-000002030000}"/>
    <cellStyle name="phil" xfId="759" xr:uid="{00000000-0005-0000-0000-000003030000}"/>
    <cellStyle name="PLAN1" xfId="760" xr:uid="{00000000-0005-0000-0000-000004030000}"/>
    <cellStyle name="Plug" xfId="761" xr:uid="{00000000-0005-0000-0000-000005030000}"/>
    <cellStyle name="Plug 0." xfId="218" xr:uid="{00000000-0005-0000-0000-000006030000}"/>
    <cellStyle name="Plug 0.0" xfId="219" xr:uid="{00000000-0005-0000-0000-000007030000}"/>
    <cellStyle name="Porcentaje" xfId="762" xr:uid="{00000000-0005-0000-0000-000008030000}"/>
    <cellStyle name="Porcentual_Valuation" xfId="763" xr:uid="{00000000-0005-0000-0000-000009030000}"/>
    <cellStyle name="Pourcentage 2" xfId="764" xr:uid="{00000000-0005-0000-0000-00000A030000}"/>
    <cellStyle name="Problem" xfId="220" xr:uid="{00000000-0005-0000-0000-00000B030000}"/>
    <cellStyle name="Procenten" xfId="221" xr:uid="{00000000-0005-0000-0000-00000C030000}"/>
    <cellStyle name="Procenten estimate" xfId="222" xr:uid="{00000000-0005-0000-0000-00000D030000}"/>
    <cellStyle name="Procenten_EMI" xfId="223" xr:uid="{00000000-0005-0000-0000-00000E030000}"/>
    <cellStyle name="PROJECT" xfId="224" xr:uid="{00000000-0005-0000-0000-00000F030000}"/>
    <cellStyle name="PROJECT R" xfId="225" xr:uid="{00000000-0005-0000-0000-000010030000}"/>
    <cellStyle name="PROJECT R 2" xfId="765" xr:uid="{00000000-0005-0000-0000-000011030000}"/>
    <cellStyle name="PROJECT_Book4" xfId="226" xr:uid="{00000000-0005-0000-0000-000012030000}"/>
    <cellStyle name="ProjectionInput" xfId="227" xr:uid="{00000000-0005-0000-0000-000013030000}"/>
    <cellStyle name="ProjectionInput 2" xfId="766" xr:uid="{00000000-0005-0000-0000-000014030000}"/>
    <cellStyle name="Pub percent" xfId="228" xr:uid="{00000000-0005-0000-0000-000015030000}"/>
    <cellStyle name="Pub percent 2" xfId="923" xr:uid="{00000000-0005-0000-0000-000016030000}"/>
    <cellStyle name="Pub percent 3" xfId="391" xr:uid="{00000000-0005-0000-0000-000017030000}"/>
    <cellStyle name="Randig" xfId="229" xr:uid="{00000000-0005-0000-0000-000018030000}"/>
    <cellStyle name="Ratio" xfId="230" xr:uid="{00000000-0005-0000-0000-000019030000}"/>
    <cellStyle name="Ratio1" xfId="767" xr:uid="{00000000-0005-0000-0000-00001A030000}"/>
    <cellStyle name="Ratio2" xfId="768" xr:uid="{00000000-0005-0000-0000-00001B030000}"/>
    <cellStyle name="RatioX" xfId="231" xr:uid="{00000000-0005-0000-0000-00001C030000}"/>
    <cellStyle name="RatioX 2" xfId="924" xr:uid="{00000000-0005-0000-0000-00001D030000}"/>
    <cellStyle name="RatioX 3" xfId="393" xr:uid="{00000000-0005-0000-0000-00001E030000}"/>
    <cellStyle name="Red Text" xfId="232" xr:uid="{00000000-0005-0000-0000-00001F030000}"/>
    <cellStyle name="Red Text 2" xfId="925" xr:uid="{00000000-0005-0000-0000-000020030000}"/>
    <cellStyle name="Ref Numbers" xfId="769" xr:uid="{00000000-0005-0000-0000-000021030000}"/>
    <cellStyle name="Result" xfId="233" xr:uid="{00000000-0005-0000-0000-000022030000}"/>
    <cellStyle name="Right" xfId="234" xr:uid="{00000000-0005-0000-0000-000023030000}"/>
    <cellStyle name="Rmess" xfId="235" xr:uid="{00000000-0005-0000-0000-000024030000}"/>
    <cellStyle name="Rmess 2" xfId="926" xr:uid="{00000000-0005-0000-0000-000025030000}"/>
    <cellStyle name="Rmess 3" xfId="394" xr:uid="{00000000-0005-0000-0000-000026030000}"/>
    <cellStyle name="Rnumber" xfId="236" xr:uid="{00000000-0005-0000-0000-000027030000}"/>
    <cellStyle name="Rnumber 0d" xfId="237" xr:uid="{00000000-0005-0000-0000-000028030000}"/>
    <cellStyle name="Rnumber 0d 2" xfId="928" xr:uid="{00000000-0005-0000-0000-000029030000}"/>
    <cellStyle name="Rnumber 0d 3" xfId="396" xr:uid="{00000000-0005-0000-0000-00002A030000}"/>
    <cellStyle name="Rnumber 10" xfId="959" xr:uid="{00000000-0005-0000-0000-00002B030000}"/>
    <cellStyle name="Rnumber 11" xfId="962" xr:uid="{00000000-0005-0000-0000-00002C030000}"/>
    <cellStyle name="Rnumber 12" xfId="407" xr:uid="{00000000-0005-0000-0000-00002D030000}"/>
    <cellStyle name="Rnumber 13" xfId="957" xr:uid="{00000000-0005-0000-0000-00002E030000}"/>
    <cellStyle name="Rnumber 14" xfId="956" xr:uid="{00000000-0005-0000-0000-00002F030000}"/>
    <cellStyle name="Rnumber 15" xfId="980" xr:uid="{00000000-0005-0000-0000-000030030000}"/>
    <cellStyle name="Rnumber 16" xfId="1005" xr:uid="{00000000-0005-0000-0000-000031030000}"/>
    <cellStyle name="Rnumber 17" xfId="995" xr:uid="{00000000-0005-0000-0000-000032030000}"/>
    <cellStyle name="Rnumber 18" xfId="1024" xr:uid="{00000000-0005-0000-0000-000033030000}"/>
    <cellStyle name="Rnumber 19" xfId="1030" xr:uid="{00000000-0005-0000-0000-000034030000}"/>
    <cellStyle name="Rnumber 2" xfId="927" xr:uid="{00000000-0005-0000-0000-000035030000}"/>
    <cellStyle name="Rnumber 20" xfId="1013" xr:uid="{00000000-0005-0000-0000-000036030000}"/>
    <cellStyle name="Rnumber 21" xfId="1012" xr:uid="{00000000-0005-0000-0000-000037030000}"/>
    <cellStyle name="Rnumber 3" xfId="876" xr:uid="{00000000-0005-0000-0000-000038030000}"/>
    <cellStyle name="Rnumber 4" xfId="395" xr:uid="{00000000-0005-0000-0000-000039030000}"/>
    <cellStyle name="Rnumber 5" xfId="345" xr:uid="{00000000-0005-0000-0000-00003A030000}"/>
    <cellStyle name="Rnumber 6" xfId="408" xr:uid="{00000000-0005-0000-0000-00003B030000}"/>
    <cellStyle name="Rnumber 7" xfId="983" xr:uid="{00000000-0005-0000-0000-00003C030000}"/>
    <cellStyle name="Rnumber 8" xfId="964" xr:uid="{00000000-0005-0000-0000-00003D030000}"/>
    <cellStyle name="Rnumber 9" xfId="951" xr:uid="{00000000-0005-0000-0000-00003E030000}"/>
    <cellStyle name="Rnumber_!PLT Model (Current) (converge to 2-pager)" xfId="770" xr:uid="{00000000-0005-0000-0000-00003F030000}"/>
    <cellStyle name="ROC [1]" xfId="771" xr:uid="{00000000-0005-0000-0000-000040030000}"/>
    <cellStyle name="ROC alt [1]" xfId="772" xr:uid="{00000000-0005-0000-0000-000041030000}"/>
    <cellStyle name="ROC F [1]" xfId="773" xr:uid="{00000000-0005-0000-0000-000042030000}"/>
    <cellStyle name="Role" xfId="238" xr:uid="{00000000-0005-0000-0000-000043030000}"/>
    <cellStyle name="Row title 1" xfId="239" xr:uid="{00000000-0005-0000-0000-000044030000}"/>
    <cellStyle name="Row Title 3" xfId="240" xr:uid="{00000000-0005-0000-0000-000045030000}"/>
    <cellStyle name="RRSInstruction" xfId="774" xr:uid="{00000000-0005-0000-0000-000046030000}"/>
    <cellStyle name="s_HardInc " xfId="775" xr:uid="{00000000-0005-0000-0000-000047030000}"/>
    <cellStyle name="s_Valuation " xfId="776" xr:uid="{00000000-0005-0000-0000-000048030000}"/>
    <cellStyle name="same_prices" xfId="241" xr:uid="{00000000-0005-0000-0000-000049030000}"/>
    <cellStyle name="Satisfaisant" xfId="777" xr:uid="{00000000-0005-0000-0000-00004A030000}"/>
    <cellStyle name="ScripFactor" xfId="242" xr:uid="{00000000-0005-0000-0000-00004B030000}"/>
    <cellStyle name="ScripFactor 2" xfId="929" xr:uid="{00000000-0005-0000-0000-00004C030000}"/>
    <cellStyle name="ScripFactor 3" xfId="397" xr:uid="{00000000-0005-0000-0000-00004D030000}"/>
    <cellStyle name="SectionHeaderNormal" xfId="778" xr:uid="{00000000-0005-0000-0000-00004E030000}"/>
    <cellStyle name="SectionHeading" xfId="243" xr:uid="{00000000-0005-0000-0000-00004F030000}"/>
    <cellStyle name="SectionHeading 2" xfId="779" xr:uid="{00000000-0005-0000-0000-000050030000}"/>
    <cellStyle name="Share" xfId="244" xr:uid="{00000000-0005-0000-0000-000051030000}"/>
    <cellStyle name="Share 2" xfId="780" xr:uid="{00000000-0005-0000-0000-000052030000}"/>
    <cellStyle name="Shares" xfId="245" xr:uid="{00000000-0005-0000-0000-000053030000}"/>
    <cellStyle name="SIN_SOMBRA" xfId="781" xr:uid="{00000000-0005-0000-0000-000054030000}"/>
    <cellStyle name="SOMBRA" xfId="782" xr:uid="{00000000-0005-0000-0000-000055030000}"/>
    <cellStyle name="Sombreado nominal" xfId="783" xr:uid="{00000000-0005-0000-0000-000056030000}"/>
    <cellStyle name="Sortie" xfId="784" xr:uid="{00000000-0005-0000-0000-000057030000}"/>
    <cellStyle name="Source" xfId="246" xr:uid="{00000000-0005-0000-0000-000058030000}"/>
    <cellStyle name="Source Line" xfId="785" xr:uid="{00000000-0005-0000-0000-000059030000}"/>
    <cellStyle name="Source/note" xfId="247" xr:uid="{00000000-0005-0000-0000-00005A030000}"/>
    <cellStyle name="SS1000" xfId="248" xr:uid="{00000000-0005-0000-0000-00005B030000}"/>
    <cellStyle name="ssp " xfId="786" xr:uid="{00000000-0005-0000-0000-00005C030000}"/>
    <cellStyle name="Standaard_DUT-BAYERNWERK" xfId="787" xr:uid="{00000000-0005-0000-0000-00005D030000}"/>
    <cellStyle name="Standard" xfId="249" xr:uid="{00000000-0005-0000-0000-00005E030000}"/>
    <cellStyle name="STYL2 - Style2" xfId="788" xr:uid="{00000000-0005-0000-0000-00005F030000}"/>
    <cellStyle name="STYL3 - Style3" xfId="789" xr:uid="{00000000-0005-0000-0000-000060030000}"/>
    <cellStyle name="Style 1" xfId="250" xr:uid="{00000000-0005-0000-0000-000061030000}"/>
    <cellStyle name="Style 1 2" xfId="790" xr:uid="{00000000-0005-0000-0000-000062030000}"/>
    <cellStyle name="Style 2" xfId="791" xr:uid="{00000000-0005-0000-0000-000063030000}"/>
    <cellStyle name="Style 2 2" xfId="792" xr:uid="{00000000-0005-0000-0000-000064030000}"/>
    <cellStyle name="Style 3" xfId="793" xr:uid="{00000000-0005-0000-0000-000065030000}"/>
    <cellStyle name="Style 34" xfId="251" xr:uid="{00000000-0005-0000-0000-000066030000}"/>
    <cellStyle name="Style 35" xfId="252" xr:uid="{00000000-0005-0000-0000-000067030000}"/>
    <cellStyle name="Style 36" xfId="253" xr:uid="{00000000-0005-0000-0000-000068030000}"/>
    <cellStyle name="Style 37" xfId="254" xr:uid="{00000000-0005-0000-0000-000069030000}"/>
    <cellStyle name="Style 38" xfId="255" xr:uid="{00000000-0005-0000-0000-00006A030000}"/>
    <cellStyle name="Style 39" xfId="256" xr:uid="{00000000-0005-0000-0000-00006B030000}"/>
    <cellStyle name="Style 45" xfId="257" xr:uid="{00000000-0005-0000-0000-00006C030000}"/>
    <cellStyle name="Style 46" xfId="258" xr:uid="{00000000-0005-0000-0000-00006D030000}"/>
    <cellStyle name="Style 52" xfId="259" xr:uid="{00000000-0005-0000-0000-00006E030000}"/>
    <cellStyle name="Style 53" xfId="260" xr:uid="{00000000-0005-0000-0000-00006F030000}"/>
    <cellStyle name="Style 65" xfId="261" xr:uid="{00000000-0005-0000-0000-000070030000}"/>
    <cellStyle name="Style 71" xfId="262" xr:uid="{00000000-0005-0000-0000-000071030000}"/>
    <cellStyle name="Subhead" xfId="263" xr:uid="{00000000-0005-0000-0000-000072030000}"/>
    <cellStyle name="Subheadbldun" xfId="264" xr:uid="{00000000-0005-0000-0000-000073030000}"/>
    <cellStyle name="Subheadbldun 2" xfId="930" xr:uid="{00000000-0005-0000-0000-000074030000}"/>
    <cellStyle name="SubHeading1" xfId="265" xr:uid="{00000000-0005-0000-0000-000075030000}"/>
    <cellStyle name="SubScript" xfId="794" xr:uid="{00000000-0005-0000-0000-000076030000}"/>
    <cellStyle name="Subtitle" xfId="266" xr:uid="{00000000-0005-0000-0000-000077030000}"/>
    <cellStyle name="Subtotal_left" xfId="267" xr:uid="{00000000-0005-0000-0000-000078030000}"/>
    <cellStyle name="SuperScript" xfId="795" xr:uid="{00000000-0005-0000-0000-000079030000}"/>
    <cellStyle name="SymbolBlue" xfId="268" xr:uid="{00000000-0005-0000-0000-00007A030000}"/>
    <cellStyle name="SymbolBlue 2" xfId="796" xr:uid="{00000000-0005-0000-0000-00007B030000}"/>
    <cellStyle name="t%" xfId="269" xr:uid="{00000000-0005-0000-0000-00007C030000}"/>
    <cellStyle name="t% 2" xfId="797" xr:uid="{00000000-0005-0000-0000-00007D030000}"/>
    <cellStyle name="Tab" xfId="798" xr:uid="{00000000-0005-0000-0000-00007E030000}"/>
    <cellStyle name="TabG" xfId="799" xr:uid="{00000000-0005-0000-0000-00007F030000}"/>
    <cellStyle name="TabI" xfId="800" xr:uid="{00000000-0005-0000-0000-000080030000}"/>
    <cellStyle name="TABLA_1" xfId="801" xr:uid="{00000000-0005-0000-0000-000081030000}"/>
    <cellStyle name="Table Head" xfId="270" xr:uid="{00000000-0005-0000-0000-000082030000}"/>
    <cellStyle name="Table Head Aligned" xfId="271" xr:uid="{00000000-0005-0000-0000-000083030000}"/>
    <cellStyle name="Table Head Aligned 2" xfId="802" xr:uid="{00000000-0005-0000-0000-000084030000}"/>
    <cellStyle name="Table Head Blue" xfId="272" xr:uid="{00000000-0005-0000-0000-000085030000}"/>
    <cellStyle name="Table Head Green" xfId="273" xr:uid="{00000000-0005-0000-0000-000086030000}"/>
    <cellStyle name="Table Head Green 2" xfId="803" xr:uid="{00000000-0005-0000-0000-000087030000}"/>
    <cellStyle name="Table headers" xfId="274" xr:uid="{00000000-0005-0000-0000-000088030000}"/>
    <cellStyle name="Table headers 2" xfId="804" xr:uid="{00000000-0005-0000-0000-000089030000}"/>
    <cellStyle name="Table Heading" xfId="805" xr:uid="{00000000-0005-0000-0000-00008A030000}"/>
    <cellStyle name="Table stubs" xfId="275" xr:uid="{00000000-0005-0000-0000-00008B030000}"/>
    <cellStyle name="Table text" xfId="276" xr:uid="{00000000-0005-0000-0000-00008C030000}"/>
    <cellStyle name="Table text #,##0;(#,##0)" xfId="277" xr:uid="{00000000-0005-0000-0000-00008D030000}"/>
    <cellStyle name="Table text 0.0" xfId="278" xr:uid="{00000000-0005-0000-0000-00008E030000}"/>
    <cellStyle name="Table text_!PLT Model (Current) (converge to 2-pager)" xfId="279" xr:uid="{00000000-0005-0000-0000-00008F030000}"/>
    <cellStyle name="Table Title" xfId="280" xr:uid="{00000000-0005-0000-0000-000090030000}"/>
    <cellStyle name="Table Units" xfId="281" xr:uid="{00000000-0005-0000-0000-000091030000}"/>
    <cellStyle name="Table_Number" xfId="282" xr:uid="{00000000-0005-0000-0000-000092030000}"/>
    <cellStyle name="TabT" xfId="806" xr:uid="{00000000-0005-0000-0000-000093030000}"/>
    <cellStyle name="TEST" xfId="807" xr:uid="{00000000-0005-0000-0000-000094030000}"/>
    <cellStyle name="TextBold" xfId="808" xr:uid="{00000000-0005-0000-0000-000095030000}"/>
    <cellStyle name="Texte explicatif" xfId="809" xr:uid="{00000000-0005-0000-0000-000096030000}"/>
    <cellStyle name="TextItalic" xfId="810" xr:uid="{00000000-0005-0000-0000-000097030000}"/>
    <cellStyle name="TextNormal" xfId="811" xr:uid="{00000000-0005-0000-0000-000098030000}"/>
    <cellStyle name="ThreeDecimal" xfId="283" xr:uid="{00000000-0005-0000-0000-000099030000}"/>
    <cellStyle name="threedecplace" xfId="284" xr:uid="{00000000-0005-0000-0000-00009A030000}"/>
    <cellStyle name="time" xfId="285" xr:uid="{00000000-0005-0000-0000-00009B030000}"/>
    <cellStyle name="time 2" xfId="931" xr:uid="{00000000-0005-0000-0000-00009C030000}"/>
    <cellStyle name="time 3" xfId="398" xr:uid="{00000000-0005-0000-0000-00009D030000}"/>
    <cellStyle name="times" xfId="286" xr:uid="{00000000-0005-0000-0000-00009E030000}"/>
    <cellStyle name="times 10" xfId="974" xr:uid="{00000000-0005-0000-0000-00009F030000}"/>
    <cellStyle name="times 11" xfId="1026" xr:uid="{00000000-0005-0000-0000-0000A0030000}"/>
    <cellStyle name="Times 12" xfId="287" xr:uid="{00000000-0005-0000-0000-0000A1030000}"/>
    <cellStyle name="times 2" xfId="932" xr:uid="{00000000-0005-0000-0000-0000A2030000}"/>
    <cellStyle name="times 3" xfId="939" xr:uid="{00000000-0005-0000-0000-0000A3030000}"/>
    <cellStyle name="times 4" xfId="399" xr:uid="{00000000-0005-0000-0000-0000A4030000}"/>
    <cellStyle name="times 5" xfId="942" xr:uid="{00000000-0005-0000-0000-0000A5030000}"/>
    <cellStyle name="times 6" xfId="976" xr:uid="{00000000-0005-0000-0000-0000A6030000}"/>
    <cellStyle name="times 7" xfId="987" xr:uid="{00000000-0005-0000-0000-0000A7030000}"/>
    <cellStyle name="times 8" xfId="357" xr:uid="{00000000-0005-0000-0000-0000A8030000}"/>
    <cellStyle name="times 9" xfId="954" xr:uid="{00000000-0005-0000-0000-0000A9030000}"/>
    <cellStyle name="Times_Konecranes_2009-07-29_after Q2 2009" xfId="288" xr:uid="{00000000-0005-0000-0000-0000AA030000}"/>
    <cellStyle name="titel" xfId="289" xr:uid="{00000000-0005-0000-0000-0000AB030000}"/>
    <cellStyle name="Title 2" xfId="812" xr:uid="{00000000-0005-0000-0000-0000AC030000}"/>
    <cellStyle name="Title 3" xfId="813" xr:uid="{00000000-0005-0000-0000-0000AD030000}"/>
    <cellStyle name="Title Line" xfId="814" xr:uid="{00000000-0005-0000-0000-0000AE030000}"/>
    <cellStyle name="title1" xfId="290" xr:uid="{00000000-0005-0000-0000-0000AF030000}"/>
    <cellStyle name="title2" xfId="291" xr:uid="{00000000-0005-0000-0000-0000B0030000}"/>
    <cellStyle name="Title2 2" xfId="815" xr:uid="{00000000-0005-0000-0000-0000B1030000}"/>
    <cellStyle name="TitleCols_Gen_line_pC" xfId="816" xr:uid="{00000000-0005-0000-0000-0000B2030000}"/>
    <cellStyle name="TitleImpCols_Gen_pC" xfId="817" xr:uid="{00000000-0005-0000-0000-0000B3030000}"/>
    <cellStyle name="TitleImpLines_Gen_date_PD" xfId="818" xr:uid="{00000000-0005-0000-0000-0000B4030000}"/>
    <cellStyle name="TitleLines_Date" xfId="819" xr:uid="{00000000-0005-0000-0000-0000B5030000}"/>
    <cellStyle name="TitleNormal" xfId="820" xr:uid="{00000000-0005-0000-0000-0000B6030000}"/>
    <cellStyle name="Titles" xfId="292" xr:uid="{00000000-0005-0000-0000-0000B7030000}"/>
    <cellStyle name="TitleSubCols_Gen_pG" xfId="821" xr:uid="{00000000-0005-0000-0000-0000B8030000}"/>
    <cellStyle name="Titre" xfId="822" xr:uid="{00000000-0005-0000-0000-0000B9030000}"/>
    <cellStyle name="Titre 2" xfId="823" xr:uid="{00000000-0005-0000-0000-0000BA030000}"/>
    <cellStyle name="Titre 1" xfId="824" xr:uid="{00000000-0005-0000-0000-0000BB030000}"/>
    <cellStyle name="Titre 2" xfId="825" xr:uid="{00000000-0005-0000-0000-0000BC030000}"/>
    <cellStyle name="Titre 3" xfId="826" xr:uid="{00000000-0005-0000-0000-0000BD030000}"/>
    <cellStyle name="Titre 4" xfId="827" xr:uid="{00000000-0005-0000-0000-0000BE030000}"/>
    <cellStyle name="titre_col" xfId="828" xr:uid="{00000000-0005-0000-0000-0000BF030000}"/>
    <cellStyle name="TITULO_1" xfId="829" xr:uid="{00000000-0005-0000-0000-0000C0030000}"/>
    <cellStyle name="Top Row" xfId="830" xr:uid="{00000000-0005-0000-0000-0000C1030000}"/>
    <cellStyle name="TopGrey" xfId="293" xr:uid="{00000000-0005-0000-0000-0000C2030000}"/>
    <cellStyle name="TopGrey 2" xfId="933" xr:uid="{00000000-0005-0000-0000-0000C3030000}"/>
    <cellStyle name="Topline" xfId="294" xr:uid="{00000000-0005-0000-0000-0000C4030000}"/>
    <cellStyle name="Topline 2" xfId="831" xr:uid="{00000000-0005-0000-0000-0000C5030000}"/>
    <cellStyle name="Topline 3" xfId="400" xr:uid="{00000000-0005-0000-0000-0000C6030000}"/>
    <cellStyle name="total [0]" xfId="832" xr:uid="{00000000-0005-0000-0000-0000C7030000}"/>
    <cellStyle name="total [1]" xfId="833" xr:uid="{00000000-0005-0000-0000-0000C8030000}"/>
    <cellStyle name="Total [2]" xfId="834" xr:uid="{00000000-0005-0000-0000-0000C9030000}"/>
    <cellStyle name="total [3]" xfId="835" xr:uid="{00000000-0005-0000-0000-0000CA030000}"/>
    <cellStyle name="Total 10" xfId="836" xr:uid="{00000000-0005-0000-0000-0000CB030000}"/>
    <cellStyle name="Total 11" xfId="837" xr:uid="{00000000-0005-0000-0000-0000CC030000}"/>
    <cellStyle name="Total 2" xfId="838" xr:uid="{00000000-0005-0000-0000-0000CD030000}"/>
    <cellStyle name="Total 3" xfId="839" xr:uid="{00000000-0005-0000-0000-0000CE030000}"/>
    <cellStyle name="Total 4" xfId="840" xr:uid="{00000000-0005-0000-0000-0000CF030000}"/>
    <cellStyle name="Total 5" xfId="841" xr:uid="{00000000-0005-0000-0000-0000D0030000}"/>
    <cellStyle name="Total 6" xfId="842" xr:uid="{00000000-0005-0000-0000-0000D1030000}"/>
    <cellStyle name="Total 7" xfId="843" xr:uid="{00000000-0005-0000-0000-0000D2030000}"/>
    <cellStyle name="Total 8" xfId="844" xr:uid="{00000000-0005-0000-0000-0000D3030000}"/>
    <cellStyle name="Total 9" xfId="845" xr:uid="{00000000-0005-0000-0000-0000D4030000}"/>
    <cellStyle name="Total Row" xfId="846" xr:uid="{00000000-0005-0000-0000-0000D5030000}"/>
    <cellStyle name="Totals" xfId="295" xr:uid="{00000000-0005-0000-0000-0000D6030000}"/>
    <cellStyle name="Totals 2" xfId="934" xr:uid="{00000000-0005-0000-0000-0000D7030000}"/>
    <cellStyle name="Totals 3" xfId="401" xr:uid="{00000000-0005-0000-0000-0000D8030000}"/>
    <cellStyle name="Totals bold" xfId="296" xr:uid="{00000000-0005-0000-0000-0000D9030000}"/>
    <cellStyle name="Totals_!PLT Model (Current) (converge to 2-pager)" xfId="297" xr:uid="{00000000-0005-0000-0000-0000DA030000}"/>
    <cellStyle name="twodecplace" xfId="298" xr:uid="{00000000-0005-0000-0000-0000DB030000}"/>
    <cellStyle name="Twodig" xfId="299" xr:uid="{00000000-0005-0000-0000-0000DC030000}"/>
    <cellStyle name="Underline" xfId="300" xr:uid="{00000000-0005-0000-0000-0000DD030000}"/>
    <cellStyle name="Upload Only" xfId="301" xr:uid="{00000000-0005-0000-0000-0000DE030000}"/>
    <cellStyle name="Upload Only 2" xfId="847" xr:uid="{00000000-0005-0000-0000-0000DF030000}"/>
    <cellStyle name="Validation" xfId="302" xr:uid="{00000000-0005-0000-0000-0000E0030000}"/>
    <cellStyle name="Valuta [0]_CONVERSI" xfId="848" xr:uid="{00000000-0005-0000-0000-0000E1030000}"/>
    <cellStyle name="Valuta_CONVERSI" xfId="849" xr:uid="{00000000-0005-0000-0000-0000E2030000}"/>
    <cellStyle name="Vérification" xfId="850" xr:uid="{00000000-0005-0000-0000-0000E3030000}"/>
    <cellStyle name="Währung [0]_CIBA.H12001" xfId="303" xr:uid="{00000000-0005-0000-0000-0000E4030000}"/>
    <cellStyle name="Währung_CIBA.H12001" xfId="304" xr:uid="{00000000-0005-0000-0000-0000E5030000}"/>
    <cellStyle name="Warning Text 2" xfId="851" xr:uid="{00000000-0005-0000-0000-0000E6030000}"/>
    <cellStyle name="white" xfId="305" xr:uid="{00000000-0005-0000-0000-0000E7030000}"/>
    <cellStyle name="White/unprot" xfId="306" xr:uid="{00000000-0005-0000-0000-0000E8030000}"/>
    <cellStyle name="White/unprot 2" xfId="935" xr:uid="{00000000-0005-0000-0000-0000E9030000}"/>
    <cellStyle name="White/unprot 3" xfId="405" xr:uid="{00000000-0005-0000-0000-0000EA030000}"/>
    <cellStyle name="Wild guess" xfId="307" xr:uid="{00000000-0005-0000-0000-0000EB030000}"/>
    <cellStyle name="Wildguess" xfId="308" xr:uid="{00000000-0005-0000-0000-0000EC030000}"/>
    <cellStyle name="WingdingsBlack" xfId="309" xr:uid="{00000000-0005-0000-0000-0000ED030000}"/>
    <cellStyle name="WingdingsRed" xfId="310" xr:uid="{00000000-0005-0000-0000-0000EE030000}"/>
    <cellStyle name="WingdingsWhite" xfId="311" xr:uid="{00000000-0005-0000-0000-0000EF030000}"/>
    <cellStyle name="WP" xfId="312" xr:uid="{00000000-0005-0000-0000-0000F0030000}"/>
    <cellStyle name="x Men" xfId="313" xr:uid="{00000000-0005-0000-0000-0000F1030000}"/>
    <cellStyle name="year" xfId="314" xr:uid="{00000000-0005-0000-0000-0000F2030000}"/>
    <cellStyle name="year 2" xfId="852" xr:uid="{00000000-0005-0000-0000-0000F3030000}"/>
    <cellStyle name="Year Estimate" xfId="315" xr:uid="{00000000-0005-0000-0000-0000F4030000}"/>
    <cellStyle name="Year Figures" xfId="316" xr:uid="{00000000-0005-0000-0000-0000F5030000}"/>
    <cellStyle name="Year Figures 2" xfId="936" xr:uid="{00000000-0005-0000-0000-0000F6030000}"/>
    <cellStyle name="Year Figures 3" xfId="409" xr:uid="{00000000-0005-0000-0000-0000F7030000}"/>
    <cellStyle name="Year Figures Bold" xfId="317" xr:uid="{00000000-0005-0000-0000-0000F8030000}"/>
    <cellStyle name="Year Figures_!PLT Model (Current) (converge to 2-pager)" xfId="318" xr:uid="{00000000-0005-0000-0000-0000F9030000}"/>
    <cellStyle name="Year Headings" xfId="319" xr:uid="{00000000-0005-0000-0000-0000FA030000}"/>
    <cellStyle name="Year Headings 2" xfId="937" xr:uid="{00000000-0005-0000-0000-0000FB030000}"/>
    <cellStyle name="Year Headings 3" xfId="410" xr:uid="{00000000-0005-0000-0000-0000FC030000}"/>
    <cellStyle name="Year_segs" xfId="320" xr:uid="{00000000-0005-0000-0000-0000FD030000}"/>
    <cellStyle name="YearFormat" xfId="321" xr:uid="{00000000-0005-0000-0000-0000FE030000}"/>
    <cellStyle name="YearFormat 2" xfId="853" xr:uid="{00000000-0005-0000-0000-0000FF030000}"/>
    <cellStyle name="YearInput" xfId="322" xr:uid="{00000000-0005-0000-0000-000000040000}"/>
    <cellStyle name="YearInputBk" xfId="323" xr:uid="{00000000-0005-0000-0000-000001040000}"/>
    <cellStyle name="YearInputBk 2" xfId="854" xr:uid="{00000000-0005-0000-0000-000002040000}"/>
    <cellStyle name="YearInputBu" xfId="324" xr:uid="{00000000-0005-0000-0000-000003040000}"/>
    <cellStyle name="YearInputBu 2" xfId="855" xr:uid="{00000000-0005-0000-0000-000004040000}"/>
    <cellStyle name="콤마 [0]_#3이설 견적_준공내역총괄표 " xfId="856" xr:uid="{00000000-0005-0000-0000-000005040000}"/>
    <cellStyle name="콤마_#3이설 견적_준공내역총괄표 " xfId="857" xr:uid="{00000000-0005-0000-0000-000006040000}"/>
    <cellStyle name="一般_bs992q" xfId="858" xr:uid="{00000000-0005-0000-0000-000007040000}"/>
    <cellStyle name="標準_20021025_web-annual_base_ja" xfId="859" xr:uid="{00000000-0005-0000-0000-000008040000}"/>
    <cellStyle name="貨幣[0]_112906" xfId="860" xr:uid="{00000000-0005-0000-0000-00000904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85725</xdr:colOff>
      <xdr:row>0</xdr:row>
      <xdr:rowOff>47624</xdr:rowOff>
    </xdr:from>
    <xdr:to>
      <xdr:col>17</xdr:col>
      <xdr:colOff>600075</xdr:colOff>
      <xdr:row>0</xdr:row>
      <xdr:rowOff>447675</xdr:rowOff>
    </xdr:to>
    <xdr:sp macro="" textlink="">
      <xdr:nvSpPr>
        <xdr:cNvPr id="2" name="Left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7392650" y="47624"/>
          <a:ext cx="1123950" cy="400051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Do not change</a:t>
          </a:r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223497" y="100853"/>
          <a:ext cx="504264" cy="3473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85725</xdr:colOff>
      <xdr:row>0</xdr:row>
      <xdr:rowOff>47624</xdr:rowOff>
    </xdr:from>
    <xdr:to>
      <xdr:col>17</xdr:col>
      <xdr:colOff>600075</xdr:colOff>
      <xdr:row>0</xdr:row>
      <xdr:rowOff>447675</xdr:rowOff>
    </xdr:to>
    <xdr:sp macro="" textlink="">
      <xdr:nvSpPr>
        <xdr:cNvPr id="4" name="Left Arrow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7392650" y="47624"/>
          <a:ext cx="1123950" cy="400051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Do not change</a:t>
          </a:r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223497" y="100853"/>
          <a:ext cx="504264" cy="3473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85725</xdr:colOff>
      <xdr:row>0</xdr:row>
      <xdr:rowOff>47624</xdr:rowOff>
    </xdr:from>
    <xdr:to>
      <xdr:col>17</xdr:col>
      <xdr:colOff>600075</xdr:colOff>
      <xdr:row>0</xdr:row>
      <xdr:rowOff>447675</xdr:rowOff>
    </xdr:to>
    <xdr:sp macro="" textlink="">
      <xdr:nvSpPr>
        <xdr:cNvPr id="6" name="Left Arrow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792700" y="47624"/>
          <a:ext cx="1123950" cy="400051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Do not change</a:t>
          </a:r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623547" y="100853"/>
          <a:ext cx="504264" cy="3473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16</xdr:col>
      <xdr:colOff>85725</xdr:colOff>
      <xdr:row>0</xdr:row>
      <xdr:rowOff>47624</xdr:rowOff>
    </xdr:from>
    <xdr:to>
      <xdr:col>17</xdr:col>
      <xdr:colOff>600075</xdr:colOff>
      <xdr:row>0</xdr:row>
      <xdr:rowOff>447675</xdr:rowOff>
    </xdr:to>
    <xdr:sp macro="" textlink="">
      <xdr:nvSpPr>
        <xdr:cNvPr id="8" name="Left Arrow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7792700" y="47624"/>
          <a:ext cx="1123950" cy="400051"/>
        </a:xfrm>
        <a:prstGeom prst="left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Do not change</a:t>
          </a:r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623547" y="100853"/>
          <a:ext cx="504264" cy="34738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ainLoop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33" name="Rectangl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44" name="Rectangle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45" name="Rectangl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47" name="Rectangle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1232647</xdr:colOff>
      <xdr:row>0</xdr:row>
      <xdr:rowOff>100853</xdr:rowOff>
    </xdr:from>
    <xdr:to>
      <xdr:col>2</xdr:col>
      <xdr:colOff>1736911</xdr:colOff>
      <xdr:row>0</xdr:row>
      <xdr:rowOff>448235</xdr:rowOff>
    </xdr:to>
    <xdr:sp macro="[0]!mmMain.MainLoop" textlink="">
      <xdr:nvSpPr>
        <xdr:cNvPr id="49" name="Rectangl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366372" y="100853"/>
          <a:ext cx="504264" cy="28070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95249</xdr:rowOff>
    </xdr:from>
    <xdr:to>
      <xdr:col>0</xdr:col>
      <xdr:colOff>2286000</xdr:colOff>
      <xdr:row>0</xdr:row>
      <xdr:rowOff>857250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5725" y="95249"/>
          <a:ext cx="2200275" cy="762001"/>
        </a:xfrm>
        <a:prstGeom prst="downArrow">
          <a:avLst>
            <a:gd name="adj1" fmla="val 61940"/>
            <a:gd name="adj2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/>
            <a:t>TICKERS GO HERE</a:t>
          </a:r>
        </a:p>
      </xdr:txBody>
    </xdr:sp>
    <xdr:clientData/>
  </xdr:twoCellAnchor>
  <xdr:twoCellAnchor>
    <xdr:from>
      <xdr:col>2</xdr:col>
      <xdr:colOff>28575</xdr:colOff>
      <xdr:row>10</xdr:row>
      <xdr:rowOff>180975</xdr:rowOff>
    </xdr:from>
    <xdr:to>
      <xdr:col>3</xdr:col>
      <xdr:colOff>695325</xdr:colOff>
      <xdr:row>13</xdr:row>
      <xdr:rowOff>123825</xdr:rowOff>
    </xdr:to>
    <xdr:sp macro="[0]!Choices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933700" y="2819400"/>
          <a:ext cx="1571625" cy="514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Refresh Data</a:t>
          </a:r>
        </a:p>
      </xdr:txBody>
    </xdr:sp>
    <xdr:clientData/>
  </xdr:twoCellAnchor>
  <xdr:twoCellAnchor>
    <xdr:from>
      <xdr:col>4</xdr:col>
      <xdr:colOff>457200</xdr:colOff>
      <xdr:row>11</xdr:row>
      <xdr:rowOff>0</xdr:rowOff>
    </xdr:from>
    <xdr:to>
      <xdr:col>6</xdr:col>
      <xdr:colOff>561975</xdr:colOff>
      <xdr:row>13</xdr:row>
      <xdr:rowOff>161925</xdr:rowOff>
    </xdr:to>
    <xdr:sp macro="[0]!Migrate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219700" y="2847975"/>
          <a:ext cx="1619250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/>
            <a:t>Make ROIC Sheet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171450</xdr:rowOff>
        </xdr:from>
        <xdr:to>
          <xdr:col>3</xdr:col>
          <xdr:colOff>471488</xdr:colOff>
          <xdr:row>0</xdr:row>
          <xdr:rowOff>676275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nalyse/Base%20products/M&#233;taux/Acier/Pricing%20model/Steel%20assumptions/sta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CES"/>
      <sheetName val="ST EXPORT"/>
      <sheetName val="2Y Graph"/>
      <sheetName val="PrGRAPH"/>
      <sheetName val="SALESPRES"/>
      <sheetName val="QoQ overview"/>
      <sheetName val="ImpExport"/>
      <sheetName val="ST PROD_MEPS"/>
      <sheetName val="CONS"/>
      <sheetName val="Summary"/>
      <sheetName val="PROD_MB_MAAND"/>
      <sheetName val="PROD_MB_HJ"/>
    </sheet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>
        <row r="65">
          <cell r="C65">
            <v>2</v>
          </cell>
          <cell r="D65">
            <v>3</v>
          </cell>
        </row>
        <row r="66">
          <cell r="C66">
            <v>4.1085563513004146</v>
          </cell>
          <cell r="D66">
            <v>3.8544238273472962</v>
          </cell>
        </row>
      </sheetData>
      <sheetData sheetId="11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HardC"/>
  <dimension ref="A1:AB138"/>
  <sheetViews>
    <sheetView workbookViewId="0">
      <selection activeCell="N12" sqref="N12"/>
    </sheetView>
  </sheetViews>
  <sheetFormatPr defaultRowHeight="14.25"/>
  <cols>
    <col min="1" max="1" width="13.86328125" bestFit="1" customWidth="1"/>
    <col min="2" max="2" width="16.59765625" bestFit="1" customWidth="1"/>
    <col min="17" max="27" width="8.86328125"/>
  </cols>
  <sheetData>
    <row r="1" spans="1:28">
      <c r="A1" t="s">
        <v>1580</v>
      </c>
      <c r="B1" t="s">
        <v>376</v>
      </c>
      <c r="C1">
        <v>2004</v>
      </c>
      <c r="D1">
        <v>2005</v>
      </c>
      <c r="E1">
        <v>2006</v>
      </c>
      <c r="F1">
        <v>2007</v>
      </c>
      <c r="G1">
        <v>2008</v>
      </c>
      <c r="H1">
        <v>2009</v>
      </c>
      <c r="I1">
        <v>2010</v>
      </c>
      <c r="J1">
        <v>2011</v>
      </c>
      <c r="K1">
        <v>2012</v>
      </c>
      <c r="L1">
        <v>2013</v>
      </c>
      <c r="M1">
        <v>2014</v>
      </c>
      <c r="N1">
        <v>2015</v>
      </c>
      <c r="O1">
        <v>2016</v>
      </c>
      <c r="P1">
        <v>2017</v>
      </c>
      <c r="Q1">
        <v>2018</v>
      </c>
      <c r="R1">
        <f>Q1+1</f>
        <v>2019</v>
      </c>
      <c r="S1">
        <f t="shared" ref="S1:T1" si="0">R1+1</f>
        <v>2020</v>
      </c>
      <c r="T1">
        <f t="shared" si="0"/>
        <v>2021</v>
      </c>
      <c r="AB1" t="s">
        <v>1746</v>
      </c>
    </row>
    <row r="2" spans="1:28">
      <c r="A2" t="s">
        <v>1547</v>
      </c>
      <c r="B2" t="s">
        <v>1577</v>
      </c>
      <c r="C2" s="78" t="s">
        <v>289</v>
      </c>
      <c r="D2" s="78" t="s">
        <v>289</v>
      </c>
      <c r="E2" s="78" t="s">
        <v>289</v>
      </c>
      <c r="F2" s="78" t="s">
        <v>289</v>
      </c>
      <c r="G2" s="78">
        <v>88.4</v>
      </c>
      <c r="H2" s="78">
        <v>81.3</v>
      </c>
      <c r="I2" s="78">
        <v>123</v>
      </c>
      <c r="J2" s="78">
        <v>110.7</v>
      </c>
      <c r="K2" s="78">
        <v>117.8</v>
      </c>
      <c r="L2" s="78">
        <v>119</v>
      </c>
      <c r="M2" s="78" t="s">
        <v>289</v>
      </c>
      <c r="N2" s="78" t="s">
        <v>289</v>
      </c>
      <c r="O2" s="78" t="s">
        <v>289</v>
      </c>
      <c r="P2" s="78" t="s">
        <v>289</v>
      </c>
      <c r="Q2" s="78" t="s">
        <v>289</v>
      </c>
      <c r="R2" s="78" t="s">
        <v>289</v>
      </c>
      <c r="S2" s="78" t="s">
        <v>289</v>
      </c>
      <c r="T2" s="78" t="s">
        <v>289</v>
      </c>
      <c r="U2" s="78"/>
      <c r="V2" s="78"/>
      <c r="W2" s="78"/>
      <c r="X2" s="78"/>
      <c r="Y2" s="78"/>
      <c r="Z2" s="78"/>
    </row>
    <row r="3" spans="1:28">
      <c r="A3" t="s">
        <v>1546</v>
      </c>
      <c r="B3" t="s">
        <v>1577</v>
      </c>
      <c r="C3" s="78">
        <v>29.4</v>
      </c>
      <c r="D3" s="78">
        <v>39.200000000000003</v>
      </c>
      <c r="E3" s="78">
        <v>43.4</v>
      </c>
      <c r="F3" s="78">
        <v>43.3</v>
      </c>
      <c r="G3" s="78">
        <v>47.9</v>
      </c>
      <c r="H3" s="78">
        <v>50.6</v>
      </c>
      <c r="I3" s="78">
        <v>50.1</v>
      </c>
      <c r="J3" s="78">
        <v>49.3</v>
      </c>
      <c r="K3" s="78">
        <v>46.3</v>
      </c>
      <c r="L3" s="78">
        <v>48.2</v>
      </c>
      <c r="M3" s="78" t="s">
        <v>289</v>
      </c>
      <c r="N3" s="78" t="s">
        <v>289</v>
      </c>
      <c r="O3" s="78" t="s">
        <v>289</v>
      </c>
      <c r="P3" s="78" t="s">
        <v>289</v>
      </c>
      <c r="Q3" s="78" t="s">
        <v>289</v>
      </c>
      <c r="R3" s="78" t="s">
        <v>289</v>
      </c>
      <c r="S3" s="78" t="s">
        <v>289</v>
      </c>
      <c r="T3" s="78" t="s">
        <v>289</v>
      </c>
      <c r="U3" s="78"/>
      <c r="V3" s="78"/>
      <c r="W3" s="78"/>
      <c r="X3" s="78"/>
      <c r="Y3" s="78"/>
      <c r="Z3" s="78"/>
    </row>
    <row r="4" spans="1:28">
      <c r="A4" t="s">
        <v>1592</v>
      </c>
      <c r="B4" t="s">
        <v>1581</v>
      </c>
      <c r="C4" s="78" t="s">
        <v>289</v>
      </c>
      <c r="D4" s="78" t="s">
        <v>289</v>
      </c>
      <c r="E4" s="78" t="s">
        <v>289</v>
      </c>
      <c r="F4" s="78">
        <f>14.854+8.835</f>
        <v>23.689</v>
      </c>
      <c r="G4" s="78">
        <f>12.083+9.98</f>
        <v>22.063000000000002</v>
      </c>
      <c r="H4" s="78" t="s">
        <v>289</v>
      </c>
      <c r="I4" s="78" t="s">
        <v>289</v>
      </c>
      <c r="J4" s="78" t="s">
        <v>289</v>
      </c>
      <c r="K4" s="78" t="s">
        <v>289</v>
      </c>
      <c r="L4" s="78" t="s">
        <v>289</v>
      </c>
      <c r="M4" s="78" t="s">
        <v>289</v>
      </c>
      <c r="N4" s="78" t="s">
        <v>289</v>
      </c>
      <c r="O4" s="78" t="s">
        <v>289</v>
      </c>
      <c r="P4" s="78" t="s">
        <v>289</v>
      </c>
      <c r="Q4" s="78" t="s">
        <v>289</v>
      </c>
      <c r="R4" s="78" t="s">
        <v>289</v>
      </c>
      <c r="S4" s="78" t="s">
        <v>289</v>
      </c>
      <c r="T4" s="78" t="s">
        <v>289</v>
      </c>
      <c r="U4" s="78"/>
      <c r="V4" s="78"/>
      <c r="W4" s="78"/>
      <c r="X4" s="78"/>
      <c r="Y4" s="78"/>
      <c r="Z4" s="78"/>
    </row>
    <row r="5" spans="1:28">
      <c r="A5" t="s">
        <v>1593</v>
      </c>
      <c r="B5" t="s">
        <v>1745</v>
      </c>
      <c r="C5" s="78" t="s">
        <v>289</v>
      </c>
      <c r="D5" s="78" t="s">
        <v>289</v>
      </c>
      <c r="E5" s="78" t="s">
        <v>289</v>
      </c>
      <c r="F5" s="78" t="s">
        <v>289</v>
      </c>
      <c r="G5" s="78" t="s">
        <v>289</v>
      </c>
      <c r="H5" s="78">
        <v>-57.143000000000001</v>
      </c>
      <c r="I5" s="78">
        <v>-55.575000000000003</v>
      </c>
      <c r="J5" s="78">
        <v>-51.116999999999997</v>
      </c>
      <c r="K5" s="78">
        <v>-49.512999999999998</v>
      </c>
      <c r="L5" s="78">
        <v>-40.234999999999999</v>
      </c>
      <c r="M5" s="78">
        <v>-36.26</v>
      </c>
      <c r="N5" s="78" t="s">
        <v>289</v>
      </c>
      <c r="O5" s="78" t="s">
        <v>289</v>
      </c>
      <c r="P5" s="78" t="s">
        <v>289</v>
      </c>
      <c r="Q5" s="78" t="s">
        <v>289</v>
      </c>
      <c r="R5" s="78" t="s">
        <v>289</v>
      </c>
      <c r="S5" s="78" t="s">
        <v>289</v>
      </c>
      <c r="T5" s="78" t="s">
        <v>289</v>
      </c>
      <c r="U5" s="78"/>
      <c r="V5" s="78"/>
      <c r="W5" s="78"/>
      <c r="X5" s="78"/>
      <c r="Y5" s="78"/>
      <c r="Z5" s="78"/>
      <c r="AB5" s="96" t="s">
        <v>1747</v>
      </c>
    </row>
    <row r="6" spans="1:28">
      <c r="A6" t="s">
        <v>2473</v>
      </c>
      <c r="B6" t="s">
        <v>2493</v>
      </c>
      <c r="C6" s="78">
        <v>0</v>
      </c>
      <c r="D6" s="78">
        <v>1.9</v>
      </c>
      <c r="E6" s="78">
        <v>8</v>
      </c>
      <c r="F6" s="78">
        <v>13.4</v>
      </c>
      <c r="G6" s="78">
        <v>14.6</v>
      </c>
      <c r="H6" s="78">
        <v>16.2</v>
      </c>
      <c r="I6" s="78">
        <v>3.2</v>
      </c>
      <c r="J6" s="78">
        <v>3.9</v>
      </c>
      <c r="K6" s="78">
        <v>18.3</v>
      </c>
      <c r="L6" s="78">
        <v>24.2</v>
      </c>
      <c r="M6" s="78">
        <v>31.2</v>
      </c>
      <c r="N6" s="78">
        <v>-49.9</v>
      </c>
      <c r="O6" s="78" t="s">
        <v>289</v>
      </c>
      <c r="P6" s="78">
        <v>0</v>
      </c>
      <c r="Q6" s="78">
        <v>0</v>
      </c>
      <c r="R6" s="78" t="s">
        <v>289</v>
      </c>
      <c r="S6" s="78" t="s">
        <v>289</v>
      </c>
      <c r="T6" s="78" t="s">
        <v>289</v>
      </c>
      <c r="U6" s="78"/>
      <c r="V6" s="78"/>
      <c r="W6" s="78"/>
      <c r="X6" s="78"/>
      <c r="Y6" s="78"/>
      <c r="Z6" s="78"/>
    </row>
    <row r="7" spans="1:28">
      <c r="A7" t="s">
        <v>2473</v>
      </c>
      <c r="B7" t="s">
        <v>3068</v>
      </c>
      <c r="C7" s="78" t="s">
        <v>289</v>
      </c>
      <c r="D7" s="78" t="s">
        <v>289</v>
      </c>
      <c r="E7" s="78" t="s">
        <v>289</v>
      </c>
      <c r="F7" s="78" t="s">
        <v>289</v>
      </c>
      <c r="G7" s="78" t="s">
        <v>289</v>
      </c>
      <c r="H7" s="78" t="s">
        <v>289</v>
      </c>
      <c r="I7" s="78" t="s">
        <v>289</v>
      </c>
      <c r="J7" s="78" t="s">
        <v>289</v>
      </c>
      <c r="K7" s="78" t="s">
        <v>289</v>
      </c>
      <c r="L7" s="78" t="s">
        <v>289</v>
      </c>
      <c r="M7" s="78" t="s">
        <v>289</v>
      </c>
      <c r="N7" s="78" t="s">
        <v>289</v>
      </c>
      <c r="O7" s="78">
        <v>-2</v>
      </c>
      <c r="P7" s="78">
        <v>-4.8</v>
      </c>
      <c r="Q7" s="78">
        <v>-6.9</v>
      </c>
      <c r="R7" s="78" t="s">
        <v>289</v>
      </c>
      <c r="S7" s="78" t="s">
        <v>289</v>
      </c>
      <c r="T7" s="78" t="s">
        <v>289</v>
      </c>
      <c r="U7" s="78"/>
      <c r="V7" s="78"/>
      <c r="W7" s="78"/>
      <c r="X7" s="78"/>
      <c r="Y7" s="78"/>
      <c r="Z7" s="78"/>
    </row>
    <row r="8" spans="1:28">
      <c r="A8" t="s">
        <v>2473</v>
      </c>
      <c r="B8" s="65" t="s">
        <v>3114</v>
      </c>
      <c r="C8" s="78" t="s">
        <v>289</v>
      </c>
      <c r="D8" s="78" t="s">
        <v>289</v>
      </c>
      <c r="E8" s="78" t="s">
        <v>289</v>
      </c>
      <c r="F8" s="78" t="s">
        <v>289</v>
      </c>
      <c r="G8" s="78" t="s">
        <v>289</v>
      </c>
      <c r="H8" s="78" t="s">
        <v>289</v>
      </c>
      <c r="I8" s="78" t="s">
        <v>289</v>
      </c>
      <c r="J8" s="78" t="s">
        <v>289</v>
      </c>
      <c r="K8" s="78" t="s">
        <v>289</v>
      </c>
      <c r="L8" s="78" t="s">
        <v>289</v>
      </c>
      <c r="M8" s="78" t="s">
        <v>289</v>
      </c>
      <c r="N8" s="78" t="s">
        <v>289</v>
      </c>
      <c r="O8" s="78">
        <v>-20.8</v>
      </c>
      <c r="P8" s="78" t="s">
        <v>289</v>
      </c>
      <c r="Q8" s="78" t="s">
        <v>289</v>
      </c>
      <c r="R8" s="78" t="s">
        <v>289</v>
      </c>
      <c r="S8" s="78" t="s">
        <v>289</v>
      </c>
      <c r="T8" s="78" t="s">
        <v>289</v>
      </c>
      <c r="U8" s="78"/>
      <c r="V8" s="78"/>
      <c r="W8" s="78"/>
      <c r="X8" s="78"/>
      <c r="Y8" s="78"/>
      <c r="Z8" s="78"/>
    </row>
    <row r="9" spans="1:28">
      <c r="A9" t="s">
        <v>3793</v>
      </c>
      <c r="B9" s="65" t="s">
        <v>1776</v>
      </c>
      <c r="C9" s="78">
        <v>-1501</v>
      </c>
      <c r="D9" s="78">
        <v>-1432</v>
      </c>
      <c r="E9" s="78">
        <v>-1478</v>
      </c>
      <c r="F9" s="78">
        <v>-1446</v>
      </c>
      <c r="G9" s="78">
        <v>-2216</v>
      </c>
      <c r="H9" s="78">
        <v>-1948</v>
      </c>
      <c r="I9" s="78">
        <v>-1667</v>
      </c>
      <c r="J9" s="78">
        <v>-1666</v>
      </c>
      <c r="K9" s="78">
        <v>-2615</v>
      </c>
      <c r="L9" s="78">
        <v>-4021</v>
      </c>
      <c r="M9" s="78">
        <v>-4601</v>
      </c>
      <c r="N9" s="78">
        <v>-5021</v>
      </c>
      <c r="O9" s="78">
        <v>-5750</v>
      </c>
      <c r="P9" s="78">
        <v>-5260</v>
      </c>
      <c r="Q9" s="78">
        <v>-5234</v>
      </c>
      <c r="R9" s="78">
        <v>-5171</v>
      </c>
      <c r="S9" s="78">
        <v>-6473</v>
      </c>
      <c r="T9" s="78">
        <v>-7843</v>
      </c>
      <c r="U9" s="78"/>
      <c r="V9" s="78"/>
      <c r="W9" s="78"/>
      <c r="X9" s="78"/>
      <c r="Y9" s="78"/>
      <c r="Z9" s="78"/>
    </row>
    <row r="10" spans="1:28">
      <c r="B10" s="65"/>
      <c r="C10" s="78"/>
      <c r="D10" s="78"/>
      <c r="E10" s="78"/>
      <c r="F10" s="78"/>
      <c r="G10" s="78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spans="1:28">
      <c r="B11" s="65"/>
      <c r="C11" s="78"/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spans="1:28">
      <c r="B12" s="65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spans="1:28">
      <c r="B13" s="65"/>
      <c r="C13" s="64"/>
      <c r="D13" s="64"/>
      <c r="E13" s="64"/>
      <c r="F13" s="66"/>
      <c r="G13" s="3"/>
    </row>
    <row r="14" spans="1:28">
      <c r="B14" s="65"/>
      <c r="C14" s="64"/>
      <c r="D14" s="64"/>
      <c r="E14" s="64"/>
      <c r="F14" s="66"/>
      <c r="G14" s="3"/>
    </row>
    <row r="15" spans="1:28">
      <c r="B15" s="65"/>
      <c r="C15" s="64"/>
      <c r="D15" s="64"/>
      <c r="E15" s="64"/>
      <c r="F15" s="66"/>
      <c r="G15" s="3"/>
    </row>
    <row r="16" spans="1:28">
      <c r="B16" s="65"/>
      <c r="C16" s="64"/>
      <c r="D16" s="64"/>
      <c r="E16" s="64"/>
      <c r="F16" s="66"/>
      <c r="G16" s="3"/>
    </row>
    <row r="17" spans="2:7">
      <c r="B17" s="65"/>
      <c r="C17" s="64"/>
      <c r="D17" s="64"/>
      <c r="E17" s="64"/>
      <c r="F17" s="66"/>
      <c r="G17" s="3"/>
    </row>
    <row r="18" spans="2:7">
      <c r="B18" s="65"/>
      <c r="C18" s="64"/>
      <c r="D18" s="64"/>
      <c r="E18" s="64"/>
      <c r="F18" s="66"/>
      <c r="G18" s="3"/>
    </row>
    <row r="19" spans="2:7">
      <c r="B19" s="65"/>
      <c r="C19" s="64"/>
      <c r="D19" s="64"/>
      <c r="E19" s="64"/>
      <c r="F19" s="66"/>
      <c r="G19" s="3"/>
    </row>
    <row r="20" spans="2:7">
      <c r="B20" s="65"/>
      <c r="C20" s="64"/>
      <c r="D20" s="64"/>
      <c r="E20" s="64"/>
      <c r="F20" s="66"/>
      <c r="G20" s="3"/>
    </row>
    <row r="21" spans="2:7">
      <c r="B21" s="65"/>
      <c r="C21" s="64"/>
      <c r="D21" s="64"/>
      <c r="E21" s="64"/>
      <c r="F21" s="66"/>
      <c r="G21" s="3"/>
    </row>
    <row r="22" spans="2:7">
      <c r="B22" s="65"/>
      <c r="C22" s="64"/>
      <c r="D22" s="64"/>
      <c r="E22" s="64"/>
      <c r="F22" s="66"/>
      <c r="G22" s="3"/>
    </row>
    <row r="23" spans="2:7">
      <c r="B23" s="65"/>
      <c r="C23" s="64"/>
      <c r="D23" s="64"/>
      <c r="E23" s="64"/>
      <c r="F23" s="66"/>
      <c r="G23" s="3"/>
    </row>
    <row r="24" spans="2:7">
      <c r="B24" s="65"/>
      <c r="C24" s="64"/>
      <c r="D24" s="64"/>
      <c r="E24" s="64"/>
      <c r="F24" s="66"/>
      <c r="G24" s="3"/>
    </row>
    <row r="25" spans="2:7">
      <c r="B25" s="65"/>
      <c r="C25" s="64"/>
      <c r="D25" s="64"/>
      <c r="E25" s="64"/>
      <c r="F25" s="66"/>
      <c r="G25" s="3"/>
    </row>
    <row r="26" spans="2:7">
      <c r="B26" s="65"/>
      <c r="C26" s="64"/>
      <c r="D26" s="64"/>
      <c r="E26" s="64"/>
      <c r="F26" s="66"/>
      <c r="G26" s="3"/>
    </row>
    <row r="27" spans="2:7">
      <c r="B27" s="65"/>
      <c r="C27" s="64"/>
      <c r="D27" s="64"/>
      <c r="E27" s="64"/>
      <c r="F27" s="66"/>
      <c r="G27" s="3"/>
    </row>
    <row r="28" spans="2:7">
      <c r="B28" s="65"/>
      <c r="C28" s="64"/>
      <c r="D28" s="64"/>
      <c r="E28" s="64"/>
      <c r="F28" s="66"/>
      <c r="G28" s="3"/>
    </row>
    <row r="29" spans="2:7">
      <c r="B29" s="65"/>
      <c r="C29" s="64"/>
      <c r="D29" s="64"/>
      <c r="E29" s="64"/>
      <c r="F29" s="66"/>
      <c r="G29" s="3"/>
    </row>
    <row r="30" spans="2:7">
      <c r="B30" s="65"/>
      <c r="C30" s="64"/>
      <c r="D30" s="64"/>
      <c r="E30" s="64"/>
      <c r="F30" s="66"/>
      <c r="G30" s="3"/>
    </row>
    <row r="31" spans="2:7">
      <c r="B31" s="65"/>
      <c r="C31" s="64"/>
      <c r="D31" s="64"/>
      <c r="E31" s="64"/>
      <c r="F31" s="66"/>
      <c r="G31" s="3"/>
    </row>
    <row r="32" spans="2:7">
      <c r="B32" s="65"/>
      <c r="C32" s="64"/>
      <c r="D32" s="64"/>
      <c r="E32" s="64"/>
      <c r="F32" s="66"/>
      <c r="G32" s="3"/>
    </row>
    <row r="33" spans="2:7">
      <c r="B33" s="65"/>
      <c r="C33" s="64"/>
      <c r="D33" s="64"/>
      <c r="E33" s="64"/>
      <c r="F33" s="66"/>
      <c r="G33" s="3"/>
    </row>
    <row r="34" spans="2:7">
      <c r="B34" s="65"/>
      <c r="C34" s="64"/>
      <c r="D34" s="64"/>
      <c r="E34" s="64"/>
      <c r="F34" s="66"/>
      <c r="G34" s="3"/>
    </row>
    <row r="35" spans="2:7">
      <c r="B35" s="65"/>
      <c r="C35" s="64"/>
      <c r="D35" s="64"/>
      <c r="E35" s="64"/>
      <c r="F35" s="66"/>
      <c r="G35" s="3"/>
    </row>
    <row r="36" spans="2:7">
      <c r="B36" s="65"/>
      <c r="C36" s="64"/>
      <c r="D36" s="64"/>
      <c r="E36" s="64"/>
      <c r="F36" s="66"/>
      <c r="G36" s="3"/>
    </row>
    <row r="37" spans="2:7">
      <c r="B37" s="65"/>
      <c r="C37" s="64"/>
      <c r="D37" s="64"/>
      <c r="E37" s="64"/>
      <c r="F37" s="66"/>
      <c r="G37" s="3"/>
    </row>
    <row r="38" spans="2:7">
      <c r="B38" s="65"/>
      <c r="C38" s="64"/>
      <c r="D38" s="64"/>
      <c r="E38" s="64"/>
      <c r="F38" s="66"/>
      <c r="G38" s="3"/>
    </row>
    <row r="39" spans="2:7">
      <c r="B39" s="65"/>
      <c r="C39" s="64"/>
      <c r="D39" s="64"/>
      <c r="E39" s="64"/>
      <c r="F39" s="66"/>
      <c r="G39" s="3"/>
    </row>
    <row r="40" spans="2:7">
      <c r="B40" s="65"/>
      <c r="C40" s="64"/>
      <c r="D40" s="64"/>
      <c r="E40" s="64"/>
      <c r="F40" s="66"/>
      <c r="G40" s="3"/>
    </row>
    <row r="41" spans="2:7">
      <c r="B41" s="65"/>
      <c r="C41" s="64"/>
      <c r="D41" s="64"/>
      <c r="E41" s="64"/>
      <c r="F41" s="66"/>
      <c r="G41" s="3"/>
    </row>
    <row r="42" spans="2:7">
      <c r="B42" s="65"/>
      <c r="C42" s="64"/>
      <c r="D42" s="64"/>
      <c r="E42" s="64"/>
      <c r="F42" s="66"/>
      <c r="G42" s="3"/>
    </row>
    <row r="43" spans="2:7">
      <c r="B43" s="65"/>
      <c r="C43" s="64"/>
      <c r="D43" s="64"/>
      <c r="E43" s="64"/>
      <c r="F43" s="66"/>
      <c r="G43" s="3"/>
    </row>
    <row r="44" spans="2:7">
      <c r="B44" s="65"/>
      <c r="C44" s="64"/>
      <c r="D44" s="64"/>
      <c r="E44" s="64"/>
      <c r="F44" s="66"/>
      <c r="G44" s="3"/>
    </row>
    <row r="45" spans="2:7">
      <c r="B45" s="65"/>
      <c r="C45" s="64"/>
      <c r="D45" s="64"/>
      <c r="E45" s="64"/>
      <c r="F45" s="66"/>
      <c r="G45" s="3"/>
    </row>
    <row r="46" spans="2:7">
      <c r="B46" s="65"/>
      <c r="C46" s="64"/>
      <c r="D46" s="64"/>
      <c r="E46" s="64"/>
      <c r="F46" s="66"/>
      <c r="G46" s="3"/>
    </row>
    <row r="47" spans="2:7">
      <c r="B47" s="65"/>
      <c r="C47" s="64"/>
      <c r="D47" s="64"/>
      <c r="E47" s="64"/>
      <c r="F47" s="66"/>
      <c r="G47" s="3"/>
    </row>
    <row r="48" spans="2:7">
      <c r="B48" s="65"/>
      <c r="C48" s="64"/>
      <c r="D48" s="64"/>
      <c r="E48" s="64"/>
      <c r="F48" s="66"/>
      <c r="G48" s="3"/>
    </row>
    <row r="49" spans="2:7">
      <c r="B49" s="65"/>
      <c r="C49" s="64"/>
      <c r="D49" s="64"/>
      <c r="E49" s="64"/>
      <c r="F49" s="66"/>
      <c r="G49" s="3"/>
    </row>
    <row r="50" spans="2:7">
      <c r="B50" s="65"/>
      <c r="C50" s="64"/>
      <c r="D50" s="64"/>
      <c r="E50" s="64"/>
      <c r="F50" s="66"/>
      <c r="G50" s="3"/>
    </row>
    <row r="51" spans="2:7">
      <c r="B51" s="65"/>
      <c r="C51" s="64"/>
      <c r="D51" s="64"/>
      <c r="E51" s="64"/>
      <c r="F51" s="66"/>
      <c r="G51" s="3"/>
    </row>
    <row r="52" spans="2:7">
      <c r="B52" s="65"/>
      <c r="C52" s="64"/>
      <c r="D52" s="64"/>
      <c r="E52" s="64"/>
      <c r="F52" s="66"/>
      <c r="G52" s="3"/>
    </row>
    <row r="53" spans="2:7">
      <c r="B53" s="65"/>
      <c r="C53" s="64"/>
      <c r="D53" s="64"/>
      <c r="E53" s="64"/>
      <c r="F53" s="66"/>
      <c r="G53" s="3"/>
    </row>
    <row r="54" spans="2:7">
      <c r="B54" s="65"/>
      <c r="C54" s="64"/>
      <c r="D54" s="64"/>
      <c r="E54" s="64"/>
      <c r="F54" s="66"/>
      <c r="G54" s="3"/>
    </row>
    <row r="55" spans="2:7">
      <c r="B55" s="65"/>
      <c r="C55" s="64"/>
      <c r="D55" s="64"/>
      <c r="E55" s="64"/>
      <c r="F55" s="66"/>
      <c r="G55" s="3"/>
    </row>
    <row r="56" spans="2:7">
      <c r="B56" s="65"/>
      <c r="C56" s="64"/>
      <c r="D56" s="64"/>
      <c r="E56" s="64"/>
      <c r="F56" s="66"/>
      <c r="G56" s="3"/>
    </row>
    <row r="57" spans="2:7">
      <c r="B57" s="65"/>
      <c r="C57" s="64"/>
      <c r="D57" s="64"/>
      <c r="E57" s="64"/>
      <c r="F57" s="66"/>
      <c r="G57" s="3"/>
    </row>
    <row r="58" spans="2:7">
      <c r="B58" s="65"/>
      <c r="C58" s="64"/>
      <c r="D58" s="64"/>
      <c r="E58" s="64"/>
      <c r="F58" s="66"/>
      <c r="G58" s="3"/>
    </row>
    <row r="59" spans="2:7">
      <c r="B59" s="65"/>
      <c r="C59" s="64"/>
      <c r="D59" s="64"/>
      <c r="E59" s="64"/>
      <c r="F59" s="66"/>
      <c r="G59" s="3"/>
    </row>
    <row r="60" spans="2:7">
      <c r="B60" s="65"/>
      <c r="C60" s="64"/>
      <c r="D60" s="64"/>
      <c r="E60" s="64"/>
      <c r="F60" s="66"/>
      <c r="G60" s="3"/>
    </row>
    <row r="61" spans="2:7">
      <c r="B61" s="65"/>
      <c r="C61" s="64"/>
      <c r="D61" s="64"/>
      <c r="E61" s="64"/>
      <c r="F61" s="66"/>
      <c r="G61" s="3"/>
    </row>
    <row r="62" spans="2:7">
      <c r="B62" s="65"/>
      <c r="C62" s="64"/>
      <c r="D62" s="64"/>
      <c r="E62" s="64"/>
      <c r="F62" s="66"/>
      <c r="G62" s="3"/>
    </row>
    <row r="63" spans="2:7">
      <c r="B63" s="65"/>
      <c r="C63" s="64"/>
      <c r="D63" s="64"/>
      <c r="E63" s="64"/>
      <c r="F63" s="66"/>
      <c r="G63" s="3"/>
    </row>
    <row r="64" spans="2:7">
      <c r="B64" s="65"/>
      <c r="C64" s="64"/>
      <c r="D64" s="64"/>
      <c r="E64" s="64"/>
      <c r="F64" s="66"/>
      <c r="G64" s="3"/>
    </row>
    <row r="65" spans="2:7">
      <c r="B65" s="65"/>
      <c r="C65" s="64"/>
      <c r="D65" s="64"/>
      <c r="E65" s="64"/>
      <c r="F65" s="66"/>
      <c r="G65" s="3"/>
    </row>
    <row r="66" spans="2:7">
      <c r="B66" s="65"/>
      <c r="C66" s="64"/>
      <c r="D66" s="64"/>
      <c r="E66" s="64"/>
      <c r="F66" s="66"/>
      <c r="G66" s="3"/>
    </row>
    <row r="67" spans="2:7">
      <c r="B67" s="65"/>
      <c r="C67" s="64"/>
      <c r="D67" s="64"/>
      <c r="E67" s="64"/>
      <c r="F67" s="66"/>
      <c r="G67" s="3"/>
    </row>
    <row r="68" spans="2:7">
      <c r="B68" s="65"/>
      <c r="C68" s="64"/>
      <c r="D68" s="64"/>
      <c r="E68" s="64"/>
      <c r="F68" s="66"/>
      <c r="G68" s="3"/>
    </row>
    <row r="69" spans="2:7">
      <c r="B69" s="65"/>
      <c r="C69" s="64"/>
      <c r="D69" s="64"/>
      <c r="E69" s="64"/>
      <c r="F69" s="66"/>
      <c r="G69" s="3"/>
    </row>
    <row r="70" spans="2:7">
      <c r="B70" s="65"/>
      <c r="C70" s="64"/>
      <c r="D70" s="64"/>
      <c r="E70" s="64"/>
      <c r="F70" s="66"/>
      <c r="G70" s="3"/>
    </row>
    <row r="71" spans="2:7">
      <c r="B71" s="65"/>
      <c r="C71" s="64"/>
      <c r="D71" s="64"/>
      <c r="E71" s="64"/>
      <c r="F71" s="66"/>
      <c r="G71" s="3"/>
    </row>
    <row r="72" spans="2:7">
      <c r="B72" s="65"/>
      <c r="C72" s="64"/>
      <c r="D72" s="64"/>
      <c r="E72" s="64"/>
      <c r="F72" s="66"/>
      <c r="G72" s="3"/>
    </row>
    <row r="73" spans="2:7">
      <c r="B73" s="65"/>
      <c r="C73" s="64"/>
      <c r="D73" s="64"/>
      <c r="E73" s="64"/>
      <c r="F73" s="66"/>
      <c r="G73" s="3"/>
    </row>
    <row r="74" spans="2:7">
      <c r="B74" s="65"/>
      <c r="C74" s="64"/>
      <c r="D74" s="64"/>
      <c r="E74" s="64"/>
      <c r="F74" s="66"/>
      <c r="G74" s="3"/>
    </row>
    <row r="75" spans="2:7">
      <c r="B75" s="65"/>
      <c r="C75" s="64"/>
      <c r="D75" s="64"/>
      <c r="E75" s="64"/>
      <c r="F75" s="66"/>
      <c r="G75" s="3"/>
    </row>
    <row r="76" spans="2:7">
      <c r="B76" s="65"/>
      <c r="C76" s="64"/>
      <c r="D76" s="64"/>
      <c r="E76" s="64"/>
      <c r="F76" s="66"/>
      <c r="G76" s="3"/>
    </row>
    <row r="77" spans="2:7">
      <c r="B77" s="65"/>
      <c r="C77" s="64"/>
      <c r="D77" s="64"/>
      <c r="E77" s="64"/>
      <c r="F77" s="66"/>
      <c r="G77" s="3"/>
    </row>
    <row r="78" spans="2:7">
      <c r="B78" s="65"/>
      <c r="C78" s="64"/>
      <c r="D78" s="64"/>
      <c r="E78" s="64"/>
      <c r="F78" s="66"/>
      <c r="G78" s="3"/>
    </row>
    <row r="79" spans="2:7">
      <c r="B79" s="65"/>
      <c r="C79" s="64"/>
      <c r="D79" s="64"/>
      <c r="E79" s="64"/>
      <c r="F79" s="66"/>
      <c r="G79" s="3"/>
    </row>
    <row r="80" spans="2:7">
      <c r="B80" s="65"/>
      <c r="C80" s="64"/>
      <c r="D80" s="64"/>
      <c r="E80" s="64"/>
      <c r="F80" s="66"/>
      <c r="G80" s="3"/>
    </row>
    <row r="81" spans="2:7">
      <c r="B81" s="65"/>
      <c r="C81" s="64"/>
      <c r="D81" s="64"/>
      <c r="E81" s="64"/>
      <c r="F81" s="66"/>
      <c r="G81" s="3"/>
    </row>
    <row r="82" spans="2:7">
      <c r="B82" s="65"/>
      <c r="C82" s="64"/>
      <c r="D82" s="64"/>
      <c r="E82" s="64"/>
      <c r="F82" s="66"/>
      <c r="G82" s="3"/>
    </row>
    <row r="83" spans="2:7">
      <c r="B83" s="65"/>
      <c r="C83" s="64"/>
      <c r="D83" s="64"/>
      <c r="E83" s="64"/>
      <c r="F83" s="66"/>
      <c r="G83" s="3"/>
    </row>
    <row r="84" spans="2:7">
      <c r="B84" s="65"/>
      <c r="C84" s="64"/>
      <c r="D84" s="64"/>
      <c r="E84" s="64"/>
      <c r="F84" s="66"/>
      <c r="G84" s="3"/>
    </row>
    <row r="85" spans="2:7">
      <c r="B85" s="65"/>
      <c r="C85" s="64"/>
      <c r="D85" s="64"/>
      <c r="E85" s="64"/>
      <c r="F85" s="66"/>
      <c r="G85" s="3"/>
    </row>
    <row r="86" spans="2:7">
      <c r="B86" s="65"/>
      <c r="C86" s="64"/>
      <c r="D86" s="64"/>
      <c r="E86" s="64"/>
      <c r="F86" s="66"/>
      <c r="G86" s="3"/>
    </row>
    <row r="87" spans="2:7">
      <c r="B87" s="65"/>
      <c r="C87" s="64"/>
      <c r="D87" s="64"/>
      <c r="E87" s="64"/>
      <c r="F87" s="66"/>
      <c r="G87" s="3"/>
    </row>
    <row r="88" spans="2:7">
      <c r="B88" s="65"/>
      <c r="C88" s="64"/>
      <c r="D88" s="64"/>
      <c r="E88" s="64"/>
      <c r="F88" s="66"/>
      <c r="G88" s="3"/>
    </row>
    <row r="89" spans="2:7">
      <c r="B89" s="65"/>
      <c r="C89" s="64"/>
      <c r="D89" s="64"/>
      <c r="E89" s="64"/>
      <c r="F89" s="66"/>
      <c r="G89" s="3"/>
    </row>
    <row r="90" spans="2:7">
      <c r="B90" s="65"/>
      <c r="C90" s="64"/>
      <c r="D90" s="64"/>
      <c r="E90" s="64"/>
      <c r="F90" s="66"/>
      <c r="G90" s="3"/>
    </row>
    <row r="91" spans="2:7">
      <c r="B91" s="65"/>
      <c r="C91" s="64"/>
      <c r="D91" s="64"/>
      <c r="E91" s="64"/>
      <c r="F91" s="66"/>
      <c r="G91" s="3"/>
    </row>
    <row r="92" spans="2:7">
      <c r="B92" s="65"/>
      <c r="C92" s="64"/>
      <c r="D92" s="64"/>
      <c r="E92" s="64"/>
      <c r="F92" s="66"/>
      <c r="G92" s="3"/>
    </row>
    <row r="93" spans="2:7">
      <c r="B93" s="65"/>
      <c r="C93" s="64"/>
      <c r="D93" s="64"/>
      <c r="E93" s="64"/>
      <c r="F93" s="66"/>
      <c r="G93" s="3"/>
    </row>
    <row r="94" spans="2:7">
      <c r="B94" s="65"/>
      <c r="C94" s="64"/>
      <c r="D94" s="64"/>
      <c r="E94" s="64"/>
      <c r="F94" s="66"/>
      <c r="G94" s="3"/>
    </row>
    <row r="95" spans="2:7">
      <c r="B95" s="65"/>
      <c r="C95" s="64"/>
      <c r="D95" s="64"/>
      <c r="E95" s="64"/>
      <c r="F95" s="66"/>
      <c r="G95" s="3"/>
    </row>
    <row r="96" spans="2:7">
      <c r="B96" s="65"/>
      <c r="C96" s="64"/>
      <c r="D96" s="64"/>
      <c r="E96" s="64"/>
      <c r="F96" s="66"/>
      <c r="G96" s="3"/>
    </row>
    <row r="97" spans="1:9">
      <c r="B97" s="65"/>
      <c r="C97" s="64"/>
      <c r="D97" s="64"/>
      <c r="E97" s="64"/>
      <c r="F97" s="66"/>
      <c r="G97" s="3"/>
    </row>
    <row r="98" spans="1:9">
      <c r="B98" s="65"/>
      <c r="C98" s="64"/>
      <c r="D98" s="64"/>
      <c r="E98" s="64"/>
      <c r="F98" s="66"/>
      <c r="G98" s="3"/>
    </row>
    <row r="99" spans="1:9">
      <c r="A99" s="64"/>
      <c r="B99" s="65"/>
      <c r="C99" s="64"/>
      <c r="D99" s="64"/>
      <c r="E99" s="64"/>
      <c r="F99" s="66"/>
      <c r="G99" s="3"/>
    </row>
    <row r="100" spans="1:9">
      <c r="A100" s="64"/>
      <c r="B100" s="65"/>
      <c r="C100" s="64"/>
      <c r="D100" s="64"/>
      <c r="E100" s="64"/>
      <c r="F100" s="66"/>
      <c r="G100" s="3"/>
    </row>
    <row r="101" spans="1:9">
      <c r="A101" s="64"/>
      <c r="B101" s="65"/>
      <c r="C101" s="64"/>
      <c r="D101" s="64"/>
      <c r="E101" s="64"/>
      <c r="F101" s="66"/>
      <c r="G101" s="3"/>
    </row>
    <row r="102" spans="1:9">
      <c r="A102" s="64"/>
      <c r="B102" s="65"/>
      <c r="C102" s="64"/>
      <c r="D102" s="64"/>
      <c r="E102" s="64"/>
      <c r="F102" s="66"/>
      <c r="G102" s="3"/>
    </row>
    <row r="103" spans="1:9">
      <c r="A103" s="64"/>
      <c r="B103" s="65"/>
      <c r="C103" s="64"/>
      <c r="D103" s="64"/>
      <c r="E103" s="64"/>
      <c r="F103" s="66"/>
      <c r="G103" s="3"/>
    </row>
    <row r="104" spans="1:9">
      <c r="A104" s="64"/>
      <c r="B104" s="65"/>
      <c r="C104" s="64"/>
      <c r="D104" s="64"/>
      <c r="E104" s="64"/>
      <c r="F104" s="66"/>
      <c r="G104" s="3"/>
    </row>
    <row r="105" spans="1:9">
      <c r="B105" s="65"/>
      <c r="C105" s="64"/>
      <c r="D105" s="64"/>
      <c r="F105" s="66"/>
      <c r="G105" s="3"/>
    </row>
    <row r="106" spans="1:9">
      <c r="B106" s="65"/>
      <c r="C106" s="64"/>
      <c r="D106" s="64"/>
      <c r="F106" s="66"/>
      <c r="G106" s="3"/>
    </row>
    <row r="107" spans="1:9">
      <c r="B107" s="65"/>
      <c r="C107" s="64"/>
      <c r="D107" s="64"/>
      <c r="F107" s="66"/>
      <c r="G107" s="3"/>
    </row>
    <row r="108" spans="1:9">
      <c r="B108" s="65"/>
      <c r="C108" s="64"/>
      <c r="D108" s="64"/>
      <c r="F108" s="66"/>
      <c r="G108" s="3"/>
    </row>
    <row r="109" spans="1:9">
      <c r="A109" s="64"/>
      <c r="B109" s="65"/>
      <c r="C109" s="64"/>
      <c r="D109" s="64"/>
      <c r="E109" s="64"/>
      <c r="F109" s="66"/>
      <c r="G109" s="3"/>
      <c r="H109" s="64"/>
      <c r="I109" s="66"/>
    </row>
    <row r="110" spans="1:9">
      <c r="A110" s="64"/>
      <c r="B110" s="65"/>
      <c r="C110" s="64"/>
      <c r="D110" s="64"/>
      <c r="E110" s="64"/>
      <c r="F110" s="66"/>
      <c r="G110" s="3"/>
      <c r="H110" s="64"/>
      <c r="I110" s="66"/>
    </row>
    <row r="111" spans="1:9">
      <c r="A111" s="64"/>
      <c r="B111" s="65"/>
      <c r="C111" s="64"/>
      <c r="D111" s="64"/>
      <c r="E111" s="64"/>
      <c r="F111" s="66"/>
      <c r="G111" s="3"/>
      <c r="H111" s="64"/>
      <c r="I111" s="66"/>
    </row>
    <row r="112" spans="1:9">
      <c r="A112" s="64"/>
      <c r="B112" s="65"/>
      <c r="C112" s="64"/>
      <c r="D112" s="64"/>
      <c r="E112" s="64"/>
      <c r="F112" s="66"/>
      <c r="G112" s="3"/>
      <c r="H112" s="64"/>
      <c r="I112" s="66"/>
    </row>
    <row r="113" spans="1:9">
      <c r="A113" s="64"/>
      <c r="B113" s="65"/>
      <c r="C113" s="64"/>
      <c r="D113" s="64"/>
      <c r="E113" s="64"/>
      <c r="F113" s="66"/>
      <c r="G113" s="3"/>
      <c r="H113" s="64"/>
      <c r="I113" s="66"/>
    </row>
    <row r="114" spans="1:9">
      <c r="A114" s="64"/>
      <c r="B114" s="65"/>
      <c r="C114" s="64"/>
      <c r="D114" s="64"/>
      <c r="E114" s="64"/>
      <c r="F114" s="66"/>
      <c r="G114" s="3"/>
      <c r="H114" s="64"/>
      <c r="I114" s="66"/>
    </row>
    <row r="115" spans="1:9">
      <c r="A115" s="64"/>
      <c r="B115" s="65"/>
      <c r="C115" s="64"/>
      <c r="D115" s="64"/>
      <c r="E115" s="64"/>
      <c r="F115" s="66"/>
      <c r="G115" s="3"/>
      <c r="H115" s="64"/>
      <c r="I115" s="66"/>
    </row>
    <row r="116" spans="1:9">
      <c r="A116" s="64"/>
      <c r="B116" s="65"/>
      <c r="C116" s="64"/>
      <c r="D116" s="64"/>
      <c r="E116" s="64"/>
      <c r="F116" s="66"/>
      <c r="G116" s="3"/>
      <c r="H116" s="64"/>
      <c r="I116" s="66"/>
    </row>
    <row r="117" spans="1:9">
      <c r="A117" s="64"/>
      <c r="B117" s="65"/>
      <c r="C117" s="64"/>
      <c r="D117" s="64"/>
      <c r="E117" s="64"/>
      <c r="F117" s="66"/>
      <c r="G117" s="3"/>
      <c r="H117" s="64"/>
      <c r="I117" s="66"/>
    </row>
    <row r="118" spans="1:9">
      <c r="A118" s="64"/>
      <c r="B118" s="65"/>
      <c r="C118" s="64"/>
      <c r="D118" s="64"/>
      <c r="E118" s="64"/>
      <c r="F118" s="66"/>
      <c r="G118" s="3"/>
      <c r="H118" s="64"/>
      <c r="I118" s="66"/>
    </row>
    <row r="119" spans="1:9">
      <c r="A119" s="64"/>
      <c r="B119" s="65"/>
      <c r="C119" s="64"/>
      <c r="D119" s="64"/>
      <c r="E119" s="64"/>
      <c r="F119" s="66"/>
      <c r="G119" s="3"/>
      <c r="H119" s="64"/>
      <c r="I119" s="66"/>
    </row>
    <row r="120" spans="1:9">
      <c r="A120" s="64"/>
      <c r="B120" s="65"/>
      <c r="C120" s="64"/>
      <c r="D120" s="64"/>
      <c r="E120" s="64"/>
      <c r="F120" s="66"/>
      <c r="G120" s="3"/>
      <c r="H120" s="64"/>
      <c r="I120" s="66"/>
    </row>
    <row r="121" spans="1:9">
      <c r="A121" s="64"/>
      <c r="B121" s="65"/>
      <c r="C121" s="64"/>
      <c r="D121" s="64"/>
      <c r="E121" s="64"/>
      <c r="F121" s="66"/>
      <c r="G121" s="3"/>
      <c r="H121" s="64"/>
      <c r="I121" s="66"/>
    </row>
    <row r="122" spans="1:9">
      <c r="A122" s="64"/>
      <c r="B122" s="65"/>
      <c r="C122" s="64"/>
      <c r="D122" s="64"/>
      <c r="E122" s="64"/>
      <c r="F122" s="66"/>
      <c r="G122" s="3"/>
      <c r="H122" s="64"/>
      <c r="I122" s="66"/>
    </row>
    <row r="123" spans="1:9">
      <c r="A123" s="64"/>
      <c r="B123" s="65"/>
      <c r="C123" s="64"/>
      <c r="D123" s="64"/>
      <c r="E123" s="64"/>
      <c r="F123" s="66"/>
      <c r="G123" s="3"/>
      <c r="H123" s="64"/>
      <c r="I123" s="66"/>
    </row>
    <row r="124" spans="1:9">
      <c r="A124" s="64"/>
      <c r="B124" s="65"/>
      <c r="C124" s="64"/>
      <c r="D124" s="64"/>
      <c r="E124" s="64"/>
      <c r="F124" s="66"/>
      <c r="G124" s="3"/>
      <c r="H124" s="64"/>
      <c r="I124" s="66"/>
    </row>
    <row r="125" spans="1:9">
      <c r="A125" s="64"/>
      <c r="B125" s="65"/>
      <c r="C125" s="64"/>
      <c r="D125" s="64"/>
      <c r="E125" s="64"/>
      <c r="F125" s="66"/>
      <c r="G125" s="3"/>
      <c r="H125" s="64"/>
      <c r="I125" s="66"/>
    </row>
    <row r="126" spans="1:9">
      <c r="A126" s="64"/>
      <c r="B126" s="65"/>
      <c r="C126" s="64"/>
      <c r="D126" s="64"/>
      <c r="E126" s="64"/>
      <c r="F126" s="66"/>
      <c r="G126" s="3"/>
      <c r="H126" s="64"/>
      <c r="I126" s="66"/>
    </row>
    <row r="127" spans="1:9">
      <c r="A127" s="64"/>
      <c r="B127" s="65"/>
      <c r="C127" s="64"/>
      <c r="D127" s="64"/>
      <c r="E127" s="64"/>
      <c r="F127" s="66"/>
      <c r="G127" s="3"/>
      <c r="H127" s="64"/>
      <c r="I127" s="66"/>
    </row>
    <row r="128" spans="1:9">
      <c r="A128" s="64"/>
      <c r="B128" s="65"/>
      <c r="C128" s="64"/>
      <c r="D128" s="64"/>
      <c r="E128" s="64"/>
      <c r="F128" s="66"/>
      <c r="G128" s="3"/>
      <c r="H128" s="64"/>
      <c r="I128" s="66"/>
    </row>
    <row r="129" spans="1:9">
      <c r="A129" s="64"/>
      <c r="B129" s="65"/>
      <c r="C129" s="64"/>
      <c r="D129" s="64"/>
      <c r="E129" s="64"/>
      <c r="F129" s="66"/>
      <c r="G129" s="3"/>
      <c r="H129" s="64"/>
      <c r="I129" s="66"/>
    </row>
    <row r="130" spans="1:9">
      <c r="A130" s="64"/>
      <c r="B130" s="65"/>
      <c r="C130" s="64"/>
      <c r="D130" s="64"/>
      <c r="E130" s="64"/>
      <c r="F130" s="66"/>
      <c r="G130" s="3"/>
      <c r="H130" s="64"/>
      <c r="I130" s="66"/>
    </row>
    <row r="131" spans="1:9">
      <c r="A131" s="64"/>
      <c r="B131" s="65"/>
      <c r="C131" s="64"/>
      <c r="D131" s="64"/>
      <c r="E131" s="64"/>
      <c r="F131" s="66"/>
      <c r="G131" s="3"/>
      <c r="H131" s="64"/>
      <c r="I131" s="66"/>
    </row>
    <row r="132" spans="1:9">
      <c r="A132" s="64"/>
      <c r="B132" s="65"/>
      <c r="C132" s="64"/>
      <c r="D132" s="64"/>
      <c r="E132" s="64"/>
      <c r="F132" s="66"/>
      <c r="G132" s="3"/>
      <c r="H132" s="64"/>
      <c r="I132" s="66"/>
    </row>
    <row r="133" spans="1:9">
      <c r="A133" s="64"/>
      <c r="B133" s="65"/>
      <c r="C133" s="64"/>
      <c r="D133" s="64"/>
      <c r="E133" s="64"/>
      <c r="F133" s="66"/>
      <c r="G133" s="3"/>
      <c r="H133" s="64"/>
      <c r="I133" s="66"/>
    </row>
    <row r="134" spans="1:9">
      <c r="A134" s="64"/>
      <c r="B134" s="65"/>
      <c r="C134" s="64"/>
      <c r="D134" s="64"/>
      <c r="E134" s="64"/>
      <c r="F134" s="66"/>
      <c r="G134" s="3"/>
      <c r="H134" s="64"/>
      <c r="I134" s="66"/>
    </row>
    <row r="135" spans="1:9">
      <c r="A135" s="64"/>
      <c r="B135" s="65"/>
      <c r="C135" s="64"/>
      <c r="D135" s="64"/>
      <c r="E135" s="64"/>
      <c r="F135" s="66"/>
      <c r="G135" s="3"/>
      <c r="H135" s="64"/>
      <c r="I135" s="66"/>
    </row>
    <row r="136" spans="1:9">
      <c r="A136" s="64"/>
      <c r="B136" s="65"/>
      <c r="C136" s="64"/>
      <c r="D136" s="64"/>
      <c r="E136" s="64"/>
      <c r="F136" s="66"/>
      <c r="G136" s="3"/>
      <c r="H136" s="64"/>
      <c r="I136" s="66"/>
    </row>
    <row r="137" spans="1:9">
      <c r="A137" s="64"/>
      <c r="B137" s="65"/>
      <c r="C137" s="64"/>
      <c r="D137" s="64"/>
      <c r="E137" s="64"/>
      <c r="F137" s="66"/>
      <c r="G137" s="3"/>
      <c r="H137" s="64"/>
      <c r="I137" s="66"/>
    </row>
    <row r="138" spans="1:9">
      <c r="A138" s="64"/>
      <c r="B138" s="65"/>
      <c r="C138" s="64"/>
      <c r="D138" s="64"/>
      <c r="E138" s="64"/>
      <c r="F138" s="66"/>
      <c r="G138" s="3"/>
      <c r="H138" s="64"/>
      <c r="I138" s="6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C4:AL188"/>
  <sheetViews>
    <sheetView zoomScale="76" zoomScaleNormal="70" workbookViewId="0">
      <selection activeCell="L152" sqref="L152:R152"/>
    </sheetView>
  </sheetViews>
  <sheetFormatPr defaultColWidth="9.1328125" defaultRowHeight="12.75"/>
  <cols>
    <col min="1" max="2" width="9.1328125" style="5"/>
    <col min="3" max="3" width="19.3984375" style="5" bestFit="1" customWidth="1"/>
    <col min="4" max="13" width="9.86328125" style="5" customWidth="1"/>
    <col min="14" max="14" width="9.86328125" style="104" customWidth="1"/>
    <col min="15" max="18" width="9.86328125" style="5" customWidth="1"/>
    <col min="19" max="19" width="9.1328125" style="5"/>
    <col min="20" max="20" width="9.86328125" style="5" customWidth="1"/>
    <col min="21" max="16384" width="9.1328125" style="5"/>
  </cols>
  <sheetData>
    <row r="4" spans="3:38">
      <c r="E4" s="6"/>
      <c r="F4" s="6"/>
      <c r="G4" s="6"/>
      <c r="H4" s="6"/>
      <c r="I4" s="6"/>
      <c r="J4" s="6"/>
      <c r="K4" s="6"/>
      <c r="L4" s="6"/>
      <c r="M4" s="6"/>
      <c r="O4" s="6"/>
      <c r="P4" s="6"/>
      <c r="Q4" s="6"/>
      <c r="R4" s="6"/>
      <c r="T4" s="6"/>
    </row>
    <row r="5" spans="3:38">
      <c r="D5" s="5">
        <v>2006</v>
      </c>
      <c r="E5" s="5">
        <v>2007</v>
      </c>
      <c r="F5" s="5">
        <v>2008</v>
      </c>
      <c r="G5" s="5">
        <v>2009</v>
      </c>
      <c r="H5" s="5">
        <v>2010</v>
      </c>
      <c r="I5" s="5">
        <v>2011</v>
      </c>
      <c r="J5" s="5">
        <v>2012</v>
      </c>
      <c r="K5" s="5">
        <v>2013</v>
      </c>
      <c r="L5" s="5">
        <v>2014</v>
      </c>
      <c r="M5" s="5">
        <f>L5+1</f>
        <v>2015</v>
      </c>
      <c r="N5" s="5">
        <f t="shared" ref="N5:R5" si="0">M5+1</f>
        <v>2016</v>
      </c>
      <c r="O5" s="5">
        <f t="shared" si="0"/>
        <v>2017</v>
      </c>
      <c r="P5" s="5">
        <f t="shared" si="0"/>
        <v>2018</v>
      </c>
      <c r="Q5" s="5">
        <f t="shared" si="0"/>
        <v>2019</v>
      </c>
      <c r="R5" s="5">
        <f t="shared" si="0"/>
        <v>2020</v>
      </c>
      <c r="S5" s="5">
        <v>2021</v>
      </c>
      <c r="AD5" s="5">
        <v>2020</v>
      </c>
      <c r="AF5" s="5" t="s">
        <v>10</v>
      </c>
      <c r="AG5" s="5">
        <v>2015</v>
      </c>
      <c r="AH5" s="5">
        <v>2016</v>
      </c>
      <c r="AI5" s="5">
        <v>2017</v>
      </c>
      <c r="AJ5" s="5">
        <v>2018</v>
      </c>
      <c r="AK5" s="5">
        <v>2019</v>
      </c>
      <c r="AL5" s="5">
        <v>2020</v>
      </c>
    </row>
    <row r="6" spans="3:38">
      <c r="C6" s="5" t="s">
        <v>15</v>
      </c>
      <c r="D6" s="5">
        <v>0</v>
      </c>
      <c r="E6" s="5">
        <v>0.2</v>
      </c>
      <c r="F6" s="5">
        <v>0.2</v>
      </c>
      <c r="G6" s="6">
        <v>0.2</v>
      </c>
      <c r="H6" s="6">
        <v>0.2</v>
      </c>
      <c r="I6" s="6">
        <v>0.2</v>
      </c>
      <c r="J6" s="6">
        <v>0.2</v>
      </c>
      <c r="K6" s="6">
        <v>0.2</v>
      </c>
      <c r="L6" s="6">
        <v>0.2</v>
      </c>
      <c r="M6" s="128">
        <f t="shared" ref="M6:M37" si="1">VLOOKUP(C6,$AF$6:$AL$188,2,FALSE)</f>
        <v>0.2</v>
      </c>
      <c r="N6" s="128">
        <f>VLOOKUP(C6,$AF$6:$AL$188,3,FALSE)</f>
        <v>0.2</v>
      </c>
      <c r="O6" s="128">
        <f>VLOOKUP(C6,$AF$6:$AL$188,4,FALSE)</f>
        <v>0.2</v>
      </c>
      <c r="P6" s="128">
        <f>VLOOKUP(C6,$AF$6:$AL$188,5,FALSE)</f>
        <v>0.2</v>
      </c>
      <c r="Q6" s="128">
        <f>VLOOKUP(C6,$AF$6:$AL$188,6,FALSE)</f>
        <v>0.2</v>
      </c>
      <c r="R6" s="128">
        <f>VLOOKUP(C6,$AF$6:$AL$188,7,FALSE)</f>
        <v>0.2</v>
      </c>
      <c r="S6" s="126">
        <v>0.2</v>
      </c>
      <c r="T6" s="6"/>
      <c r="U6" s="126"/>
      <c r="V6" s="126"/>
      <c r="W6" s="126"/>
      <c r="X6" s="126"/>
      <c r="Y6" s="126"/>
      <c r="Z6" s="126"/>
      <c r="AB6" s="126"/>
      <c r="AC6" s="126"/>
      <c r="AD6" s="6">
        <v>0.2</v>
      </c>
      <c r="AF6" s="5" t="s">
        <v>15</v>
      </c>
      <c r="AG6" s="6">
        <v>0.2</v>
      </c>
      <c r="AH6" s="6">
        <v>0.2</v>
      </c>
      <c r="AI6" s="6">
        <v>0.2</v>
      </c>
      <c r="AJ6" s="6">
        <v>0.2</v>
      </c>
      <c r="AK6" s="6">
        <v>0.2</v>
      </c>
      <c r="AL6" s="6">
        <v>0.2</v>
      </c>
    </row>
    <row r="7" spans="3:38">
      <c r="C7" s="5" t="s">
        <v>16</v>
      </c>
      <c r="D7" s="104">
        <v>0.2</v>
      </c>
      <c r="E7" s="104">
        <v>0.2</v>
      </c>
      <c r="F7" s="104">
        <v>0.1</v>
      </c>
      <c r="G7" s="104">
        <v>0.1</v>
      </c>
      <c r="H7" s="104">
        <v>0.1</v>
      </c>
      <c r="I7" s="104">
        <v>0.1</v>
      </c>
      <c r="J7" s="104">
        <v>0.1</v>
      </c>
      <c r="K7" s="104">
        <v>0.1</v>
      </c>
      <c r="L7" s="104">
        <v>0.15</v>
      </c>
      <c r="M7" s="128">
        <f t="shared" si="1"/>
        <v>0.15</v>
      </c>
      <c r="N7" s="128">
        <f t="shared" ref="N7:N70" si="2">VLOOKUP(C7,$AF$6:$AL$188,3,FALSE)</f>
        <v>0.15</v>
      </c>
      <c r="O7" s="128">
        <f t="shared" ref="O7:O70" si="3">VLOOKUP(C7,$AF$6:$AL$188,4,FALSE)</f>
        <v>0.15</v>
      </c>
      <c r="P7" s="128">
        <f t="shared" ref="P7:P37" si="4">VLOOKUP(C7,$AF$6:$AL$188,5,FALSE)</f>
        <v>0.15</v>
      </c>
      <c r="Q7" s="128">
        <f t="shared" ref="Q7:Q37" si="5">VLOOKUP(C7,$AF$6:$AL$188,6,FALSE)</f>
        <v>0.15</v>
      </c>
      <c r="R7" s="128">
        <f t="shared" ref="R7:R37" si="6">VLOOKUP(C7,$AF$6:$AL$188,7,FALSE)</f>
        <v>0.15</v>
      </c>
      <c r="S7" s="127">
        <v>0.15</v>
      </c>
      <c r="T7" s="104"/>
      <c r="U7" s="127"/>
      <c r="V7" s="127"/>
      <c r="W7" s="127"/>
      <c r="X7" s="127"/>
      <c r="Y7" s="127"/>
      <c r="Z7" s="127"/>
      <c r="AB7" s="127"/>
      <c r="AC7" s="127"/>
      <c r="AD7" s="6">
        <v>0.15</v>
      </c>
      <c r="AF7" s="5" t="s">
        <v>16</v>
      </c>
      <c r="AG7" s="6">
        <v>0.15</v>
      </c>
      <c r="AH7" s="6">
        <v>0.15</v>
      </c>
      <c r="AI7" s="6">
        <v>0.15</v>
      </c>
      <c r="AJ7" s="6">
        <v>0.15</v>
      </c>
      <c r="AK7" s="6">
        <v>0.15</v>
      </c>
      <c r="AL7" s="6">
        <v>0.15</v>
      </c>
    </row>
    <row r="8" spans="3:38">
      <c r="C8" s="5" t="s">
        <v>422</v>
      </c>
      <c r="D8" s="104"/>
      <c r="E8" s="104"/>
      <c r="F8" s="104"/>
      <c r="G8" s="104"/>
      <c r="H8" s="104"/>
      <c r="I8" s="104"/>
      <c r="J8" s="104"/>
      <c r="K8" s="104">
        <v>0.25</v>
      </c>
      <c r="L8" s="104">
        <v>0.19</v>
      </c>
      <c r="M8" s="128">
        <f t="shared" si="1"/>
        <v>0.26</v>
      </c>
      <c r="N8" s="128">
        <f t="shared" si="2"/>
        <v>0.26</v>
      </c>
      <c r="O8" s="128">
        <f t="shared" si="3"/>
        <v>0.26</v>
      </c>
      <c r="P8" s="128">
        <f t="shared" si="4"/>
        <v>0.26</v>
      </c>
      <c r="Q8" s="128">
        <f t="shared" si="5"/>
        <v>0.26</v>
      </c>
      <c r="R8" s="128">
        <f t="shared" si="6"/>
        <v>0.26</v>
      </c>
      <c r="S8" s="127">
        <v>0.19</v>
      </c>
      <c r="T8" s="104"/>
      <c r="U8" s="127"/>
      <c r="V8" s="127"/>
      <c r="W8" s="127"/>
      <c r="X8" s="127"/>
      <c r="Y8" s="127"/>
      <c r="Z8" s="127"/>
      <c r="AB8" s="127"/>
      <c r="AC8" s="127"/>
      <c r="AD8" s="6">
        <v>0.26</v>
      </c>
      <c r="AF8" s="5" t="s">
        <v>422</v>
      </c>
      <c r="AG8" s="6">
        <v>0.26</v>
      </c>
      <c r="AH8" s="6">
        <v>0.26</v>
      </c>
      <c r="AI8" s="6">
        <v>0.26</v>
      </c>
      <c r="AJ8" s="6">
        <v>0.26</v>
      </c>
      <c r="AK8" s="6">
        <v>0.26</v>
      </c>
      <c r="AL8" s="6">
        <v>0.26</v>
      </c>
    </row>
    <row r="9" spans="3:38">
      <c r="C9" s="5" t="s">
        <v>17</v>
      </c>
      <c r="D9" s="104">
        <v>0.35</v>
      </c>
      <c r="E9" s="104">
        <v>0.35</v>
      </c>
      <c r="F9" s="104">
        <v>0.35</v>
      </c>
      <c r="G9" s="104">
        <v>0.35</v>
      </c>
      <c r="H9" s="104">
        <v>0.35</v>
      </c>
      <c r="I9" s="104">
        <v>0.35</v>
      </c>
      <c r="J9" s="104">
        <v>0.35</v>
      </c>
      <c r="K9" s="104">
        <v>0.35</v>
      </c>
      <c r="L9" s="104">
        <v>0.35</v>
      </c>
      <c r="M9" s="128">
        <f t="shared" si="1"/>
        <v>0.3</v>
      </c>
      <c r="N9" s="128">
        <f t="shared" si="2"/>
        <v>0.3</v>
      </c>
      <c r="O9" s="128">
        <f t="shared" si="3"/>
        <v>0.3</v>
      </c>
      <c r="P9" s="128">
        <f t="shared" si="4"/>
        <v>0.3</v>
      </c>
      <c r="Q9" s="128">
        <f t="shared" si="5"/>
        <v>0.3</v>
      </c>
      <c r="R9" s="128">
        <f t="shared" si="6"/>
        <v>0.3</v>
      </c>
      <c r="S9" s="127">
        <v>0.35</v>
      </c>
      <c r="T9" s="104"/>
      <c r="U9" s="127"/>
      <c r="V9" s="127"/>
      <c r="W9" s="127"/>
      <c r="X9" s="127"/>
      <c r="Y9" s="127"/>
      <c r="Z9" s="127"/>
      <c r="AB9" s="127"/>
      <c r="AC9" s="127"/>
      <c r="AD9" s="6">
        <v>0.1</v>
      </c>
      <c r="AF9" s="5" t="s">
        <v>3814</v>
      </c>
      <c r="AG9" s="6">
        <v>0</v>
      </c>
      <c r="AH9" s="6">
        <v>0</v>
      </c>
      <c r="AI9" s="6">
        <v>0.1</v>
      </c>
      <c r="AJ9" s="6">
        <v>0.1</v>
      </c>
      <c r="AK9" s="6">
        <v>0.1</v>
      </c>
      <c r="AL9" s="6">
        <v>0.1</v>
      </c>
    </row>
    <row r="10" spans="3:38">
      <c r="C10" s="5" t="s">
        <v>18</v>
      </c>
      <c r="D10" s="104">
        <v>0.35</v>
      </c>
      <c r="E10" s="104">
        <v>0.35</v>
      </c>
      <c r="F10" s="104">
        <v>0.35</v>
      </c>
      <c r="G10" s="104">
        <v>0.35</v>
      </c>
      <c r="H10" s="104">
        <v>0.35</v>
      </c>
      <c r="I10" s="104">
        <v>0.35</v>
      </c>
      <c r="J10" s="104">
        <v>0.35</v>
      </c>
      <c r="K10" s="104">
        <v>0.35</v>
      </c>
      <c r="L10" s="104">
        <v>0.35</v>
      </c>
      <c r="M10" s="128">
        <f t="shared" si="1"/>
        <v>0.35</v>
      </c>
      <c r="N10" s="128">
        <f t="shared" si="2"/>
        <v>0.35</v>
      </c>
      <c r="O10" s="128">
        <f t="shared" si="3"/>
        <v>0.35</v>
      </c>
      <c r="P10" s="128">
        <f t="shared" si="4"/>
        <v>0.3</v>
      </c>
      <c r="Q10" s="128">
        <f t="shared" si="5"/>
        <v>0.3</v>
      </c>
      <c r="R10" s="128">
        <f t="shared" si="6"/>
        <v>0.3</v>
      </c>
      <c r="S10" s="127">
        <v>0.35</v>
      </c>
      <c r="T10" s="104"/>
      <c r="U10" s="127"/>
      <c r="V10" s="127"/>
      <c r="W10" s="127"/>
      <c r="X10" s="127"/>
      <c r="Y10" s="127"/>
      <c r="Z10" s="127"/>
      <c r="AB10" s="127"/>
      <c r="AC10" s="127"/>
      <c r="AD10" s="6">
        <v>0.3</v>
      </c>
      <c r="AF10" s="5" t="s">
        <v>17</v>
      </c>
      <c r="AG10" s="6">
        <v>0.3</v>
      </c>
      <c r="AH10" s="6">
        <v>0.3</v>
      </c>
      <c r="AI10" s="6">
        <v>0.3</v>
      </c>
      <c r="AJ10" s="6">
        <v>0.3</v>
      </c>
      <c r="AK10" s="6">
        <v>0.3</v>
      </c>
      <c r="AL10" s="6">
        <v>0.3</v>
      </c>
    </row>
    <row r="11" spans="3:38">
      <c r="C11" s="5" t="s">
        <v>19</v>
      </c>
      <c r="D11" s="104">
        <v>0.2</v>
      </c>
      <c r="E11" s="104">
        <v>0.2</v>
      </c>
      <c r="F11" s="104">
        <v>0.2</v>
      </c>
      <c r="G11" s="104">
        <v>0.2</v>
      </c>
      <c r="H11" s="104">
        <v>0.2</v>
      </c>
      <c r="I11" s="104">
        <v>0.2</v>
      </c>
      <c r="J11" s="104">
        <v>0.2</v>
      </c>
      <c r="K11" s="104">
        <v>0.2</v>
      </c>
      <c r="L11" s="104">
        <v>0.2</v>
      </c>
      <c r="M11" s="128">
        <f t="shared" si="1"/>
        <v>0.2</v>
      </c>
      <c r="N11" s="128">
        <f t="shared" si="2"/>
        <v>0.2</v>
      </c>
      <c r="O11" s="128">
        <f t="shared" si="3"/>
        <v>0.2</v>
      </c>
      <c r="P11" s="128">
        <f t="shared" si="4"/>
        <v>0.2</v>
      </c>
      <c r="Q11" s="128">
        <f t="shared" si="5"/>
        <v>0.2</v>
      </c>
      <c r="R11" s="128">
        <f t="shared" si="6"/>
        <v>0.18</v>
      </c>
      <c r="S11" s="127">
        <v>0.2</v>
      </c>
      <c r="T11" s="104"/>
      <c r="U11" s="127"/>
      <c r="V11" s="127"/>
      <c r="W11" s="127"/>
      <c r="X11" s="127"/>
      <c r="Y11" s="127"/>
      <c r="Z11" s="127"/>
      <c r="AB11" s="127"/>
      <c r="AC11" s="127"/>
      <c r="AD11" s="6">
        <v>0</v>
      </c>
      <c r="AF11" s="5" t="s">
        <v>3815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</row>
    <row r="12" spans="3:38">
      <c r="C12" s="5" t="s">
        <v>20</v>
      </c>
      <c r="D12" s="104">
        <v>0.35</v>
      </c>
      <c r="E12" s="104">
        <v>0.28000000000000003</v>
      </c>
      <c r="F12" s="104">
        <v>0.28000000000000003</v>
      </c>
      <c r="G12" s="104">
        <v>0.28000000000000003</v>
      </c>
      <c r="H12" s="104">
        <v>0.28000000000000003</v>
      </c>
      <c r="I12" s="104">
        <v>0.28000000000000003</v>
      </c>
      <c r="J12" s="104">
        <v>0.28000000000000003</v>
      </c>
      <c r="K12" s="104">
        <v>0.28000000000000003</v>
      </c>
      <c r="L12" s="104">
        <v>0.28000000000000003</v>
      </c>
      <c r="M12" s="128">
        <f t="shared" si="1"/>
        <v>0.25</v>
      </c>
      <c r="N12" s="128">
        <f t="shared" si="2"/>
        <v>0.25</v>
      </c>
      <c r="O12" s="128">
        <f t="shared" si="3"/>
        <v>0.25</v>
      </c>
      <c r="P12" s="128">
        <f t="shared" si="4"/>
        <v>0.25</v>
      </c>
      <c r="Q12" s="128">
        <f t="shared" si="5"/>
        <v>0.25</v>
      </c>
      <c r="R12" s="128">
        <f t="shared" si="6"/>
        <v>0.25</v>
      </c>
      <c r="S12" s="127">
        <v>0.28000000000000003</v>
      </c>
      <c r="T12" s="104"/>
      <c r="U12" s="127"/>
      <c r="V12" s="127"/>
      <c r="W12" s="127"/>
      <c r="X12" s="127"/>
      <c r="Y12" s="127"/>
      <c r="Z12" s="127"/>
      <c r="AB12" s="127"/>
      <c r="AC12" s="127"/>
      <c r="AD12" s="6">
        <v>0.25</v>
      </c>
      <c r="AF12" s="5" t="s">
        <v>3816</v>
      </c>
      <c r="AG12" s="6">
        <v>0</v>
      </c>
      <c r="AH12" s="6">
        <v>0</v>
      </c>
      <c r="AI12" s="6">
        <v>0.25</v>
      </c>
      <c r="AJ12" s="6">
        <v>0.25</v>
      </c>
      <c r="AK12" s="6">
        <v>0.25</v>
      </c>
      <c r="AL12" s="6">
        <v>0.25</v>
      </c>
    </row>
    <row r="13" spans="3:38">
      <c r="C13" s="5" t="s">
        <v>21</v>
      </c>
      <c r="D13" s="104">
        <v>0.3</v>
      </c>
      <c r="E13" s="104">
        <v>0.3</v>
      </c>
      <c r="F13" s="104">
        <v>0.3</v>
      </c>
      <c r="G13" s="104">
        <v>0.3</v>
      </c>
      <c r="H13" s="104">
        <v>0.3</v>
      </c>
      <c r="I13" s="104">
        <v>0.3</v>
      </c>
      <c r="J13" s="104">
        <v>0.3</v>
      </c>
      <c r="K13" s="104">
        <v>0.3</v>
      </c>
      <c r="L13" s="104">
        <v>0.3</v>
      </c>
      <c r="M13" s="128">
        <f t="shared" si="1"/>
        <v>0.3</v>
      </c>
      <c r="N13" s="128">
        <f t="shared" si="2"/>
        <v>0.3</v>
      </c>
      <c r="O13" s="128">
        <f t="shared" si="3"/>
        <v>0.3</v>
      </c>
      <c r="P13" s="128">
        <f t="shared" si="4"/>
        <v>0.3</v>
      </c>
      <c r="Q13" s="128">
        <f t="shared" si="5"/>
        <v>0.3</v>
      </c>
      <c r="R13" s="128">
        <f t="shared" si="6"/>
        <v>0.3</v>
      </c>
      <c r="S13" s="127">
        <v>0.3</v>
      </c>
      <c r="T13" s="104"/>
      <c r="U13" s="127"/>
      <c r="V13" s="127"/>
      <c r="W13" s="127"/>
      <c r="X13" s="127"/>
      <c r="Y13" s="127"/>
      <c r="Z13" s="127"/>
      <c r="AB13" s="127"/>
      <c r="AC13" s="127"/>
      <c r="AD13" s="6">
        <v>0.3</v>
      </c>
      <c r="AF13" s="5" t="s">
        <v>18</v>
      </c>
      <c r="AG13" s="6">
        <v>0.35</v>
      </c>
      <c r="AH13" s="6">
        <v>0.35</v>
      </c>
      <c r="AI13" s="6">
        <v>0.35</v>
      </c>
      <c r="AJ13" s="6">
        <v>0.3</v>
      </c>
      <c r="AK13" s="6">
        <v>0.3</v>
      </c>
      <c r="AL13" s="6">
        <v>0.3</v>
      </c>
    </row>
    <row r="14" spans="3:38">
      <c r="C14" s="5" t="s">
        <v>22</v>
      </c>
      <c r="D14" s="104">
        <v>0.25</v>
      </c>
      <c r="E14" s="104">
        <v>0.25</v>
      </c>
      <c r="F14" s="104">
        <v>0.25</v>
      </c>
      <c r="G14" s="104">
        <v>0.25</v>
      </c>
      <c r="H14" s="104">
        <v>0.25</v>
      </c>
      <c r="I14" s="104">
        <v>0.25</v>
      </c>
      <c r="J14" s="104">
        <v>0.25</v>
      </c>
      <c r="K14" s="104">
        <v>0.25</v>
      </c>
      <c r="L14" s="104">
        <v>0.25</v>
      </c>
      <c r="M14" s="128">
        <f t="shared" si="1"/>
        <v>0.25</v>
      </c>
      <c r="N14" s="128">
        <f t="shared" si="2"/>
        <v>0.25</v>
      </c>
      <c r="O14" s="128">
        <f t="shared" si="3"/>
        <v>0.25</v>
      </c>
      <c r="P14" s="128">
        <f t="shared" si="4"/>
        <v>0.25</v>
      </c>
      <c r="Q14" s="128">
        <f t="shared" si="5"/>
        <v>0.25</v>
      </c>
      <c r="R14" s="128">
        <f t="shared" si="6"/>
        <v>0.25</v>
      </c>
      <c r="S14" s="127">
        <v>0.25</v>
      </c>
      <c r="T14" s="104"/>
      <c r="U14" s="127"/>
      <c r="V14" s="127"/>
      <c r="W14" s="127"/>
      <c r="X14" s="127"/>
      <c r="Y14" s="127"/>
      <c r="Z14" s="127"/>
      <c r="AB14" s="127"/>
      <c r="AC14" s="127"/>
      <c r="AD14" s="6">
        <v>0.18</v>
      </c>
      <c r="AF14" s="5" t="s">
        <v>19</v>
      </c>
      <c r="AG14" s="6">
        <v>0.2</v>
      </c>
      <c r="AH14" s="6">
        <v>0.2</v>
      </c>
      <c r="AI14" s="6">
        <v>0.2</v>
      </c>
      <c r="AJ14" s="6">
        <v>0.2</v>
      </c>
      <c r="AK14" s="6">
        <v>0.2</v>
      </c>
      <c r="AL14" s="6">
        <v>0.18</v>
      </c>
    </row>
    <row r="15" spans="3:38">
      <c r="C15" s="5" t="s">
        <v>23</v>
      </c>
      <c r="D15" s="104">
        <v>0</v>
      </c>
      <c r="E15" s="104">
        <v>0</v>
      </c>
      <c r="F15" s="104">
        <v>0</v>
      </c>
      <c r="G15" s="104">
        <v>0</v>
      </c>
      <c r="H15" s="104">
        <v>0</v>
      </c>
      <c r="I15" s="104">
        <v>0</v>
      </c>
      <c r="J15" s="104">
        <v>0</v>
      </c>
      <c r="K15" s="104">
        <v>0</v>
      </c>
      <c r="L15" s="104">
        <v>0</v>
      </c>
      <c r="M15" s="128">
        <f t="shared" si="1"/>
        <v>0</v>
      </c>
      <c r="N15" s="128">
        <f t="shared" si="2"/>
        <v>0</v>
      </c>
      <c r="O15" s="128">
        <f t="shared" si="3"/>
        <v>0</v>
      </c>
      <c r="P15" s="128">
        <f t="shared" si="4"/>
        <v>0</v>
      </c>
      <c r="Q15" s="128">
        <f t="shared" si="5"/>
        <v>0</v>
      </c>
      <c r="R15" s="128">
        <f t="shared" si="6"/>
        <v>0</v>
      </c>
      <c r="S15" s="127">
        <v>0</v>
      </c>
      <c r="T15" s="104"/>
      <c r="U15" s="127"/>
      <c r="V15" s="127"/>
      <c r="W15" s="127"/>
      <c r="X15" s="127"/>
      <c r="Y15" s="127"/>
      <c r="Z15" s="127"/>
      <c r="AB15" s="127"/>
      <c r="AC15" s="127"/>
      <c r="AD15" s="6">
        <v>0.25</v>
      </c>
      <c r="AF15" s="5" t="s">
        <v>20</v>
      </c>
      <c r="AG15" s="6">
        <v>0.25</v>
      </c>
      <c r="AH15" s="6">
        <v>0.25</v>
      </c>
      <c r="AI15" s="6">
        <v>0.25</v>
      </c>
      <c r="AJ15" s="6">
        <v>0.25</v>
      </c>
      <c r="AK15" s="6">
        <v>0.25</v>
      </c>
      <c r="AL15" s="6">
        <v>0.25</v>
      </c>
    </row>
    <row r="16" spans="3:38">
      <c r="C16" s="5" t="s">
        <v>24</v>
      </c>
      <c r="D16" s="104">
        <v>0</v>
      </c>
      <c r="E16" s="104">
        <v>0</v>
      </c>
      <c r="F16" s="104">
        <v>0</v>
      </c>
      <c r="G16" s="104">
        <v>0</v>
      </c>
      <c r="H16" s="104">
        <v>0</v>
      </c>
      <c r="I16" s="104">
        <v>0</v>
      </c>
      <c r="J16" s="104">
        <v>0</v>
      </c>
      <c r="K16" s="104">
        <v>0</v>
      </c>
      <c r="L16" s="104">
        <v>0</v>
      </c>
      <c r="M16" s="128">
        <f t="shared" si="1"/>
        <v>0</v>
      </c>
      <c r="N16" s="128">
        <f t="shared" si="2"/>
        <v>0</v>
      </c>
      <c r="O16" s="128">
        <f t="shared" si="3"/>
        <v>0</v>
      </c>
      <c r="P16" s="128">
        <f t="shared" si="4"/>
        <v>0</v>
      </c>
      <c r="Q16" s="128">
        <f t="shared" si="5"/>
        <v>0</v>
      </c>
      <c r="R16" s="128">
        <f t="shared" si="6"/>
        <v>0</v>
      </c>
      <c r="S16" s="127">
        <v>0</v>
      </c>
      <c r="T16" s="104"/>
      <c r="U16" s="127"/>
      <c r="V16" s="127"/>
      <c r="W16" s="127"/>
      <c r="X16" s="127"/>
      <c r="Y16" s="127"/>
      <c r="Z16" s="127"/>
      <c r="AB16" s="127"/>
      <c r="AC16" s="127"/>
      <c r="AD16" s="6">
        <v>0.3</v>
      </c>
      <c r="AF16" s="5" t="s">
        <v>21</v>
      </c>
      <c r="AG16" s="6">
        <v>0.3</v>
      </c>
      <c r="AH16" s="6">
        <v>0.3</v>
      </c>
      <c r="AI16" s="6">
        <v>0.3</v>
      </c>
      <c r="AJ16" s="6">
        <v>0.3</v>
      </c>
      <c r="AK16" s="6">
        <v>0.3</v>
      </c>
      <c r="AL16" s="6">
        <v>0.3</v>
      </c>
    </row>
    <row r="17" spans="3:38">
      <c r="C17" s="5" t="s">
        <v>25</v>
      </c>
      <c r="D17" s="104">
        <v>0.3</v>
      </c>
      <c r="E17" s="104">
        <v>0.3</v>
      </c>
      <c r="F17" s="104">
        <v>0.3</v>
      </c>
      <c r="G17" s="104">
        <v>0.27500000000000002</v>
      </c>
      <c r="H17" s="104">
        <v>0.27500000000000002</v>
      </c>
      <c r="I17" s="104">
        <v>0.27500000000000002</v>
      </c>
      <c r="J17" s="104">
        <v>0.27500000000000002</v>
      </c>
      <c r="K17" s="104">
        <v>0.27500000000000002</v>
      </c>
      <c r="L17" s="104">
        <v>0.27500000000000002</v>
      </c>
      <c r="M17" s="128">
        <f t="shared" si="1"/>
        <v>0.25</v>
      </c>
      <c r="N17" s="128">
        <f t="shared" si="2"/>
        <v>0.25</v>
      </c>
      <c r="O17" s="128">
        <f t="shared" si="3"/>
        <v>0.25</v>
      </c>
      <c r="P17" s="128">
        <f t="shared" si="4"/>
        <v>0.25</v>
      </c>
      <c r="Q17" s="128">
        <f t="shared" si="5"/>
        <v>0.25</v>
      </c>
      <c r="R17" s="128">
        <f t="shared" si="6"/>
        <v>0.25</v>
      </c>
      <c r="S17" s="127">
        <v>0.27500000000000002</v>
      </c>
      <c r="T17" s="104"/>
      <c r="U17" s="127"/>
      <c r="V17" s="127"/>
      <c r="W17" s="127"/>
      <c r="X17" s="127"/>
      <c r="Y17" s="127"/>
      <c r="Z17" s="127"/>
      <c r="AB17" s="127"/>
      <c r="AC17" s="127"/>
      <c r="AD17" s="6">
        <v>0.25</v>
      </c>
      <c r="AF17" s="5" t="s">
        <v>22</v>
      </c>
      <c r="AG17" s="6">
        <v>0.25</v>
      </c>
      <c r="AH17" s="6">
        <v>0.25</v>
      </c>
      <c r="AI17" s="6">
        <v>0.25</v>
      </c>
      <c r="AJ17" s="6">
        <v>0.25</v>
      </c>
      <c r="AK17" s="6">
        <v>0.25</v>
      </c>
      <c r="AL17" s="6">
        <v>0.25</v>
      </c>
    </row>
    <row r="18" spans="3:38">
      <c r="C18" s="5" t="s">
        <v>26</v>
      </c>
      <c r="D18" s="104">
        <v>0.25</v>
      </c>
      <c r="E18" s="104">
        <v>0.25</v>
      </c>
      <c r="F18" s="104">
        <v>0.25</v>
      </c>
      <c r="G18" s="104">
        <v>0.25</v>
      </c>
      <c r="H18" s="104">
        <v>0.25</v>
      </c>
      <c r="I18" s="104">
        <v>0.25</v>
      </c>
      <c r="J18" s="104">
        <v>0.25</v>
      </c>
      <c r="K18" s="104">
        <v>0.25</v>
      </c>
      <c r="L18" s="104">
        <v>0.25</v>
      </c>
      <c r="M18" s="128">
        <f t="shared" si="1"/>
        <v>0.25</v>
      </c>
      <c r="N18" s="128">
        <f t="shared" si="2"/>
        <v>0.25</v>
      </c>
      <c r="O18" s="128">
        <f t="shared" si="3"/>
        <v>0.25</v>
      </c>
      <c r="P18" s="128">
        <f t="shared" si="4"/>
        <v>0.3</v>
      </c>
      <c r="Q18" s="128">
        <f t="shared" si="5"/>
        <v>5.5E-2</v>
      </c>
      <c r="R18" s="128">
        <f t="shared" si="6"/>
        <v>5.5E-2</v>
      </c>
      <c r="S18" s="127">
        <v>0.25</v>
      </c>
      <c r="T18" s="104"/>
      <c r="U18" s="127"/>
      <c r="V18" s="127"/>
      <c r="W18" s="127"/>
      <c r="X18" s="127"/>
      <c r="Y18" s="127"/>
      <c r="Z18" s="127"/>
      <c r="AB18" s="127"/>
      <c r="AC18" s="127"/>
      <c r="AD18" s="6">
        <v>0.2</v>
      </c>
      <c r="AF18" s="5" t="s">
        <v>3817</v>
      </c>
      <c r="AG18" s="6">
        <v>0</v>
      </c>
      <c r="AH18" s="6">
        <v>0</v>
      </c>
      <c r="AI18" s="6">
        <v>0.2</v>
      </c>
      <c r="AJ18" s="6">
        <v>0.2</v>
      </c>
      <c r="AK18" s="6">
        <v>0.2</v>
      </c>
      <c r="AL18" s="6">
        <v>0.2</v>
      </c>
    </row>
    <row r="19" spans="3:38">
      <c r="C19" s="5" t="s">
        <v>27</v>
      </c>
      <c r="D19" s="104">
        <v>0.24</v>
      </c>
      <c r="E19" s="104">
        <v>0.24</v>
      </c>
      <c r="F19" s="104">
        <v>0.24</v>
      </c>
      <c r="G19" s="104">
        <v>0.24</v>
      </c>
      <c r="H19" s="104">
        <v>0.24</v>
      </c>
      <c r="I19" s="104">
        <v>0.24</v>
      </c>
      <c r="J19" s="104">
        <v>0.18</v>
      </c>
      <c r="K19" s="104">
        <v>0.18</v>
      </c>
      <c r="L19" s="104">
        <v>0.18</v>
      </c>
      <c r="M19" s="128">
        <f t="shared" si="1"/>
        <v>0.18</v>
      </c>
      <c r="N19" s="128">
        <f t="shared" si="2"/>
        <v>0.18</v>
      </c>
      <c r="O19" s="128">
        <f t="shared" si="3"/>
        <v>0.18</v>
      </c>
      <c r="P19" s="128">
        <f t="shared" si="4"/>
        <v>0.18</v>
      </c>
      <c r="Q19" s="128">
        <f t="shared" si="5"/>
        <v>0.18</v>
      </c>
      <c r="R19" s="128">
        <f t="shared" si="6"/>
        <v>0.18</v>
      </c>
      <c r="S19" s="127">
        <v>0.18</v>
      </c>
      <c r="T19" s="104"/>
      <c r="U19" s="127"/>
      <c r="V19" s="127"/>
      <c r="W19" s="127"/>
      <c r="X19" s="127"/>
      <c r="Y19" s="127"/>
      <c r="Z19" s="127"/>
      <c r="AB19" s="127"/>
      <c r="AC19" s="127"/>
      <c r="AD19" s="6">
        <v>0</v>
      </c>
      <c r="AF19" s="5" t="s">
        <v>23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</row>
    <row r="20" spans="3:38">
      <c r="C20" s="5" t="s">
        <v>28</v>
      </c>
      <c r="D20" s="104">
        <v>0.33990000000000004</v>
      </c>
      <c r="E20" s="104">
        <v>0.33990000000000004</v>
      </c>
      <c r="F20" s="104">
        <v>0.33990000000000004</v>
      </c>
      <c r="G20" s="104">
        <v>0.33990000000000004</v>
      </c>
      <c r="H20" s="104">
        <v>0.33990000000000004</v>
      </c>
      <c r="I20" s="104">
        <v>0.33990000000000004</v>
      </c>
      <c r="J20" s="104">
        <v>0.33990000000000004</v>
      </c>
      <c r="K20" s="104">
        <v>0.33990000000000004</v>
      </c>
      <c r="L20" s="104">
        <v>0.33990000000000004</v>
      </c>
      <c r="M20" s="128">
        <f t="shared" si="1"/>
        <v>0.33989999999999998</v>
      </c>
      <c r="N20" s="128">
        <f t="shared" si="2"/>
        <v>0.33989999999999998</v>
      </c>
      <c r="O20" s="128">
        <f t="shared" si="3"/>
        <v>0.33989999999999998</v>
      </c>
      <c r="P20" s="128">
        <f t="shared" si="4"/>
        <v>0.28999999999999998</v>
      </c>
      <c r="Q20" s="128">
        <f t="shared" si="5"/>
        <v>0.28999999999999998</v>
      </c>
      <c r="R20" s="128">
        <f t="shared" si="6"/>
        <v>0.28999999999999998</v>
      </c>
      <c r="S20" s="127">
        <v>0.33990000000000004</v>
      </c>
      <c r="T20" s="104"/>
      <c r="U20" s="127"/>
      <c r="V20" s="127"/>
      <c r="W20" s="127"/>
      <c r="X20" s="127"/>
      <c r="Y20" s="127"/>
      <c r="Z20" s="127"/>
      <c r="AB20" s="127"/>
      <c r="AC20" s="127"/>
      <c r="AD20" s="6">
        <v>0</v>
      </c>
      <c r="AF20" s="5" t="s">
        <v>24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</row>
    <row r="21" spans="3:38">
      <c r="C21" s="5" t="s">
        <v>29</v>
      </c>
      <c r="D21" s="104">
        <v>0</v>
      </c>
      <c r="E21" s="104">
        <v>0</v>
      </c>
      <c r="F21" s="104">
        <v>0</v>
      </c>
      <c r="G21" s="104">
        <v>0</v>
      </c>
      <c r="H21" s="104">
        <v>0</v>
      </c>
      <c r="I21" s="104">
        <v>0</v>
      </c>
      <c r="J21" s="104">
        <v>0</v>
      </c>
      <c r="K21" s="104">
        <v>0</v>
      </c>
      <c r="L21" s="104">
        <v>0</v>
      </c>
      <c r="M21" s="128">
        <f t="shared" si="1"/>
        <v>0</v>
      </c>
      <c r="N21" s="128">
        <f t="shared" si="2"/>
        <v>0</v>
      </c>
      <c r="O21" s="128">
        <f t="shared" si="3"/>
        <v>0</v>
      </c>
      <c r="P21" s="128">
        <f t="shared" si="4"/>
        <v>0</v>
      </c>
      <c r="Q21" s="128">
        <f t="shared" si="5"/>
        <v>0</v>
      </c>
      <c r="R21" s="128">
        <f t="shared" si="6"/>
        <v>0</v>
      </c>
      <c r="S21" s="127">
        <v>0</v>
      </c>
      <c r="T21" s="104"/>
      <c r="U21" s="127"/>
      <c r="V21" s="127"/>
      <c r="W21" s="127"/>
      <c r="X21" s="127"/>
      <c r="Y21" s="127"/>
      <c r="Z21" s="127"/>
      <c r="AB21" s="127"/>
      <c r="AC21" s="127"/>
      <c r="AD21" s="6">
        <v>0.25</v>
      </c>
      <c r="AF21" s="5" t="s">
        <v>25</v>
      </c>
      <c r="AG21" s="6">
        <v>0.25</v>
      </c>
      <c r="AH21" s="6">
        <v>0.25</v>
      </c>
      <c r="AI21" s="6">
        <v>0.25</v>
      </c>
      <c r="AJ21" s="6">
        <v>0.25</v>
      </c>
      <c r="AK21" s="6">
        <v>0.25</v>
      </c>
      <c r="AL21" s="6">
        <v>0.25</v>
      </c>
    </row>
    <row r="22" spans="3:38">
      <c r="C22" s="5" t="s">
        <v>30</v>
      </c>
      <c r="D22" s="104"/>
      <c r="E22" s="104"/>
      <c r="F22" s="104"/>
      <c r="G22" s="104"/>
      <c r="H22" s="104">
        <v>0.25</v>
      </c>
      <c r="I22" s="104">
        <v>0.25</v>
      </c>
      <c r="J22" s="104">
        <v>0.25</v>
      </c>
      <c r="K22" s="104">
        <v>0.25</v>
      </c>
      <c r="L22" s="104">
        <v>0.25</v>
      </c>
      <c r="M22" s="128">
        <f t="shared" si="1"/>
        <v>0.25</v>
      </c>
      <c r="N22" s="128">
        <f t="shared" si="2"/>
        <v>0.25</v>
      </c>
      <c r="O22" s="128">
        <f t="shared" si="3"/>
        <v>0.25</v>
      </c>
      <c r="P22" s="128">
        <f t="shared" si="4"/>
        <v>0.25</v>
      </c>
      <c r="Q22" s="128">
        <f t="shared" si="5"/>
        <v>0.25</v>
      </c>
      <c r="R22" s="128">
        <f t="shared" si="6"/>
        <v>0.25</v>
      </c>
      <c r="S22" s="127">
        <v>0.25</v>
      </c>
      <c r="T22" s="104"/>
      <c r="U22" s="127"/>
      <c r="V22" s="127"/>
      <c r="W22" s="127"/>
      <c r="X22" s="127"/>
      <c r="Y22" s="127"/>
      <c r="Z22" s="127"/>
      <c r="AB22" s="127"/>
      <c r="AC22" s="127"/>
      <c r="AD22" s="6">
        <v>5.5E-2</v>
      </c>
      <c r="AF22" s="5" t="s">
        <v>26</v>
      </c>
      <c r="AG22" s="6">
        <v>0.25</v>
      </c>
      <c r="AH22" s="6">
        <v>0.25</v>
      </c>
      <c r="AI22" s="6">
        <v>0.25</v>
      </c>
      <c r="AJ22" s="6">
        <v>0.3</v>
      </c>
      <c r="AK22" s="6">
        <v>5.5E-2</v>
      </c>
      <c r="AL22" s="6">
        <v>5.5E-2</v>
      </c>
    </row>
    <row r="23" spans="3:38">
      <c r="C23" s="5" t="s">
        <v>423</v>
      </c>
      <c r="D23" s="104"/>
      <c r="E23" s="104"/>
      <c r="F23" s="104"/>
      <c r="G23" s="104"/>
      <c r="H23" s="104"/>
      <c r="I23" s="104"/>
      <c r="J23" s="104">
        <v>0</v>
      </c>
      <c r="K23" s="104">
        <v>0</v>
      </c>
      <c r="L23" s="104">
        <v>0</v>
      </c>
      <c r="M23" s="128">
        <f t="shared" si="1"/>
        <v>0</v>
      </c>
      <c r="N23" s="128">
        <f t="shared" si="2"/>
        <v>0</v>
      </c>
      <c r="O23" s="128">
        <f t="shared" si="3"/>
        <v>0.25</v>
      </c>
      <c r="P23" s="128">
        <f t="shared" si="4"/>
        <v>0.25</v>
      </c>
      <c r="Q23" s="128">
        <f t="shared" si="5"/>
        <v>0.25</v>
      </c>
      <c r="R23" s="128">
        <f t="shared" si="6"/>
        <v>0.25</v>
      </c>
      <c r="S23" s="127">
        <v>0</v>
      </c>
      <c r="T23" s="104"/>
      <c r="U23" s="127"/>
      <c r="V23" s="127"/>
      <c r="W23" s="127"/>
      <c r="X23" s="127"/>
      <c r="Y23" s="127"/>
      <c r="Z23" s="127"/>
      <c r="AB23" s="127"/>
      <c r="AC23" s="127"/>
      <c r="AD23" s="6">
        <v>0.18</v>
      </c>
      <c r="AF23" s="5" t="s">
        <v>27</v>
      </c>
      <c r="AG23" s="6">
        <v>0.18</v>
      </c>
      <c r="AH23" s="6">
        <v>0.18</v>
      </c>
      <c r="AI23" s="6">
        <v>0.18</v>
      </c>
      <c r="AJ23" s="6">
        <v>0.18</v>
      </c>
      <c r="AK23" s="6">
        <v>0.18</v>
      </c>
      <c r="AL23" s="6">
        <v>0.18</v>
      </c>
    </row>
    <row r="24" spans="3:38">
      <c r="C24" s="5" t="s">
        <v>424</v>
      </c>
      <c r="D24" s="104">
        <v>0.1</v>
      </c>
      <c r="E24" s="104">
        <v>0.1</v>
      </c>
      <c r="F24" s="104">
        <v>0.1</v>
      </c>
      <c r="G24" s="104">
        <v>0.1</v>
      </c>
      <c r="H24" s="104">
        <v>0.1</v>
      </c>
      <c r="I24" s="104">
        <v>0.1</v>
      </c>
      <c r="J24" s="104">
        <v>0.1</v>
      </c>
      <c r="K24" s="104">
        <v>0.1</v>
      </c>
      <c r="L24" s="104">
        <v>0.1</v>
      </c>
      <c r="M24" s="128">
        <f t="shared" si="1"/>
        <v>0.1</v>
      </c>
      <c r="N24" s="128">
        <f t="shared" si="2"/>
        <v>0.1</v>
      </c>
      <c r="O24" s="128">
        <f t="shared" si="3"/>
        <v>0.1</v>
      </c>
      <c r="P24" s="128">
        <f t="shared" si="4"/>
        <v>0.1</v>
      </c>
      <c r="Q24" s="128">
        <f t="shared" si="5"/>
        <v>0.1</v>
      </c>
      <c r="R24" s="128">
        <f t="shared" si="6"/>
        <v>0.1</v>
      </c>
      <c r="S24" s="127">
        <v>0.1</v>
      </c>
      <c r="T24" s="104"/>
      <c r="U24" s="127"/>
      <c r="V24" s="127"/>
      <c r="W24" s="127"/>
      <c r="X24" s="127"/>
      <c r="Y24" s="127"/>
      <c r="Z24" s="127"/>
      <c r="AB24" s="127"/>
      <c r="AC24" s="127"/>
      <c r="AD24" s="6">
        <v>0.28999999999999998</v>
      </c>
      <c r="AF24" s="5" t="s">
        <v>28</v>
      </c>
      <c r="AG24" s="6">
        <v>0.33989999999999998</v>
      </c>
      <c r="AH24" s="6">
        <v>0.33989999999999998</v>
      </c>
      <c r="AI24" s="6">
        <v>0.33989999999999998</v>
      </c>
      <c r="AJ24" s="6">
        <v>0.28999999999999998</v>
      </c>
      <c r="AK24" s="6">
        <v>0.28999999999999998</v>
      </c>
      <c r="AL24" s="6">
        <v>0.28999999999999998</v>
      </c>
    </row>
    <row r="25" spans="3:38">
      <c r="C25" s="5" t="s">
        <v>31</v>
      </c>
      <c r="D25" s="104">
        <v>0.25</v>
      </c>
      <c r="E25" s="104">
        <v>0.25</v>
      </c>
      <c r="F25" s="104">
        <v>0.25</v>
      </c>
      <c r="G25" s="104">
        <v>0.25</v>
      </c>
      <c r="H25" s="104">
        <v>0.25</v>
      </c>
      <c r="I25" s="104">
        <v>0.22</v>
      </c>
      <c r="J25" s="104">
        <v>0.22</v>
      </c>
      <c r="K25" s="104">
        <v>0.22</v>
      </c>
      <c r="L25" s="104">
        <v>0.22</v>
      </c>
      <c r="M25" s="128">
        <f t="shared" si="1"/>
        <v>0.22</v>
      </c>
      <c r="N25" s="128">
        <f t="shared" si="2"/>
        <v>0.22</v>
      </c>
      <c r="O25" s="128">
        <f t="shared" si="3"/>
        <v>0.22</v>
      </c>
      <c r="P25" s="128">
        <f t="shared" si="4"/>
        <v>0.22</v>
      </c>
      <c r="Q25" s="128">
        <f t="shared" si="5"/>
        <v>0.22</v>
      </c>
      <c r="R25" s="128">
        <f t="shared" si="6"/>
        <v>0.22</v>
      </c>
      <c r="S25" s="127">
        <v>0.22</v>
      </c>
      <c r="T25" s="104"/>
      <c r="U25" s="127"/>
      <c r="V25" s="127"/>
      <c r="W25" s="127"/>
      <c r="X25" s="127"/>
      <c r="Y25" s="127"/>
      <c r="Z25" s="127"/>
      <c r="AB25" s="127"/>
      <c r="AC25" s="127"/>
      <c r="AD25" s="6">
        <v>0.3</v>
      </c>
      <c r="AF25" s="5" t="s">
        <v>3818</v>
      </c>
      <c r="AG25" s="6">
        <v>0</v>
      </c>
      <c r="AH25" s="6">
        <v>0</v>
      </c>
      <c r="AI25" s="6">
        <v>0.3</v>
      </c>
      <c r="AJ25" s="6">
        <v>0.3</v>
      </c>
      <c r="AK25" s="6">
        <v>0.3</v>
      </c>
      <c r="AL25" s="6">
        <v>0.3</v>
      </c>
    </row>
    <row r="26" spans="3:38">
      <c r="C26" s="5" t="s">
        <v>32</v>
      </c>
      <c r="D26" s="104">
        <v>0.34</v>
      </c>
      <c r="E26" s="104">
        <v>0.34</v>
      </c>
      <c r="F26" s="104">
        <v>0.34</v>
      </c>
      <c r="G26" s="104">
        <v>0.34</v>
      </c>
      <c r="H26" s="104">
        <v>0.34</v>
      </c>
      <c r="I26" s="104">
        <v>0.34</v>
      </c>
      <c r="J26" s="104">
        <v>0.34</v>
      </c>
      <c r="K26" s="104">
        <v>0.34</v>
      </c>
      <c r="L26" s="104">
        <v>0.25</v>
      </c>
      <c r="M26" s="128">
        <f t="shared" si="1"/>
        <v>0.34</v>
      </c>
      <c r="N26" s="128">
        <f t="shared" si="2"/>
        <v>0.34</v>
      </c>
      <c r="O26" s="128">
        <f t="shared" si="3"/>
        <v>0.34</v>
      </c>
      <c r="P26" s="128">
        <f t="shared" si="4"/>
        <v>0.34</v>
      </c>
      <c r="Q26" s="128">
        <f t="shared" si="5"/>
        <v>0.34</v>
      </c>
      <c r="R26" s="128">
        <f t="shared" si="6"/>
        <v>0.34</v>
      </c>
      <c r="S26" s="127">
        <v>0.25</v>
      </c>
      <c r="T26" s="104"/>
      <c r="U26" s="127"/>
      <c r="V26" s="127"/>
      <c r="W26" s="127"/>
      <c r="X26" s="127"/>
      <c r="Y26" s="127"/>
      <c r="Z26" s="127"/>
      <c r="AB26" s="127"/>
      <c r="AC26" s="127"/>
      <c r="AD26" s="6">
        <v>0</v>
      </c>
      <c r="AF26" s="5" t="s">
        <v>29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</row>
    <row r="27" spans="3:38">
      <c r="C27" s="5" t="s">
        <v>33</v>
      </c>
      <c r="D27" s="104">
        <v>0.15</v>
      </c>
      <c r="E27" s="104">
        <v>0.1</v>
      </c>
      <c r="F27" s="104">
        <v>0.1</v>
      </c>
      <c r="G27" s="104">
        <v>0.1</v>
      </c>
      <c r="H27" s="104">
        <v>0.1</v>
      </c>
      <c r="I27" s="104">
        <v>0.1</v>
      </c>
      <c r="J27" s="104">
        <v>0.1</v>
      </c>
      <c r="K27" s="104">
        <v>0.1</v>
      </c>
      <c r="L27" s="104">
        <v>0.1</v>
      </c>
      <c r="M27" s="128">
        <f t="shared" si="1"/>
        <v>0.1</v>
      </c>
      <c r="N27" s="128">
        <f t="shared" si="2"/>
        <v>0.1</v>
      </c>
      <c r="O27" s="128">
        <f t="shared" si="3"/>
        <v>0.1</v>
      </c>
      <c r="P27" s="128">
        <f t="shared" si="4"/>
        <v>0.1</v>
      </c>
      <c r="Q27" s="128">
        <f t="shared" si="5"/>
        <v>0.1</v>
      </c>
      <c r="R27" s="128">
        <f t="shared" si="6"/>
        <v>0.1</v>
      </c>
      <c r="S27" s="127">
        <v>0.1</v>
      </c>
      <c r="T27" s="104"/>
      <c r="U27" s="127"/>
      <c r="V27" s="127"/>
      <c r="W27" s="127"/>
      <c r="X27" s="127"/>
      <c r="Y27" s="127"/>
      <c r="Z27" s="127"/>
      <c r="AB27" s="127"/>
      <c r="AC27" s="127"/>
      <c r="AD27" s="6">
        <v>0.25</v>
      </c>
      <c r="AF27" s="5" t="s">
        <v>30</v>
      </c>
      <c r="AG27" s="6">
        <v>0.25</v>
      </c>
      <c r="AH27" s="6">
        <v>0.25</v>
      </c>
      <c r="AI27" s="6">
        <v>0.25</v>
      </c>
      <c r="AJ27" s="6">
        <v>0.25</v>
      </c>
      <c r="AK27" s="6">
        <v>0.25</v>
      </c>
      <c r="AL27" s="6">
        <v>0.25</v>
      </c>
    </row>
    <row r="28" spans="3:38">
      <c r="C28" s="5" t="s">
        <v>425</v>
      </c>
      <c r="D28" s="104"/>
      <c r="E28" s="104"/>
      <c r="F28" s="104"/>
      <c r="G28" s="104"/>
      <c r="H28" s="104">
        <v>0.2</v>
      </c>
      <c r="I28" s="104">
        <v>0.2</v>
      </c>
      <c r="J28" s="104">
        <v>0.2</v>
      </c>
      <c r="K28" s="104">
        <v>0.2</v>
      </c>
      <c r="L28" s="104">
        <v>0.2</v>
      </c>
      <c r="M28" s="128">
        <f t="shared" si="1"/>
        <v>0.2</v>
      </c>
      <c r="N28" s="128">
        <f t="shared" si="2"/>
        <v>0.2</v>
      </c>
      <c r="O28" s="128">
        <f t="shared" si="3"/>
        <v>0.2</v>
      </c>
      <c r="P28" s="128">
        <f t="shared" si="4"/>
        <v>0.2</v>
      </c>
      <c r="Q28" s="128">
        <f t="shared" si="5"/>
        <v>0.2</v>
      </c>
      <c r="R28" s="128">
        <f t="shared" si="6"/>
        <v>0.2</v>
      </c>
      <c r="S28" s="127">
        <v>0.2</v>
      </c>
      <c r="T28" s="104"/>
      <c r="U28" s="127"/>
      <c r="V28" s="127"/>
      <c r="W28" s="127"/>
      <c r="X28" s="127"/>
      <c r="Y28" s="127"/>
      <c r="Z28" s="127"/>
      <c r="AB28" s="127"/>
      <c r="AC28" s="127"/>
      <c r="AD28" s="6">
        <v>0.25</v>
      </c>
      <c r="AF28" s="5" t="s">
        <v>423</v>
      </c>
      <c r="AG28" s="6">
        <v>0</v>
      </c>
      <c r="AH28" s="6">
        <v>0</v>
      </c>
      <c r="AI28" s="6">
        <v>0.25</v>
      </c>
      <c r="AJ28" s="6">
        <v>0.25</v>
      </c>
      <c r="AK28" s="6">
        <v>0.25</v>
      </c>
      <c r="AL28" s="6">
        <v>0.25</v>
      </c>
    </row>
    <row r="29" spans="3:38">
      <c r="C29" s="5" t="s">
        <v>34</v>
      </c>
      <c r="D29" s="104">
        <v>0.36099999999999999</v>
      </c>
      <c r="E29" s="104">
        <v>0.36099999999999999</v>
      </c>
      <c r="F29" s="104">
        <v>0.33500000000000002</v>
      </c>
      <c r="G29" s="104">
        <v>0.33</v>
      </c>
      <c r="H29" s="104">
        <v>0.31</v>
      </c>
      <c r="I29" s="104">
        <v>0.28000000000000003</v>
      </c>
      <c r="J29" s="104">
        <v>0.26</v>
      </c>
      <c r="K29" s="104">
        <v>0.26</v>
      </c>
      <c r="L29" s="104">
        <v>0.26500000000000001</v>
      </c>
      <c r="M29" s="128">
        <f t="shared" si="1"/>
        <v>0.26500000000000001</v>
      </c>
      <c r="N29" s="128">
        <f t="shared" si="2"/>
        <v>0.26500000000000001</v>
      </c>
      <c r="O29" s="128">
        <f t="shared" si="3"/>
        <v>0.26500000000000001</v>
      </c>
      <c r="P29" s="128">
        <f t="shared" si="4"/>
        <v>0.26500000000000001</v>
      </c>
      <c r="Q29" s="128">
        <f t="shared" si="5"/>
        <v>0.26500000000000001</v>
      </c>
      <c r="R29" s="128">
        <f t="shared" si="6"/>
        <v>0.26500000000000001</v>
      </c>
      <c r="S29" s="127">
        <v>0.26500000000000001</v>
      </c>
      <c r="T29" s="104"/>
      <c r="U29" s="127"/>
      <c r="V29" s="127"/>
      <c r="W29" s="127"/>
      <c r="X29" s="127"/>
      <c r="Y29" s="127"/>
      <c r="Z29" s="127"/>
      <c r="AB29" s="127"/>
      <c r="AC29" s="127"/>
      <c r="AD29" s="6">
        <v>0.1</v>
      </c>
      <c r="AF29" s="5" t="s">
        <v>424</v>
      </c>
      <c r="AG29" s="6">
        <v>0.1</v>
      </c>
      <c r="AH29" s="6">
        <v>0.1</v>
      </c>
      <c r="AI29" s="6">
        <v>0.1</v>
      </c>
      <c r="AJ29" s="6">
        <v>0.1</v>
      </c>
      <c r="AK29" s="6">
        <v>0.1</v>
      </c>
      <c r="AL29" s="6">
        <v>0.1</v>
      </c>
    </row>
    <row r="30" spans="3:38">
      <c r="C30" s="5" t="s">
        <v>35</v>
      </c>
      <c r="D30" s="104">
        <v>0</v>
      </c>
      <c r="E30" s="104">
        <v>0</v>
      </c>
      <c r="F30" s="104">
        <v>0</v>
      </c>
      <c r="G30" s="104">
        <v>0</v>
      </c>
      <c r="H30" s="104">
        <v>0</v>
      </c>
      <c r="I30" s="104">
        <v>0</v>
      </c>
      <c r="J30" s="104">
        <v>0</v>
      </c>
      <c r="K30" s="104">
        <v>0</v>
      </c>
      <c r="L30" s="104">
        <v>0</v>
      </c>
      <c r="M30" s="128">
        <f t="shared" si="1"/>
        <v>0</v>
      </c>
      <c r="N30" s="128">
        <f t="shared" si="2"/>
        <v>0</v>
      </c>
      <c r="O30" s="128">
        <f t="shared" si="3"/>
        <v>0</v>
      </c>
      <c r="P30" s="128">
        <f t="shared" si="4"/>
        <v>0</v>
      </c>
      <c r="Q30" s="128">
        <f t="shared" si="5"/>
        <v>0</v>
      </c>
      <c r="R30" s="128">
        <f t="shared" si="6"/>
        <v>0</v>
      </c>
      <c r="S30" s="127">
        <v>0</v>
      </c>
      <c r="T30" s="104"/>
      <c r="U30" s="127"/>
      <c r="V30" s="127"/>
      <c r="W30" s="127"/>
      <c r="X30" s="127"/>
      <c r="Y30" s="127"/>
      <c r="Z30" s="127"/>
      <c r="AB30" s="127"/>
      <c r="AC30" s="127"/>
      <c r="AD30" s="6">
        <v>0.22</v>
      </c>
      <c r="AF30" s="5" t="s">
        <v>31</v>
      </c>
      <c r="AG30" s="6">
        <v>0.22</v>
      </c>
      <c r="AH30" s="6">
        <v>0.22</v>
      </c>
      <c r="AI30" s="6">
        <v>0.22</v>
      </c>
      <c r="AJ30" s="6">
        <v>0.22</v>
      </c>
      <c r="AK30" s="6">
        <v>0.22</v>
      </c>
      <c r="AL30" s="6">
        <v>0.22</v>
      </c>
    </row>
    <row r="31" spans="3:38">
      <c r="C31" s="5" t="s">
        <v>36</v>
      </c>
      <c r="D31" s="104">
        <v>0.17</v>
      </c>
      <c r="E31" s="104">
        <v>0.17</v>
      </c>
      <c r="F31" s="104">
        <v>0.17</v>
      </c>
      <c r="G31" s="104">
        <v>0.17</v>
      </c>
      <c r="H31" s="104">
        <v>0.17</v>
      </c>
      <c r="I31" s="104">
        <v>0.2</v>
      </c>
      <c r="J31" s="104">
        <v>0.185</v>
      </c>
      <c r="K31" s="104">
        <v>0.2</v>
      </c>
      <c r="L31" s="104">
        <v>0.2</v>
      </c>
      <c r="M31" s="128">
        <f t="shared" si="1"/>
        <v>0.24</v>
      </c>
      <c r="N31" s="128">
        <f t="shared" si="2"/>
        <v>0.24</v>
      </c>
      <c r="O31" s="128">
        <f t="shared" si="3"/>
        <v>0.255</v>
      </c>
      <c r="P31" s="128">
        <f t="shared" si="4"/>
        <v>0.26</v>
      </c>
      <c r="Q31" s="128">
        <f t="shared" si="5"/>
        <v>0.27</v>
      </c>
      <c r="R31" s="128">
        <f t="shared" si="6"/>
        <v>0.27</v>
      </c>
      <c r="S31" s="127">
        <v>0.2</v>
      </c>
      <c r="T31" s="104"/>
      <c r="U31" s="127"/>
      <c r="V31" s="127"/>
      <c r="W31" s="127"/>
      <c r="X31" s="127"/>
      <c r="Y31" s="127"/>
      <c r="Z31" s="127"/>
      <c r="AB31" s="127"/>
      <c r="AC31" s="127"/>
      <c r="AD31" s="6">
        <v>0.34</v>
      </c>
      <c r="AF31" s="5" t="s">
        <v>32</v>
      </c>
      <c r="AG31" s="6">
        <v>0.34</v>
      </c>
      <c r="AH31" s="6">
        <v>0.34</v>
      </c>
      <c r="AI31" s="6">
        <v>0.34</v>
      </c>
      <c r="AJ31" s="6">
        <v>0.34</v>
      </c>
      <c r="AK31" s="6">
        <v>0.34</v>
      </c>
      <c r="AL31" s="6">
        <v>0.34</v>
      </c>
    </row>
    <row r="32" spans="3:38">
      <c r="C32" s="5" t="s">
        <v>37</v>
      </c>
      <c r="D32" s="104">
        <v>0.33</v>
      </c>
      <c r="E32" s="104">
        <v>0.33</v>
      </c>
      <c r="F32" s="104">
        <v>0.25</v>
      </c>
      <c r="G32" s="104">
        <v>0.25</v>
      </c>
      <c r="H32" s="104">
        <v>0.25</v>
      </c>
      <c r="I32" s="104">
        <v>0.25</v>
      </c>
      <c r="J32" s="104">
        <v>0.25</v>
      </c>
      <c r="K32" s="104">
        <v>0.25</v>
      </c>
      <c r="L32" s="104">
        <v>0.25</v>
      </c>
      <c r="M32" s="128">
        <f t="shared" si="1"/>
        <v>0.25</v>
      </c>
      <c r="N32" s="128">
        <f t="shared" si="2"/>
        <v>0.25</v>
      </c>
      <c r="O32" s="128">
        <f t="shared" si="3"/>
        <v>0.25</v>
      </c>
      <c r="P32" s="128">
        <f t="shared" si="4"/>
        <v>0.25</v>
      </c>
      <c r="Q32" s="128">
        <f t="shared" si="5"/>
        <v>0.25</v>
      </c>
      <c r="R32" s="128">
        <f t="shared" si="6"/>
        <v>0.25</v>
      </c>
      <c r="S32" s="127">
        <v>0.25</v>
      </c>
      <c r="T32" s="104"/>
      <c r="U32" s="127"/>
      <c r="V32" s="127"/>
      <c r="W32" s="127"/>
      <c r="X32" s="127"/>
      <c r="Y32" s="127"/>
      <c r="Z32" s="127"/>
      <c r="AB32" s="127"/>
      <c r="AC32" s="127"/>
      <c r="AD32" s="6">
        <v>0.185</v>
      </c>
      <c r="AF32" s="5" t="s">
        <v>3819</v>
      </c>
      <c r="AG32" s="6">
        <v>0</v>
      </c>
      <c r="AH32" s="6">
        <v>0</v>
      </c>
      <c r="AI32" s="6">
        <v>0.185</v>
      </c>
      <c r="AJ32" s="6">
        <v>0.185</v>
      </c>
      <c r="AK32" s="6">
        <v>0.185</v>
      </c>
      <c r="AL32" s="6">
        <v>0.185</v>
      </c>
    </row>
    <row r="33" spans="3:38">
      <c r="C33" s="5" t="s">
        <v>38</v>
      </c>
      <c r="D33" s="104">
        <v>0.35</v>
      </c>
      <c r="E33" s="104">
        <v>0.34</v>
      </c>
      <c r="F33" s="104">
        <v>0.33</v>
      </c>
      <c r="G33" s="104">
        <v>0.33</v>
      </c>
      <c r="H33" s="104">
        <v>0.33</v>
      </c>
      <c r="I33" s="104">
        <v>0.33</v>
      </c>
      <c r="J33" s="104">
        <v>0.33</v>
      </c>
      <c r="K33" s="104">
        <v>0.25</v>
      </c>
      <c r="L33" s="104">
        <v>0.25</v>
      </c>
      <c r="M33" s="128">
        <f t="shared" si="1"/>
        <v>0.25</v>
      </c>
      <c r="N33" s="128">
        <f t="shared" si="2"/>
        <v>0.25</v>
      </c>
      <c r="O33" s="128">
        <f t="shared" si="3"/>
        <v>0.34</v>
      </c>
      <c r="P33" s="128">
        <f t="shared" si="4"/>
        <v>0.33</v>
      </c>
      <c r="Q33" s="128">
        <f t="shared" si="5"/>
        <v>0.33</v>
      </c>
      <c r="R33" s="128">
        <f t="shared" si="6"/>
        <v>0.32</v>
      </c>
      <c r="S33" s="127">
        <v>0.25</v>
      </c>
      <c r="T33" s="104"/>
      <c r="U33" s="127"/>
      <c r="V33" s="127"/>
      <c r="W33" s="127"/>
      <c r="X33" s="127"/>
      <c r="Y33" s="127"/>
      <c r="Z33" s="127"/>
      <c r="AB33" s="127"/>
      <c r="AC33" s="127"/>
      <c r="AD33" s="6">
        <v>0.1</v>
      </c>
      <c r="AF33" s="5" t="s">
        <v>33</v>
      </c>
      <c r="AG33" s="6">
        <v>0.1</v>
      </c>
      <c r="AH33" s="6">
        <v>0.1</v>
      </c>
      <c r="AI33" s="6">
        <v>0.1</v>
      </c>
      <c r="AJ33" s="6">
        <v>0.1</v>
      </c>
      <c r="AK33" s="6">
        <v>0.1</v>
      </c>
      <c r="AL33" s="6">
        <v>0.1</v>
      </c>
    </row>
    <row r="34" spans="3:38">
      <c r="C34" s="5" t="s">
        <v>39</v>
      </c>
      <c r="D34" s="104">
        <v>0.3</v>
      </c>
      <c r="E34" s="104">
        <v>0.3</v>
      </c>
      <c r="F34" s="104">
        <v>0.3</v>
      </c>
      <c r="G34" s="104">
        <v>0.3</v>
      </c>
      <c r="H34" s="104">
        <v>0.3</v>
      </c>
      <c r="I34" s="104">
        <v>0.3</v>
      </c>
      <c r="J34" s="104">
        <v>0.3</v>
      </c>
      <c r="K34" s="104">
        <v>0.3</v>
      </c>
      <c r="L34" s="104">
        <v>0.3</v>
      </c>
      <c r="M34" s="128">
        <f t="shared" si="1"/>
        <v>0.3</v>
      </c>
      <c r="N34" s="128">
        <f t="shared" si="2"/>
        <v>0.3</v>
      </c>
      <c r="O34" s="128">
        <f t="shared" si="3"/>
        <v>0.3</v>
      </c>
      <c r="P34" s="128">
        <f t="shared" si="4"/>
        <v>0.3</v>
      </c>
      <c r="Q34" s="128">
        <f t="shared" si="5"/>
        <v>0.3</v>
      </c>
      <c r="R34" s="128">
        <f t="shared" si="6"/>
        <v>0.3</v>
      </c>
      <c r="S34" s="127">
        <v>0.3</v>
      </c>
      <c r="T34" s="104"/>
      <c r="U34" s="127"/>
      <c r="V34" s="127"/>
      <c r="W34" s="127"/>
      <c r="X34" s="127"/>
      <c r="Y34" s="127"/>
      <c r="Z34" s="127"/>
      <c r="AB34" s="127"/>
      <c r="AC34" s="127"/>
      <c r="AD34" s="6">
        <v>0.28000000000000003</v>
      </c>
      <c r="AF34" s="5" t="s">
        <v>3820</v>
      </c>
      <c r="AG34" s="6">
        <v>0</v>
      </c>
      <c r="AH34" s="6">
        <v>0</v>
      </c>
      <c r="AI34" s="6">
        <v>0.27500000000000002</v>
      </c>
      <c r="AJ34" s="6">
        <v>0.28000000000000003</v>
      </c>
      <c r="AK34" s="6">
        <v>0.28000000000000003</v>
      </c>
      <c r="AL34" s="6">
        <v>0.28000000000000003</v>
      </c>
    </row>
    <row r="35" spans="3:38">
      <c r="C35" s="5" t="s">
        <v>40</v>
      </c>
      <c r="D35" s="104">
        <v>0.2</v>
      </c>
      <c r="E35" s="104">
        <v>0.2</v>
      </c>
      <c r="F35" s="104">
        <v>0.2</v>
      </c>
      <c r="G35" s="104">
        <v>0.2</v>
      </c>
      <c r="H35" s="104">
        <v>0.2</v>
      </c>
      <c r="I35" s="104">
        <v>0.2</v>
      </c>
      <c r="J35" s="104">
        <v>0.2</v>
      </c>
      <c r="K35" s="104">
        <v>0.2</v>
      </c>
      <c r="L35" s="104">
        <v>0.2</v>
      </c>
      <c r="M35" s="128">
        <f t="shared" si="1"/>
        <v>0.2</v>
      </c>
      <c r="N35" s="128">
        <f t="shared" si="2"/>
        <v>0.2</v>
      </c>
      <c r="O35" s="128">
        <f t="shared" si="3"/>
        <v>0.2</v>
      </c>
      <c r="P35" s="128">
        <f t="shared" si="4"/>
        <v>0.18</v>
      </c>
      <c r="Q35" s="128">
        <f t="shared" si="5"/>
        <v>0.18</v>
      </c>
      <c r="R35" s="128">
        <f t="shared" si="6"/>
        <v>0.18</v>
      </c>
      <c r="S35" s="127">
        <v>0.2</v>
      </c>
      <c r="T35" s="104"/>
      <c r="U35" s="127"/>
      <c r="V35" s="127"/>
      <c r="W35" s="127"/>
      <c r="X35" s="127"/>
      <c r="Y35" s="127"/>
      <c r="Z35" s="127"/>
      <c r="AB35" s="127"/>
      <c r="AC35" s="127"/>
      <c r="AD35" s="6">
        <v>0.3</v>
      </c>
      <c r="AF35" s="5" t="s">
        <v>3821</v>
      </c>
      <c r="AG35" s="6">
        <v>0</v>
      </c>
      <c r="AH35" s="6">
        <v>0</v>
      </c>
      <c r="AI35" s="6">
        <v>0.3</v>
      </c>
      <c r="AJ35" s="6">
        <v>0.3</v>
      </c>
      <c r="AK35" s="6">
        <v>0.3</v>
      </c>
      <c r="AL35" s="6">
        <v>0.3</v>
      </c>
    </row>
    <row r="36" spans="3:38">
      <c r="C36" s="5" t="s">
        <v>426</v>
      </c>
      <c r="D36" s="104"/>
      <c r="E36" s="104"/>
      <c r="F36" s="104"/>
      <c r="G36" s="104"/>
      <c r="H36" s="104"/>
      <c r="I36" s="104">
        <v>0.34499999999999997</v>
      </c>
      <c r="J36" s="104">
        <v>0.27500000000000002</v>
      </c>
      <c r="K36" s="104">
        <v>0.27500000000000002</v>
      </c>
      <c r="L36" s="104">
        <v>0.27500000000000002</v>
      </c>
      <c r="M36" s="128">
        <f t="shared" si="1"/>
        <v>0.22</v>
      </c>
      <c r="N36" s="128">
        <f t="shared" si="2"/>
        <v>0.22</v>
      </c>
      <c r="O36" s="128">
        <f t="shared" si="3"/>
        <v>0.22</v>
      </c>
      <c r="P36" s="128">
        <f t="shared" si="4"/>
        <v>0.22</v>
      </c>
      <c r="Q36" s="128">
        <f t="shared" si="5"/>
        <v>0.22</v>
      </c>
      <c r="R36" s="128">
        <f t="shared" si="6"/>
        <v>0.22</v>
      </c>
      <c r="S36" s="127">
        <v>0.27500000000000002</v>
      </c>
      <c r="T36" s="104"/>
      <c r="U36" s="127"/>
      <c r="V36" s="127"/>
      <c r="W36" s="127"/>
      <c r="X36" s="127"/>
      <c r="Y36" s="127"/>
      <c r="Z36" s="127"/>
      <c r="AB36" s="127"/>
      <c r="AC36" s="127"/>
      <c r="AD36" s="6">
        <v>0.2</v>
      </c>
      <c r="AF36" s="5" t="s">
        <v>425</v>
      </c>
      <c r="AG36" s="6">
        <v>0.2</v>
      </c>
      <c r="AH36" s="6">
        <v>0.2</v>
      </c>
      <c r="AI36" s="6">
        <v>0.2</v>
      </c>
      <c r="AJ36" s="6">
        <v>0.2</v>
      </c>
      <c r="AK36" s="6">
        <v>0.2</v>
      </c>
      <c r="AL36" s="6">
        <v>0.2</v>
      </c>
    </row>
    <row r="37" spans="3:38">
      <c r="C37" s="5" t="s">
        <v>41</v>
      </c>
      <c r="D37" s="104">
        <v>0.1</v>
      </c>
      <c r="E37" s="104">
        <v>0.1</v>
      </c>
      <c r="F37" s="104">
        <v>0.1</v>
      </c>
      <c r="G37" s="104">
        <v>0.1</v>
      </c>
      <c r="H37" s="104">
        <v>0.1</v>
      </c>
      <c r="I37" s="104">
        <v>0.1</v>
      </c>
      <c r="J37" s="104">
        <v>0.1</v>
      </c>
      <c r="K37" s="104">
        <v>0.125</v>
      </c>
      <c r="L37" s="104">
        <v>0.125</v>
      </c>
      <c r="M37" s="128">
        <f t="shared" si="1"/>
        <v>0.125</v>
      </c>
      <c r="N37" s="128">
        <f t="shared" si="2"/>
        <v>0.125</v>
      </c>
      <c r="O37" s="128">
        <f t="shared" si="3"/>
        <v>0.125</v>
      </c>
      <c r="P37" s="128">
        <f t="shared" si="4"/>
        <v>0.125</v>
      </c>
      <c r="Q37" s="128">
        <f t="shared" si="5"/>
        <v>0.125</v>
      </c>
      <c r="R37" s="128">
        <f t="shared" si="6"/>
        <v>0.125</v>
      </c>
      <c r="S37" s="127">
        <v>0.125</v>
      </c>
      <c r="T37" s="104"/>
      <c r="U37" s="127"/>
      <c r="V37" s="127"/>
      <c r="W37" s="127"/>
      <c r="X37" s="127"/>
      <c r="Y37" s="127"/>
      <c r="Z37" s="127"/>
      <c r="AB37" s="127"/>
      <c r="AC37" s="127"/>
      <c r="AD37" s="6">
        <v>0.33</v>
      </c>
      <c r="AF37" s="5" t="s">
        <v>3822</v>
      </c>
      <c r="AG37" s="6">
        <v>0.33</v>
      </c>
      <c r="AH37" s="6">
        <v>0.33</v>
      </c>
      <c r="AI37" s="6">
        <v>0.33</v>
      </c>
      <c r="AJ37" s="6">
        <v>0.33</v>
      </c>
      <c r="AK37" s="6">
        <v>0.33</v>
      </c>
      <c r="AL37" s="6">
        <v>0.33</v>
      </c>
    </row>
    <row r="38" spans="3:38">
      <c r="C38" s="5" t="s">
        <v>3628</v>
      </c>
      <c r="D38" s="104">
        <v>0.24</v>
      </c>
      <c r="E38" s="104">
        <v>0.24</v>
      </c>
      <c r="F38" s="104">
        <v>0.21</v>
      </c>
      <c r="G38" s="104">
        <v>0.2</v>
      </c>
      <c r="H38" s="104">
        <v>0.19</v>
      </c>
      <c r="I38" s="104">
        <v>0.19</v>
      </c>
      <c r="J38" s="104">
        <v>0.19</v>
      </c>
      <c r="K38" s="104">
        <v>0.19</v>
      </c>
      <c r="L38" s="104">
        <v>0.19</v>
      </c>
      <c r="M38" s="128">
        <v>0.19</v>
      </c>
      <c r="N38" s="128">
        <v>0.19</v>
      </c>
      <c r="O38" s="128">
        <v>0.19</v>
      </c>
      <c r="P38" s="128">
        <v>0.19</v>
      </c>
      <c r="Q38" s="128">
        <v>0.19</v>
      </c>
      <c r="R38" s="128">
        <v>0.19</v>
      </c>
      <c r="S38" s="127">
        <v>0.19</v>
      </c>
      <c r="T38" s="104"/>
      <c r="U38" s="127"/>
      <c r="V38" s="127"/>
      <c r="W38" s="127"/>
      <c r="X38" s="127"/>
      <c r="Y38" s="127"/>
      <c r="Z38" s="127"/>
      <c r="AB38" s="127"/>
      <c r="AC38" s="127"/>
      <c r="AD38" s="6">
        <v>0.26500000000000001</v>
      </c>
      <c r="AF38" s="5" t="s">
        <v>34</v>
      </c>
      <c r="AG38" s="6">
        <v>0.26500000000000001</v>
      </c>
      <c r="AH38" s="6">
        <v>0.26500000000000001</v>
      </c>
      <c r="AI38" s="6">
        <v>0.26500000000000001</v>
      </c>
      <c r="AJ38" s="6">
        <v>0.26500000000000001</v>
      </c>
      <c r="AK38" s="6">
        <v>0.26500000000000001</v>
      </c>
      <c r="AL38" s="6">
        <v>0.26500000000000001</v>
      </c>
    </row>
    <row r="39" spans="3:38">
      <c r="C39" s="5" t="s">
        <v>42</v>
      </c>
      <c r="D39" s="104">
        <v>0.28000000000000003</v>
      </c>
      <c r="E39" s="104">
        <v>0.25</v>
      </c>
      <c r="F39" s="104">
        <v>0.25</v>
      </c>
      <c r="G39" s="104">
        <v>0.25</v>
      </c>
      <c r="H39" s="104">
        <v>0.25</v>
      </c>
      <c r="I39" s="104">
        <v>0.25</v>
      </c>
      <c r="J39" s="104">
        <v>0.25</v>
      </c>
      <c r="K39" s="104">
        <v>0.25</v>
      </c>
      <c r="L39" s="104">
        <v>0.245</v>
      </c>
      <c r="M39" s="128">
        <f t="shared" ref="M39:M79" si="7">VLOOKUP(C39,$AF$6:$AL$188,2,FALSE)</f>
        <v>0.22</v>
      </c>
      <c r="N39" s="128">
        <f t="shared" si="2"/>
        <v>0.22</v>
      </c>
      <c r="O39" s="128">
        <f t="shared" si="3"/>
        <v>0.22</v>
      </c>
      <c r="P39" s="128">
        <f t="shared" ref="P39:P79" si="8">VLOOKUP(C39,$AF$6:$AL$188,5,FALSE)</f>
        <v>0.22</v>
      </c>
      <c r="Q39" s="128">
        <f t="shared" ref="Q39:Q79" si="9">VLOOKUP(C39,$AF$6:$AL$188,6,FALSE)</f>
        <v>0.22</v>
      </c>
      <c r="R39" s="128">
        <f t="shared" ref="R39:R79" si="10">VLOOKUP(C39,$AF$6:$AL$188,7,FALSE)</f>
        <v>0.22</v>
      </c>
      <c r="S39" s="127">
        <v>0.245</v>
      </c>
      <c r="T39" s="104"/>
      <c r="U39" s="127"/>
      <c r="V39" s="127"/>
      <c r="W39" s="127"/>
      <c r="X39" s="127"/>
      <c r="Y39" s="127"/>
      <c r="Z39" s="127"/>
      <c r="AB39" s="127"/>
      <c r="AC39" s="127"/>
      <c r="AD39" s="6">
        <v>0</v>
      </c>
      <c r="AF39" s="5" t="s">
        <v>35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</row>
    <row r="40" spans="3:38">
      <c r="C40" s="5" t="s">
        <v>43</v>
      </c>
      <c r="D40" s="104">
        <v>0.3</v>
      </c>
      <c r="E40" s="104">
        <v>0.25</v>
      </c>
      <c r="F40" s="104">
        <v>0.25</v>
      </c>
      <c r="G40" s="104">
        <v>0.25</v>
      </c>
      <c r="H40" s="104">
        <v>0.25</v>
      </c>
      <c r="I40" s="104">
        <v>0.28999999999999998</v>
      </c>
      <c r="J40" s="104">
        <v>0.28999999999999998</v>
      </c>
      <c r="K40" s="104">
        <v>0.28999999999999998</v>
      </c>
      <c r="L40" s="104">
        <v>0.28000000000000003</v>
      </c>
      <c r="M40" s="128">
        <f t="shared" si="7"/>
        <v>0.27</v>
      </c>
      <c r="N40" s="128">
        <f t="shared" si="2"/>
        <v>0.27</v>
      </c>
      <c r="O40" s="128">
        <f t="shared" si="3"/>
        <v>0.27</v>
      </c>
      <c r="P40" s="128">
        <f t="shared" si="8"/>
        <v>0.27</v>
      </c>
      <c r="Q40" s="128">
        <f t="shared" si="9"/>
        <v>0.27</v>
      </c>
      <c r="R40" s="128">
        <f t="shared" si="10"/>
        <v>0.27</v>
      </c>
      <c r="S40" s="127">
        <v>0.28000000000000003</v>
      </c>
      <c r="T40" s="104"/>
      <c r="U40" s="127"/>
      <c r="V40" s="127"/>
      <c r="W40" s="127"/>
      <c r="X40" s="127"/>
      <c r="Y40" s="127"/>
      <c r="Z40" s="127"/>
      <c r="AB40" s="127"/>
      <c r="AC40" s="127"/>
      <c r="AD40" s="6">
        <v>0.27</v>
      </c>
      <c r="AF40" s="5" t="s">
        <v>36</v>
      </c>
      <c r="AG40" s="6">
        <v>0.24</v>
      </c>
      <c r="AH40" s="6">
        <v>0.24</v>
      </c>
      <c r="AI40" s="6">
        <v>0.255</v>
      </c>
      <c r="AJ40" s="6">
        <v>0.26</v>
      </c>
      <c r="AK40" s="6">
        <v>0.27</v>
      </c>
      <c r="AL40" s="6">
        <v>0.27</v>
      </c>
    </row>
    <row r="41" spans="3:38">
      <c r="C41" s="5" t="s">
        <v>44</v>
      </c>
      <c r="D41" s="104">
        <v>0.25</v>
      </c>
      <c r="E41" s="104">
        <v>0.25</v>
      </c>
      <c r="F41" s="104">
        <v>0.25</v>
      </c>
      <c r="G41" s="104">
        <v>0.25</v>
      </c>
      <c r="H41" s="104">
        <v>0.25</v>
      </c>
      <c r="I41" s="104">
        <v>0.24</v>
      </c>
      <c r="J41" s="104">
        <v>0.23</v>
      </c>
      <c r="K41" s="104">
        <v>0.22</v>
      </c>
      <c r="L41" s="104">
        <v>0.22</v>
      </c>
      <c r="M41" s="128">
        <f t="shared" si="7"/>
        <v>0.22</v>
      </c>
      <c r="N41" s="128">
        <f t="shared" si="2"/>
        <v>0.22</v>
      </c>
      <c r="O41" s="128">
        <f t="shared" si="3"/>
        <v>0.22</v>
      </c>
      <c r="P41" s="128">
        <f t="shared" si="8"/>
        <v>0.25</v>
      </c>
      <c r="Q41" s="128">
        <f t="shared" si="9"/>
        <v>0.25</v>
      </c>
      <c r="R41" s="128">
        <f t="shared" si="10"/>
        <v>0.25</v>
      </c>
      <c r="S41" s="127">
        <v>0.22</v>
      </c>
      <c r="T41" s="104"/>
      <c r="U41" s="127"/>
      <c r="V41" s="127"/>
      <c r="W41" s="127"/>
      <c r="X41" s="127"/>
      <c r="Y41" s="127"/>
      <c r="Z41" s="127"/>
      <c r="AB41" s="127"/>
      <c r="AC41" s="127"/>
      <c r="AD41" s="6">
        <v>0.25</v>
      </c>
      <c r="AF41" s="5" t="s">
        <v>37</v>
      </c>
      <c r="AG41" s="6">
        <v>0.25</v>
      </c>
      <c r="AH41" s="6">
        <v>0.25</v>
      </c>
      <c r="AI41" s="6">
        <v>0.25</v>
      </c>
      <c r="AJ41" s="6">
        <v>0.25</v>
      </c>
      <c r="AK41" s="6">
        <v>0.25</v>
      </c>
      <c r="AL41" s="6">
        <v>0.25</v>
      </c>
    </row>
    <row r="42" spans="3:38">
      <c r="C42" s="5" t="s">
        <v>45</v>
      </c>
      <c r="D42" s="104">
        <v>0.2</v>
      </c>
      <c r="E42" s="104">
        <v>0.2</v>
      </c>
      <c r="F42" s="104">
        <v>0.2</v>
      </c>
      <c r="G42" s="104">
        <v>0.2</v>
      </c>
      <c r="H42" s="104">
        <v>0.2</v>
      </c>
      <c r="I42" s="104">
        <v>0.2</v>
      </c>
      <c r="J42" s="104">
        <v>0.25</v>
      </c>
      <c r="K42" s="104">
        <v>0.25</v>
      </c>
      <c r="L42" s="104">
        <v>0.25</v>
      </c>
      <c r="M42" s="128">
        <f t="shared" si="7"/>
        <v>0.22500000000000001</v>
      </c>
      <c r="N42" s="128">
        <f t="shared" si="2"/>
        <v>0.22500000000000001</v>
      </c>
      <c r="O42" s="128">
        <f t="shared" si="3"/>
        <v>0.22500000000000001</v>
      </c>
      <c r="P42" s="128">
        <f t="shared" si="8"/>
        <v>0.23</v>
      </c>
      <c r="Q42" s="128">
        <f t="shared" si="9"/>
        <v>0.22500000000000001</v>
      </c>
      <c r="R42" s="128">
        <f t="shared" si="10"/>
        <v>0.22500000000000001</v>
      </c>
      <c r="S42" s="127">
        <v>0.25</v>
      </c>
      <c r="T42" s="104"/>
      <c r="U42" s="127"/>
      <c r="V42" s="127"/>
      <c r="W42" s="127"/>
      <c r="X42" s="127"/>
      <c r="Y42" s="127"/>
      <c r="Z42" s="127"/>
      <c r="AB42" s="127"/>
      <c r="AC42" s="127"/>
      <c r="AD42" s="6">
        <v>0.32</v>
      </c>
      <c r="AF42" s="5" t="s">
        <v>38</v>
      </c>
      <c r="AG42" s="6">
        <v>0.25</v>
      </c>
      <c r="AH42" s="6">
        <v>0.25</v>
      </c>
      <c r="AI42" s="6">
        <v>0.34</v>
      </c>
      <c r="AJ42" s="6">
        <v>0.33</v>
      </c>
      <c r="AK42" s="6">
        <v>0.33</v>
      </c>
      <c r="AL42" s="6">
        <v>0.32</v>
      </c>
    </row>
    <row r="43" spans="3:38">
      <c r="C43" s="5" t="s">
        <v>427</v>
      </c>
      <c r="D43" s="104"/>
      <c r="E43" s="104"/>
      <c r="F43" s="104"/>
      <c r="G43" s="104"/>
      <c r="H43" s="104"/>
      <c r="I43" s="104"/>
      <c r="J43" s="104">
        <v>0.3</v>
      </c>
      <c r="K43" s="104">
        <v>0.3</v>
      </c>
      <c r="L43" s="104">
        <v>0.3</v>
      </c>
      <c r="M43" s="128">
        <f t="shared" si="7"/>
        <v>0.3</v>
      </c>
      <c r="N43" s="128">
        <f t="shared" si="2"/>
        <v>0.3</v>
      </c>
      <c r="O43" s="128">
        <f t="shared" si="3"/>
        <v>0.3</v>
      </c>
      <c r="P43" s="128">
        <f t="shared" si="8"/>
        <v>0.3</v>
      </c>
      <c r="Q43" s="128">
        <f t="shared" si="9"/>
        <v>0.3</v>
      </c>
      <c r="R43" s="128">
        <f t="shared" si="10"/>
        <v>0.3</v>
      </c>
      <c r="S43" s="127">
        <v>0.3</v>
      </c>
      <c r="T43" s="104"/>
      <c r="U43" s="127"/>
      <c r="V43" s="127"/>
      <c r="W43" s="127"/>
      <c r="X43" s="127"/>
      <c r="Y43" s="127"/>
      <c r="Z43" s="127"/>
      <c r="AB43" s="127"/>
      <c r="AC43" s="127"/>
      <c r="AD43" s="6">
        <v>0.3</v>
      </c>
      <c r="AF43" s="5" t="s">
        <v>3823</v>
      </c>
      <c r="AG43" s="6">
        <v>0</v>
      </c>
      <c r="AH43" s="6">
        <v>0</v>
      </c>
      <c r="AI43" s="6">
        <v>0</v>
      </c>
      <c r="AJ43" s="6">
        <v>0</v>
      </c>
      <c r="AK43" s="6">
        <v>0</v>
      </c>
      <c r="AL43" s="6">
        <v>0.3</v>
      </c>
    </row>
    <row r="44" spans="3:38">
      <c r="C44" s="5" t="s">
        <v>46</v>
      </c>
      <c r="D44" s="104">
        <v>0.23</v>
      </c>
      <c r="E44" s="104">
        <v>0.22</v>
      </c>
      <c r="F44" s="104">
        <v>0.21</v>
      </c>
      <c r="G44" s="104">
        <v>0.21</v>
      </c>
      <c r="H44" s="104">
        <v>0.21</v>
      </c>
      <c r="I44" s="104">
        <v>0.21</v>
      </c>
      <c r="J44" s="104">
        <v>0.21</v>
      </c>
      <c r="K44" s="104">
        <v>0.21</v>
      </c>
      <c r="L44" s="104">
        <v>0.21</v>
      </c>
      <c r="M44" s="128">
        <f t="shared" si="7"/>
        <v>0.2</v>
      </c>
      <c r="N44" s="128">
        <f t="shared" si="2"/>
        <v>0.2</v>
      </c>
      <c r="O44" s="128">
        <f t="shared" si="3"/>
        <v>0.2</v>
      </c>
      <c r="P44" s="128">
        <f t="shared" si="8"/>
        <v>0.2</v>
      </c>
      <c r="Q44" s="128">
        <f t="shared" si="9"/>
        <v>0.2</v>
      </c>
      <c r="R44" s="128">
        <f t="shared" si="10"/>
        <v>0.2</v>
      </c>
      <c r="S44" s="127">
        <v>0.21</v>
      </c>
      <c r="T44" s="104"/>
      <c r="U44" s="127"/>
      <c r="V44" s="127"/>
      <c r="W44" s="127"/>
      <c r="X44" s="127"/>
      <c r="Y44" s="127"/>
      <c r="Z44" s="127"/>
      <c r="AB44" s="127"/>
      <c r="AC44" s="127"/>
      <c r="AD44" s="6">
        <v>0.35</v>
      </c>
      <c r="AF44" s="5" t="s">
        <v>3824</v>
      </c>
      <c r="AG44" s="6">
        <v>0</v>
      </c>
      <c r="AH44" s="6">
        <v>0</v>
      </c>
      <c r="AI44" s="6">
        <v>0.35</v>
      </c>
      <c r="AJ44" s="6">
        <v>0.35</v>
      </c>
      <c r="AK44" s="6">
        <v>0.35</v>
      </c>
      <c r="AL44" s="6">
        <v>0.35</v>
      </c>
    </row>
    <row r="45" spans="3:38">
      <c r="C45" s="5" t="s">
        <v>47</v>
      </c>
      <c r="D45" s="104">
        <v>0.31</v>
      </c>
      <c r="E45" s="104">
        <v>0.31</v>
      </c>
      <c r="F45" s="104">
        <v>0.31</v>
      </c>
      <c r="G45" s="104">
        <v>0.28999999999999998</v>
      </c>
      <c r="H45" s="104">
        <v>0.28000000000000003</v>
      </c>
      <c r="I45" s="104">
        <v>0.28000000000000003</v>
      </c>
      <c r="J45" s="104">
        <v>0.28000000000000003</v>
      </c>
      <c r="K45" s="104">
        <v>0.2</v>
      </c>
      <c r="L45" s="104">
        <v>0.2</v>
      </c>
      <c r="M45" s="128">
        <f t="shared" si="7"/>
        <v>0.2</v>
      </c>
      <c r="N45" s="128">
        <f t="shared" si="2"/>
        <v>0.2</v>
      </c>
      <c r="O45" s="128">
        <f t="shared" si="3"/>
        <v>0.2</v>
      </c>
      <c r="P45" s="128">
        <f t="shared" si="8"/>
        <v>0.2</v>
      </c>
      <c r="Q45" s="128">
        <f t="shared" si="9"/>
        <v>0.2</v>
      </c>
      <c r="R45" s="128">
        <f t="shared" si="10"/>
        <v>0.2</v>
      </c>
      <c r="S45" s="127">
        <v>0.2</v>
      </c>
      <c r="T45" s="104"/>
      <c r="U45" s="127"/>
      <c r="V45" s="127"/>
      <c r="W45" s="127"/>
      <c r="X45" s="127"/>
      <c r="Y45" s="127"/>
      <c r="Z45" s="127"/>
      <c r="AB45" s="127"/>
      <c r="AC45" s="127"/>
      <c r="AD45" s="6">
        <v>0.3</v>
      </c>
      <c r="AF45" s="5" t="s">
        <v>39</v>
      </c>
      <c r="AG45" s="6">
        <v>0.3</v>
      </c>
      <c r="AH45" s="6">
        <v>0.3</v>
      </c>
      <c r="AI45" s="6">
        <v>0.3</v>
      </c>
      <c r="AJ45" s="6">
        <v>0.3</v>
      </c>
      <c r="AK45" s="6">
        <v>0.3</v>
      </c>
      <c r="AL45" s="6">
        <v>0.3</v>
      </c>
    </row>
    <row r="46" spans="3:38">
      <c r="C46" s="5" t="s">
        <v>48</v>
      </c>
      <c r="D46" s="104">
        <v>0.26</v>
      </c>
      <c r="E46" s="104">
        <v>0.26</v>
      </c>
      <c r="F46" s="104">
        <v>0.26</v>
      </c>
      <c r="G46" s="104">
        <v>0.26</v>
      </c>
      <c r="H46" s="104">
        <v>0.26</v>
      </c>
      <c r="I46" s="104">
        <v>0.26</v>
      </c>
      <c r="J46" s="104">
        <v>0.245</v>
      </c>
      <c r="K46" s="104">
        <v>0.245</v>
      </c>
      <c r="L46" s="104">
        <v>0.2</v>
      </c>
      <c r="M46" s="128">
        <f t="shared" si="7"/>
        <v>0.2</v>
      </c>
      <c r="N46" s="128">
        <f t="shared" si="2"/>
        <v>0.2</v>
      </c>
      <c r="O46" s="128">
        <f t="shared" si="3"/>
        <v>0.2</v>
      </c>
      <c r="P46" s="128">
        <f t="shared" si="8"/>
        <v>0.2</v>
      </c>
      <c r="Q46" s="128">
        <f t="shared" si="9"/>
        <v>0.2</v>
      </c>
      <c r="R46" s="128">
        <f t="shared" si="10"/>
        <v>0.2</v>
      </c>
      <c r="S46" s="127">
        <v>0.2</v>
      </c>
      <c r="T46" s="104"/>
      <c r="U46" s="127"/>
      <c r="V46" s="127"/>
      <c r="W46" s="127"/>
      <c r="X46" s="127"/>
      <c r="Y46" s="127"/>
      <c r="Z46" s="127"/>
      <c r="AB46" s="127"/>
      <c r="AC46" s="127"/>
      <c r="AD46" s="6">
        <v>0.18</v>
      </c>
      <c r="AF46" s="5" t="s">
        <v>40</v>
      </c>
      <c r="AG46" s="6">
        <v>0.2</v>
      </c>
      <c r="AH46" s="6">
        <v>0.2</v>
      </c>
      <c r="AI46" s="6">
        <v>0.2</v>
      </c>
      <c r="AJ46" s="6">
        <v>0.18</v>
      </c>
      <c r="AK46" s="6">
        <v>0.18</v>
      </c>
      <c r="AL46" s="6">
        <v>0.18</v>
      </c>
    </row>
    <row r="47" spans="3:38">
      <c r="C47" s="5" t="s">
        <v>49</v>
      </c>
      <c r="D47" s="104">
        <v>0.33329999999999999</v>
      </c>
      <c r="E47" s="104">
        <v>0.33329999999999999</v>
      </c>
      <c r="F47" s="104">
        <v>0.33329999999999999</v>
      </c>
      <c r="G47" s="104">
        <v>0.33329999999999999</v>
      </c>
      <c r="H47" s="104">
        <v>0.33329999999999999</v>
      </c>
      <c r="I47" s="104">
        <v>0.33329999999999999</v>
      </c>
      <c r="J47" s="104">
        <v>0.33329999999999999</v>
      </c>
      <c r="K47" s="104">
        <v>0.33329999999999999</v>
      </c>
      <c r="L47" s="104">
        <v>0.33329999999999999</v>
      </c>
      <c r="M47" s="128">
        <f t="shared" si="7"/>
        <v>0.33329999999999999</v>
      </c>
      <c r="N47" s="128">
        <f t="shared" si="2"/>
        <v>0.33300000000000002</v>
      </c>
      <c r="O47" s="128">
        <f t="shared" si="3"/>
        <v>0.33329999999999999</v>
      </c>
      <c r="P47" s="128">
        <f t="shared" si="8"/>
        <v>0.33</v>
      </c>
      <c r="Q47" s="128">
        <f t="shared" si="9"/>
        <v>0.31</v>
      </c>
      <c r="R47" s="128">
        <f t="shared" si="10"/>
        <v>0.28000000000000003</v>
      </c>
      <c r="S47" s="127">
        <v>0.33329999999999999</v>
      </c>
      <c r="T47" s="104"/>
      <c r="U47" s="127"/>
      <c r="V47" s="127"/>
      <c r="W47" s="127"/>
      <c r="X47" s="127"/>
      <c r="Y47" s="127"/>
      <c r="Z47" s="127"/>
      <c r="AB47" s="127"/>
      <c r="AC47" s="127"/>
      <c r="AD47" s="6">
        <v>0.22</v>
      </c>
      <c r="AF47" s="5" t="s">
        <v>426</v>
      </c>
      <c r="AG47" s="6">
        <v>0.22</v>
      </c>
      <c r="AH47" s="6">
        <v>0.22</v>
      </c>
      <c r="AI47" s="6">
        <v>0.22</v>
      </c>
      <c r="AJ47" s="6">
        <v>0.22</v>
      </c>
      <c r="AK47" s="6">
        <v>0.22</v>
      </c>
      <c r="AL47" s="6">
        <v>0.22</v>
      </c>
    </row>
    <row r="48" spans="3:38">
      <c r="C48" s="5" t="s">
        <v>428</v>
      </c>
      <c r="D48" s="104"/>
      <c r="E48" s="104"/>
      <c r="F48" s="104"/>
      <c r="G48" s="104"/>
      <c r="H48" s="104"/>
      <c r="I48" s="104"/>
      <c r="J48" s="104"/>
      <c r="K48" s="104">
        <v>0.15</v>
      </c>
      <c r="L48" s="104">
        <v>0.15</v>
      </c>
      <c r="M48" s="128">
        <f t="shared" si="7"/>
        <v>0.15</v>
      </c>
      <c r="N48" s="128">
        <f t="shared" si="2"/>
        <v>0.15</v>
      </c>
      <c r="O48" s="128">
        <f t="shared" si="3"/>
        <v>0.15</v>
      </c>
      <c r="P48" s="128">
        <f t="shared" si="8"/>
        <v>0.15</v>
      </c>
      <c r="Q48" s="128">
        <f t="shared" si="9"/>
        <v>0.15</v>
      </c>
      <c r="R48" s="128">
        <f t="shared" si="10"/>
        <v>0.15</v>
      </c>
      <c r="S48" s="127">
        <v>0.15</v>
      </c>
      <c r="T48" s="104"/>
      <c r="U48" s="127"/>
      <c r="V48" s="127"/>
      <c r="W48" s="127"/>
      <c r="X48" s="127"/>
      <c r="Y48" s="127"/>
      <c r="Z48" s="127"/>
      <c r="AB48" s="127"/>
      <c r="AC48" s="127"/>
      <c r="AD48" s="6">
        <v>0.125</v>
      </c>
      <c r="AF48" s="5" t="s">
        <v>41</v>
      </c>
      <c r="AG48" s="6">
        <v>0.125</v>
      </c>
      <c r="AH48" s="6">
        <v>0.125</v>
      </c>
      <c r="AI48" s="6">
        <v>0.125</v>
      </c>
      <c r="AJ48" s="6">
        <v>0.125</v>
      </c>
      <c r="AK48" s="6">
        <v>0.125</v>
      </c>
      <c r="AL48" s="6">
        <v>0.125</v>
      </c>
    </row>
    <row r="49" spans="3:38">
      <c r="C49" s="5" t="s">
        <v>50</v>
      </c>
      <c r="D49" s="104">
        <v>0.38340000000000002</v>
      </c>
      <c r="E49" s="104">
        <v>0.3836</v>
      </c>
      <c r="F49" s="104">
        <v>0.29510000000000003</v>
      </c>
      <c r="G49" s="104">
        <v>0.2944</v>
      </c>
      <c r="H49" s="104">
        <v>0.29410000000000003</v>
      </c>
      <c r="I49" s="104">
        <v>0.29370000000000002</v>
      </c>
      <c r="J49" s="104">
        <v>0.29480000000000001</v>
      </c>
      <c r="K49" s="104">
        <v>0.29549999999999998</v>
      </c>
      <c r="L49" s="104">
        <v>0.29580000000000001</v>
      </c>
      <c r="M49" s="128">
        <f t="shared" si="7"/>
        <v>0.29720000000000002</v>
      </c>
      <c r="N49" s="128">
        <f t="shared" si="2"/>
        <v>0.29720000000000002</v>
      </c>
      <c r="O49" s="128">
        <f t="shared" si="3"/>
        <v>0.2979</v>
      </c>
      <c r="P49" s="128">
        <f t="shared" si="8"/>
        <v>0.3</v>
      </c>
      <c r="Q49" s="128">
        <f t="shared" si="9"/>
        <v>0.3</v>
      </c>
      <c r="R49" s="128">
        <f t="shared" si="10"/>
        <v>0.3</v>
      </c>
      <c r="S49" s="127">
        <v>0.29580000000000001</v>
      </c>
      <c r="T49" s="104"/>
      <c r="U49" s="127"/>
      <c r="V49" s="127"/>
      <c r="W49" s="127"/>
      <c r="X49" s="127"/>
      <c r="Y49" s="127"/>
      <c r="Z49" s="127"/>
      <c r="AB49" s="127"/>
      <c r="AC49" s="127"/>
      <c r="AD49" s="6">
        <v>0.19</v>
      </c>
      <c r="AF49" s="5" t="s">
        <v>3825</v>
      </c>
      <c r="AG49" s="6">
        <v>0.19</v>
      </c>
      <c r="AH49" s="6">
        <v>0.19</v>
      </c>
      <c r="AI49" s="6">
        <v>0.19</v>
      </c>
      <c r="AJ49" s="6">
        <v>0.19</v>
      </c>
      <c r="AK49" s="6">
        <v>0.19</v>
      </c>
      <c r="AL49" s="6">
        <v>0.19</v>
      </c>
    </row>
    <row r="50" spans="3:38">
      <c r="C50" s="5" t="s">
        <v>429</v>
      </c>
      <c r="D50" s="104"/>
      <c r="E50" s="104"/>
      <c r="F50" s="104"/>
      <c r="G50" s="104"/>
      <c r="H50" s="104"/>
      <c r="I50" s="104"/>
      <c r="J50" s="104"/>
      <c r="K50" s="104">
        <v>0.25</v>
      </c>
      <c r="L50" s="104">
        <v>0.25</v>
      </c>
      <c r="M50" s="128">
        <f t="shared" si="7"/>
        <v>0.25</v>
      </c>
      <c r="N50" s="128">
        <f t="shared" si="2"/>
        <v>0.25</v>
      </c>
      <c r="O50" s="128">
        <f t="shared" si="3"/>
        <v>0.25</v>
      </c>
      <c r="P50" s="128">
        <f t="shared" si="8"/>
        <v>0.25</v>
      </c>
      <c r="Q50" s="128">
        <f t="shared" si="9"/>
        <v>0.25</v>
      </c>
      <c r="R50" s="128">
        <f t="shared" si="10"/>
        <v>0.25</v>
      </c>
      <c r="S50" s="127">
        <v>0.25</v>
      </c>
      <c r="T50" s="104"/>
      <c r="U50" s="127"/>
      <c r="V50" s="127"/>
      <c r="W50" s="127"/>
      <c r="X50" s="127"/>
      <c r="Y50" s="127"/>
      <c r="Z50" s="127"/>
      <c r="AB50" s="127"/>
      <c r="AC50" s="127"/>
      <c r="AD50" s="6">
        <v>0.22</v>
      </c>
      <c r="AF50" s="5" t="s">
        <v>42</v>
      </c>
      <c r="AG50" s="6">
        <v>0.22</v>
      </c>
      <c r="AH50" s="6">
        <v>0.22</v>
      </c>
      <c r="AI50" s="6">
        <v>0.22</v>
      </c>
      <c r="AJ50" s="6">
        <v>0.22</v>
      </c>
      <c r="AK50" s="6">
        <v>0.22</v>
      </c>
      <c r="AL50" s="6">
        <v>0.22</v>
      </c>
    </row>
    <row r="51" spans="3:38">
      <c r="C51" s="5" t="s">
        <v>51</v>
      </c>
      <c r="D51" s="104">
        <v>0.35</v>
      </c>
      <c r="E51" s="104">
        <v>0.35</v>
      </c>
      <c r="F51" s="104">
        <v>0.33</v>
      </c>
      <c r="G51" s="104">
        <v>0.27</v>
      </c>
      <c r="H51" s="104">
        <v>0.22</v>
      </c>
      <c r="I51" s="104">
        <v>0.1</v>
      </c>
      <c r="J51" s="104">
        <v>0.1</v>
      </c>
      <c r="K51" s="104">
        <v>0.1</v>
      </c>
      <c r="L51" s="104">
        <v>0.1</v>
      </c>
      <c r="M51" s="128">
        <f t="shared" si="7"/>
        <v>0.1</v>
      </c>
      <c r="N51" s="128">
        <f t="shared" si="2"/>
        <v>0.1</v>
      </c>
      <c r="O51" s="128">
        <f t="shared" si="3"/>
        <v>0.1</v>
      </c>
      <c r="P51" s="128">
        <f t="shared" si="8"/>
        <v>0.1</v>
      </c>
      <c r="Q51" s="128">
        <f t="shared" si="9"/>
        <v>0.1</v>
      </c>
      <c r="R51" s="128">
        <f t="shared" si="10"/>
        <v>0.1</v>
      </c>
      <c r="S51" s="127">
        <v>0.1</v>
      </c>
      <c r="T51" s="104"/>
      <c r="U51" s="127"/>
      <c r="V51" s="127"/>
      <c r="W51" s="127"/>
      <c r="X51" s="127"/>
      <c r="Y51" s="127"/>
      <c r="Z51" s="127"/>
      <c r="AB51" s="127"/>
      <c r="AC51" s="127"/>
      <c r="AD51" s="6">
        <v>0.25</v>
      </c>
      <c r="AF51" s="5" t="s">
        <v>3826</v>
      </c>
      <c r="AG51" s="6">
        <v>0</v>
      </c>
      <c r="AH51" s="6">
        <v>0</v>
      </c>
      <c r="AI51" s="6">
        <v>0.25</v>
      </c>
      <c r="AJ51" s="6">
        <v>0.25</v>
      </c>
      <c r="AK51" s="6">
        <v>0.25</v>
      </c>
      <c r="AL51" s="6">
        <v>0.25</v>
      </c>
    </row>
    <row r="52" spans="3:38">
      <c r="C52" s="5" t="s">
        <v>52</v>
      </c>
      <c r="D52" s="104">
        <v>0.28999999999999998</v>
      </c>
      <c r="E52" s="104">
        <v>0.25</v>
      </c>
      <c r="F52" s="104">
        <v>0.25</v>
      </c>
      <c r="G52" s="104">
        <v>0.25</v>
      </c>
      <c r="H52" s="104">
        <v>0.24</v>
      </c>
      <c r="I52" s="104">
        <v>0.2</v>
      </c>
      <c r="J52" s="104">
        <v>0.2</v>
      </c>
      <c r="K52" s="104">
        <v>0.26</v>
      </c>
      <c r="L52" s="104">
        <v>0.26</v>
      </c>
      <c r="M52" s="128">
        <f t="shared" si="7"/>
        <v>0.28999999999999998</v>
      </c>
      <c r="N52" s="128">
        <f t="shared" si="2"/>
        <v>0.28999999999999998</v>
      </c>
      <c r="O52" s="128">
        <f t="shared" si="3"/>
        <v>0.28999999999999998</v>
      </c>
      <c r="P52" s="128">
        <f t="shared" si="8"/>
        <v>0.28999999999999998</v>
      </c>
      <c r="Q52" s="128">
        <f t="shared" si="9"/>
        <v>0.28000000000000003</v>
      </c>
      <c r="R52" s="128">
        <f t="shared" si="10"/>
        <v>0.24</v>
      </c>
      <c r="S52" s="127">
        <v>0.26</v>
      </c>
      <c r="T52" s="104"/>
      <c r="U52" s="127"/>
      <c r="V52" s="127"/>
      <c r="W52" s="127"/>
      <c r="X52" s="127"/>
      <c r="Y52" s="127"/>
      <c r="Z52" s="127"/>
      <c r="AB52" s="127"/>
      <c r="AC52" s="127"/>
      <c r="AD52" s="6">
        <v>0.25</v>
      </c>
      <c r="AF52" s="5" t="s">
        <v>3827</v>
      </c>
      <c r="AG52" s="6">
        <v>0</v>
      </c>
      <c r="AH52" s="6">
        <v>0</v>
      </c>
      <c r="AI52" s="6">
        <v>0.25</v>
      </c>
      <c r="AJ52" s="6">
        <v>0.25</v>
      </c>
      <c r="AK52" s="6">
        <v>0.25</v>
      </c>
      <c r="AL52" s="6">
        <v>0.25</v>
      </c>
    </row>
    <row r="53" spans="3:38">
      <c r="C53" s="5" t="s">
        <v>430</v>
      </c>
      <c r="D53" s="104">
        <v>0.31</v>
      </c>
      <c r="E53" s="104">
        <v>0.31</v>
      </c>
      <c r="F53" s="104">
        <v>0.31</v>
      </c>
      <c r="G53" s="104">
        <v>0.31</v>
      </c>
      <c r="H53" s="104">
        <v>0.31</v>
      </c>
      <c r="I53" s="104">
        <v>0.31</v>
      </c>
      <c r="J53" s="104">
        <v>0.31</v>
      </c>
      <c r="K53" s="104">
        <v>0.31</v>
      </c>
      <c r="L53" s="104">
        <v>0.28000000000000003</v>
      </c>
      <c r="M53" s="128">
        <f t="shared" si="7"/>
        <v>0.25</v>
      </c>
      <c r="N53" s="128">
        <f t="shared" si="2"/>
        <v>0.25</v>
      </c>
      <c r="O53" s="128">
        <f t="shared" si="3"/>
        <v>0.25</v>
      </c>
      <c r="P53" s="128">
        <f t="shared" si="8"/>
        <v>0.25</v>
      </c>
      <c r="Q53" s="128">
        <f t="shared" si="9"/>
        <v>0.25</v>
      </c>
      <c r="R53" s="128">
        <f t="shared" si="10"/>
        <v>0.25</v>
      </c>
      <c r="S53" s="127">
        <v>0.28000000000000003</v>
      </c>
      <c r="T53" s="104"/>
      <c r="U53" s="127"/>
      <c r="V53" s="127"/>
      <c r="W53" s="127"/>
      <c r="X53" s="127"/>
      <c r="Y53" s="127"/>
      <c r="Z53" s="127"/>
      <c r="AB53" s="127"/>
      <c r="AC53" s="127"/>
      <c r="AD53" s="6">
        <v>0.27</v>
      </c>
      <c r="AF53" s="5" t="s">
        <v>43</v>
      </c>
      <c r="AG53" s="6">
        <v>0.27</v>
      </c>
      <c r="AH53" s="6">
        <v>0.27</v>
      </c>
      <c r="AI53" s="6">
        <v>0.27</v>
      </c>
      <c r="AJ53" s="6">
        <v>0.27</v>
      </c>
      <c r="AK53" s="6">
        <v>0.27</v>
      </c>
      <c r="AL53" s="6">
        <v>0.27</v>
      </c>
    </row>
    <row r="54" spans="3:38">
      <c r="C54" s="5" t="s">
        <v>53</v>
      </c>
      <c r="D54" s="104">
        <v>0</v>
      </c>
      <c r="E54" s="104">
        <v>0</v>
      </c>
      <c r="F54" s="104">
        <v>0</v>
      </c>
      <c r="G54" s="104">
        <v>0</v>
      </c>
      <c r="H54" s="104">
        <v>0</v>
      </c>
      <c r="I54" s="104">
        <v>0</v>
      </c>
      <c r="J54" s="104">
        <v>0</v>
      </c>
      <c r="K54" s="104">
        <v>0</v>
      </c>
      <c r="L54" s="104">
        <v>0</v>
      </c>
      <c r="M54" s="128">
        <f t="shared" si="7"/>
        <v>0</v>
      </c>
      <c r="N54" s="128">
        <f t="shared" si="2"/>
        <v>0</v>
      </c>
      <c r="O54" s="128">
        <f t="shared" si="3"/>
        <v>0</v>
      </c>
      <c r="P54" s="128">
        <f t="shared" si="8"/>
        <v>0</v>
      </c>
      <c r="Q54" s="128">
        <f t="shared" si="9"/>
        <v>0</v>
      </c>
      <c r="R54" s="128">
        <f t="shared" si="10"/>
        <v>0</v>
      </c>
      <c r="S54" s="127">
        <v>0</v>
      </c>
      <c r="T54" s="104"/>
      <c r="U54" s="127"/>
      <c r="V54" s="127"/>
      <c r="W54" s="127"/>
      <c r="X54" s="127"/>
      <c r="Y54" s="127"/>
      <c r="Z54" s="127"/>
      <c r="AB54" s="127"/>
      <c r="AC54" s="127"/>
      <c r="AD54" s="6">
        <v>0.25</v>
      </c>
      <c r="AF54" s="5" t="s">
        <v>44</v>
      </c>
      <c r="AG54" s="6">
        <v>0.22</v>
      </c>
      <c r="AH54" s="6">
        <v>0.22</v>
      </c>
      <c r="AI54" s="6">
        <v>0.22</v>
      </c>
      <c r="AJ54" s="6">
        <v>0.25</v>
      </c>
      <c r="AK54" s="6">
        <v>0.25</v>
      </c>
      <c r="AL54" s="6">
        <v>0.25</v>
      </c>
    </row>
    <row r="55" spans="3:38">
      <c r="C55" s="5" t="s">
        <v>54</v>
      </c>
      <c r="D55" s="104">
        <v>0.3</v>
      </c>
      <c r="E55" s="104">
        <v>0.3</v>
      </c>
      <c r="F55" s="104">
        <v>0.3</v>
      </c>
      <c r="G55" s="104">
        <v>0.3</v>
      </c>
      <c r="H55" s="104">
        <v>0.25</v>
      </c>
      <c r="I55" s="104">
        <v>0.35</v>
      </c>
      <c r="J55" s="104">
        <v>0.35</v>
      </c>
      <c r="K55" s="104">
        <v>0.35</v>
      </c>
      <c r="L55" s="104">
        <v>0.3</v>
      </c>
      <c r="M55" s="128">
        <f t="shared" si="7"/>
        <v>0.3</v>
      </c>
      <c r="N55" s="128">
        <f t="shared" si="2"/>
        <v>0.3</v>
      </c>
      <c r="O55" s="128">
        <f t="shared" si="3"/>
        <v>0.25</v>
      </c>
      <c r="P55" s="128">
        <f t="shared" si="8"/>
        <v>0.25</v>
      </c>
      <c r="Q55" s="128">
        <f t="shared" si="9"/>
        <v>0.25</v>
      </c>
      <c r="R55" s="128">
        <f t="shared" si="10"/>
        <v>0.25</v>
      </c>
      <c r="S55" s="127">
        <v>0.3</v>
      </c>
      <c r="T55" s="104"/>
      <c r="U55" s="127"/>
      <c r="V55" s="127"/>
      <c r="W55" s="127"/>
      <c r="X55" s="127"/>
      <c r="Y55" s="127"/>
      <c r="Z55" s="127"/>
      <c r="AB55" s="127"/>
      <c r="AC55" s="127"/>
      <c r="AD55" s="6">
        <v>0.22500000000000001</v>
      </c>
      <c r="AF55" s="5" t="s">
        <v>45</v>
      </c>
      <c r="AG55" s="6">
        <v>0.22500000000000001</v>
      </c>
      <c r="AH55" s="6">
        <v>0.22500000000000001</v>
      </c>
      <c r="AI55" s="6">
        <v>0.22500000000000001</v>
      </c>
      <c r="AJ55" s="6">
        <v>0.23</v>
      </c>
      <c r="AK55" s="6">
        <v>0.22500000000000001</v>
      </c>
      <c r="AL55" s="6">
        <v>0.22500000000000001</v>
      </c>
    </row>
    <row r="56" spans="3:38">
      <c r="C56" s="5" t="s">
        <v>431</v>
      </c>
      <c r="D56" s="104">
        <v>0.17499999999999999</v>
      </c>
      <c r="E56" s="104">
        <v>0.17499999999999999</v>
      </c>
      <c r="F56" s="104">
        <v>0.16500000000000001</v>
      </c>
      <c r="G56" s="104">
        <v>0.16500000000000001</v>
      </c>
      <c r="H56" s="104">
        <v>0.16500000000000001</v>
      </c>
      <c r="I56" s="104">
        <v>0.16500000000000001</v>
      </c>
      <c r="J56" s="104">
        <v>0.16500000000000001</v>
      </c>
      <c r="K56" s="104">
        <v>0.16500000000000001</v>
      </c>
      <c r="L56" s="104">
        <v>0.16500000000000001</v>
      </c>
      <c r="M56" s="128">
        <f t="shared" si="7"/>
        <v>0.16500000000000001</v>
      </c>
      <c r="N56" s="128">
        <f t="shared" si="2"/>
        <v>0.16500000000000001</v>
      </c>
      <c r="O56" s="128">
        <f t="shared" si="3"/>
        <v>0.16500000000000001</v>
      </c>
      <c r="P56" s="128">
        <f t="shared" si="8"/>
        <v>0.16500000000000001</v>
      </c>
      <c r="Q56" s="128">
        <f t="shared" si="9"/>
        <v>0.16500000000000001</v>
      </c>
      <c r="R56" s="128">
        <f t="shared" si="10"/>
        <v>0.16500000000000001</v>
      </c>
      <c r="S56" s="127">
        <v>0.16500000000000001</v>
      </c>
      <c r="T56" s="104"/>
      <c r="U56" s="127"/>
      <c r="V56" s="127"/>
      <c r="W56" s="127"/>
      <c r="X56" s="127"/>
      <c r="Y56" s="127"/>
      <c r="Z56" s="127"/>
      <c r="AB56" s="127"/>
      <c r="AC56" s="127"/>
      <c r="AD56" s="6">
        <v>0.3</v>
      </c>
      <c r="AF56" s="5" t="s">
        <v>427</v>
      </c>
      <c r="AG56" s="6">
        <v>0.3</v>
      </c>
      <c r="AH56" s="6">
        <v>0.3</v>
      </c>
      <c r="AI56" s="6">
        <v>0.3</v>
      </c>
      <c r="AJ56" s="6">
        <v>0.3</v>
      </c>
      <c r="AK56" s="6">
        <v>0.3</v>
      </c>
      <c r="AL56" s="6">
        <v>0.3</v>
      </c>
    </row>
    <row r="57" spans="3:38">
      <c r="C57" s="5" t="s">
        <v>55</v>
      </c>
      <c r="D57" s="104">
        <v>0.16</v>
      </c>
      <c r="E57" s="104">
        <v>0.16</v>
      </c>
      <c r="F57" s="104">
        <v>0.16</v>
      </c>
      <c r="G57" s="104">
        <v>0.16</v>
      </c>
      <c r="H57" s="104">
        <v>0.19</v>
      </c>
      <c r="I57" s="104">
        <v>0.19</v>
      </c>
      <c r="J57" s="104">
        <v>0.19</v>
      </c>
      <c r="K57" s="104">
        <v>0.19</v>
      </c>
      <c r="L57" s="104">
        <v>0.19</v>
      </c>
      <c r="M57" s="128">
        <f t="shared" si="7"/>
        <v>0.19</v>
      </c>
      <c r="N57" s="128">
        <f t="shared" si="2"/>
        <v>0.19</v>
      </c>
      <c r="O57" s="128">
        <f t="shared" si="3"/>
        <v>0.09</v>
      </c>
      <c r="P57" s="128">
        <f t="shared" si="8"/>
        <v>0.09</v>
      </c>
      <c r="Q57" s="128">
        <f t="shared" si="9"/>
        <v>0.09</v>
      </c>
      <c r="R57" s="128">
        <f t="shared" si="10"/>
        <v>0.09</v>
      </c>
      <c r="S57" s="127">
        <v>0.19</v>
      </c>
      <c r="T57" s="104"/>
      <c r="U57" s="127"/>
      <c r="V57" s="127"/>
      <c r="W57" s="127"/>
      <c r="X57" s="127"/>
      <c r="Y57" s="127"/>
      <c r="Z57" s="127"/>
      <c r="AB57" s="127"/>
      <c r="AC57" s="127"/>
      <c r="AD57" s="6">
        <v>0.2</v>
      </c>
      <c r="AF57" s="5" t="s">
        <v>46</v>
      </c>
      <c r="AG57" s="6">
        <v>0.2</v>
      </c>
      <c r="AH57" s="6">
        <v>0.2</v>
      </c>
      <c r="AI57" s="6">
        <v>0.2</v>
      </c>
      <c r="AJ57" s="6">
        <v>0.2</v>
      </c>
      <c r="AK57" s="6">
        <v>0.2</v>
      </c>
      <c r="AL57" s="6">
        <v>0.2</v>
      </c>
    </row>
    <row r="58" spans="3:38">
      <c r="C58" s="5" t="s">
        <v>56</v>
      </c>
      <c r="D58" s="104">
        <v>0.18</v>
      </c>
      <c r="E58" s="104">
        <v>0.18</v>
      </c>
      <c r="F58" s="104">
        <v>0.15</v>
      </c>
      <c r="G58" s="104">
        <v>0.15</v>
      </c>
      <c r="H58" s="104">
        <v>0.18</v>
      </c>
      <c r="I58" s="104">
        <v>0.2</v>
      </c>
      <c r="J58" s="104">
        <v>0.2</v>
      </c>
      <c r="K58" s="104">
        <v>0.2</v>
      </c>
      <c r="L58" s="104">
        <v>0.2</v>
      </c>
      <c r="M58" s="128">
        <f t="shared" si="7"/>
        <v>0.2</v>
      </c>
      <c r="N58" s="128">
        <f t="shared" si="2"/>
        <v>0.2</v>
      </c>
      <c r="O58" s="128">
        <f t="shared" si="3"/>
        <v>0.2</v>
      </c>
      <c r="P58" s="128">
        <f t="shared" si="8"/>
        <v>0.2</v>
      </c>
      <c r="Q58" s="128">
        <f t="shared" si="9"/>
        <v>0.2</v>
      </c>
      <c r="R58" s="128">
        <f t="shared" si="10"/>
        <v>0.2</v>
      </c>
      <c r="S58" s="127">
        <v>0.2</v>
      </c>
      <c r="T58" s="104"/>
      <c r="U58" s="127"/>
      <c r="V58" s="127"/>
      <c r="W58" s="127"/>
      <c r="X58" s="127"/>
      <c r="Y58" s="127"/>
      <c r="Z58" s="127"/>
      <c r="AB58" s="127"/>
      <c r="AC58" s="127"/>
      <c r="AD58" s="6">
        <v>0.3</v>
      </c>
      <c r="AF58" s="5" t="s">
        <v>3828</v>
      </c>
      <c r="AG58" s="6">
        <v>0</v>
      </c>
      <c r="AH58" s="6">
        <v>0</v>
      </c>
      <c r="AI58" s="6">
        <v>0.3</v>
      </c>
      <c r="AJ58" s="6">
        <v>0.3</v>
      </c>
      <c r="AK58" s="6">
        <v>0.3</v>
      </c>
      <c r="AL58" s="6">
        <v>0.3</v>
      </c>
    </row>
    <row r="59" spans="3:38">
      <c r="C59" s="5" t="s">
        <v>57</v>
      </c>
      <c r="D59" s="104">
        <v>0.33659999999999995</v>
      </c>
      <c r="E59" s="104">
        <v>0.33990000000000004</v>
      </c>
      <c r="F59" s="104">
        <v>0.33990000000000004</v>
      </c>
      <c r="G59" s="104">
        <v>0.33990000000000004</v>
      </c>
      <c r="H59" s="104">
        <v>0.33990000000000004</v>
      </c>
      <c r="I59" s="104">
        <v>0.32439999999999997</v>
      </c>
      <c r="J59" s="104">
        <v>0.32450000000000001</v>
      </c>
      <c r="K59" s="104">
        <v>0.33990000000000004</v>
      </c>
      <c r="L59" s="104">
        <v>0.33990000000000004</v>
      </c>
      <c r="M59" s="128">
        <f t="shared" si="7"/>
        <v>0.34610000000000002</v>
      </c>
      <c r="N59" s="128">
        <f t="shared" si="2"/>
        <v>0.34610000000000002</v>
      </c>
      <c r="O59" s="128">
        <f t="shared" si="3"/>
        <v>0.34610000000000002</v>
      </c>
      <c r="P59" s="128">
        <f t="shared" si="8"/>
        <v>0.35</v>
      </c>
      <c r="Q59" s="128">
        <f t="shared" si="9"/>
        <v>0.3</v>
      </c>
      <c r="R59" s="128">
        <f t="shared" si="10"/>
        <v>0.3</v>
      </c>
      <c r="S59" s="127">
        <v>0.33990000000000004</v>
      </c>
      <c r="T59" s="104"/>
      <c r="U59" s="127"/>
      <c r="V59" s="127"/>
      <c r="W59" s="127"/>
      <c r="X59" s="127"/>
      <c r="Y59" s="127"/>
      <c r="Z59" s="127"/>
      <c r="AB59" s="127"/>
      <c r="AC59" s="127"/>
      <c r="AD59" s="6">
        <v>0.2</v>
      </c>
      <c r="AF59" s="5" t="s">
        <v>47</v>
      </c>
      <c r="AG59" s="6">
        <v>0.2</v>
      </c>
      <c r="AH59" s="6">
        <v>0.2</v>
      </c>
      <c r="AI59" s="6">
        <v>0.2</v>
      </c>
      <c r="AJ59" s="6">
        <v>0.2</v>
      </c>
      <c r="AK59" s="6">
        <v>0.2</v>
      </c>
      <c r="AL59" s="6">
        <v>0.2</v>
      </c>
    </row>
    <row r="60" spans="3:38">
      <c r="C60" s="5" t="s">
        <v>58</v>
      </c>
      <c r="D60" s="104">
        <v>0.3</v>
      </c>
      <c r="E60" s="104">
        <v>0.3</v>
      </c>
      <c r="F60" s="104">
        <v>0.3</v>
      </c>
      <c r="G60" s="104">
        <v>0.28000000000000003</v>
      </c>
      <c r="H60" s="104">
        <v>0.25</v>
      </c>
      <c r="I60" s="104">
        <v>0.25</v>
      </c>
      <c r="J60" s="104">
        <v>0.25</v>
      </c>
      <c r="K60" s="104">
        <v>0.25</v>
      </c>
      <c r="L60" s="104">
        <v>0.25</v>
      </c>
      <c r="M60" s="128">
        <f t="shared" si="7"/>
        <v>0.25</v>
      </c>
      <c r="N60" s="128">
        <f t="shared" si="2"/>
        <v>0.25</v>
      </c>
      <c r="O60" s="128">
        <f t="shared" si="3"/>
        <v>0.25</v>
      </c>
      <c r="P60" s="128">
        <f t="shared" si="8"/>
        <v>0.25</v>
      </c>
      <c r="Q60" s="128">
        <f t="shared" si="9"/>
        <v>0.25</v>
      </c>
      <c r="R60" s="128">
        <f t="shared" si="10"/>
        <v>0.25</v>
      </c>
      <c r="S60" s="127">
        <v>0.25</v>
      </c>
      <c r="T60" s="104"/>
      <c r="U60" s="127"/>
      <c r="V60" s="127"/>
      <c r="W60" s="127"/>
      <c r="X60" s="127"/>
      <c r="Y60" s="127"/>
      <c r="Z60" s="127"/>
      <c r="AB60" s="127"/>
      <c r="AC60" s="127"/>
      <c r="AD60" s="6">
        <v>0.2</v>
      </c>
      <c r="AF60" s="5" t="s">
        <v>48</v>
      </c>
      <c r="AG60" s="6">
        <v>0.2</v>
      </c>
      <c r="AH60" s="6">
        <v>0.2</v>
      </c>
      <c r="AI60" s="6">
        <v>0.2</v>
      </c>
      <c r="AJ60" s="6">
        <v>0.2</v>
      </c>
      <c r="AK60" s="6">
        <v>0.2</v>
      </c>
      <c r="AL60" s="6">
        <v>0.2</v>
      </c>
    </row>
    <row r="61" spans="3:38">
      <c r="C61" s="5" t="s">
        <v>432</v>
      </c>
      <c r="D61" s="104"/>
      <c r="E61" s="104"/>
      <c r="F61" s="104"/>
      <c r="G61" s="104"/>
      <c r="H61" s="104"/>
      <c r="I61" s="104"/>
      <c r="J61" s="104"/>
      <c r="K61" s="104">
        <v>0.15</v>
      </c>
      <c r="L61" s="104">
        <v>0.15</v>
      </c>
      <c r="M61" s="128">
        <f t="shared" si="7"/>
        <v>0.15</v>
      </c>
      <c r="N61" s="128">
        <f t="shared" si="2"/>
        <v>0.15</v>
      </c>
      <c r="O61" s="128">
        <f t="shared" si="3"/>
        <v>0.15</v>
      </c>
      <c r="P61" s="128">
        <f t="shared" si="8"/>
        <v>0.15</v>
      </c>
      <c r="Q61" s="128">
        <f t="shared" si="9"/>
        <v>0.15</v>
      </c>
      <c r="R61" s="128">
        <f t="shared" si="10"/>
        <v>0.15</v>
      </c>
      <c r="S61" s="127">
        <v>0.15</v>
      </c>
      <c r="T61" s="104"/>
      <c r="U61" s="127"/>
      <c r="V61" s="127"/>
      <c r="W61" s="127"/>
      <c r="X61" s="127"/>
      <c r="Y61" s="127"/>
      <c r="Z61" s="127"/>
      <c r="AB61" s="127"/>
      <c r="AC61" s="127"/>
      <c r="AD61" s="6">
        <v>0.28000000000000003</v>
      </c>
      <c r="AF61" s="5" t="s">
        <v>49</v>
      </c>
      <c r="AG61" s="6">
        <v>0.33329999999999999</v>
      </c>
      <c r="AH61" s="6">
        <v>0.33300000000000002</v>
      </c>
      <c r="AI61" s="6">
        <v>0.33329999999999999</v>
      </c>
      <c r="AJ61" s="6">
        <v>0.33</v>
      </c>
      <c r="AK61" s="6">
        <v>0.31</v>
      </c>
      <c r="AL61" s="6">
        <v>0.28000000000000003</v>
      </c>
    </row>
    <row r="62" spans="3:38">
      <c r="C62" s="5" t="s">
        <v>59</v>
      </c>
      <c r="D62" s="104">
        <v>0.125</v>
      </c>
      <c r="E62" s="104">
        <v>0.125</v>
      </c>
      <c r="F62" s="104">
        <v>0.125</v>
      </c>
      <c r="G62" s="104">
        <v>0.125</v>
      </c>
      <c r="H62" s="104">
        <v>0.125</v>
      </c>
      <c r="I62" s="104">
        <v>0.125</v>
      </c>
      <c r="J62" s="104">
        <v>0.125</v>
      </c>
      <c r="K62" s="104">
        <v>0.125</v>
      </c>
      <c r="L62" s="104">
        <v>0.125</v>
      </c>
      <c r="M62" s="128">
        <f t="shared" si="7"/>
        <v>0.125</v>
      </c>
      <c r="N62" s="128">
        <f t="shared" si="2"/>
        <v>0.125</v>
      </c>
      <c r="O62" s="128">
        <f t="shared" si="3"/>
        <v>0.125</v>
      </c>
      <c r="P62" s="128">
        <f t="shared" si="8"/>
        <v>0.125</v>
      </c>
      <c r="Q62" s="128">
        <f t="shared" si="9"/>
        <v>0.125</v>
      </c>
      <c r="R62" s="128">
        <f t="shared" si="10"/>
        <v>0.125</v>
      </c>
      <c r="S62" s="127">
        <v>0.125</v>
      </c>
      <c r="T62" s="104"/>
      <c r="U62" s="127"/>
      <c r="V62" s="127"/>
      <c r="W62" s="127"/>
      <c r="X62" s="127"/>
      <c r="Y62" s="127"/>
      <c r="Z62" s="127"/>
      <c r="AB62" s="127"/>
      <c r="AC62" s="127"/>
      <c r="AD62" s="6">
        <v>0.3</v>
      </c>
      <c r="AF62" s="5" t="s">
        <v>3829</v>
      </c>
      <c r="AG62" s="6">
        <v>0</v>
      </c>
      <c r="AH62" s="6">
        <v>0</v>
      </c>
      <c r="AI62" s="6">
        <v>0.3</v>
      </c>
      <c r="AJ62" s="6">
        <v>0.3</v>
      </c>
      <c r="AK62" s="6">
        <v>0.3</v>
      </c>
      <c r="AL62" s="6">
        <v>0.3</v>
      </c>
    </row>
    <row r="63" spans="3:38">
      <c r="C63" s="5" t="s">
        <v>60</v>
      </c>
      <c r="D63" s="104">
        <v>0</v>
      </c>
      <c r="E63" s="104">
        <v>0</v>
      </c>
      <c r="F63" s="104">
        <v>0</v>
      </c>
      <c r="G63" s="104">
        <v>0</v>
      </c>
      <c r="H63" s="104">
        <v>0</v>
      </c>
      <c r="I63" s="104">
        <v>0</v>
      </c>
      <c r="J63" s="104">
        <v>0</v>
      </c>
      <c r="K63" s="104">
        <v>0</v>
      </c>
      <c r="L63" s="104">
        <v>0</v>
      </c>
      <c r="M63" s="128">
        <f t="shared" si="7"/>
        <v>0</v>
      </c>
      <c r="N63" s="128">
        <f t="shared" si="2"/>
        <v>0</v>
      </c>
      <c r="O63" s="128">
        <f t="shared" si="3"/>
        <v>0</v>
      </c>
      <c r="P63" s="128">
        <f t="shared" si="8"/>
        <v>0</v>
      </c>
      <c r="Q63" s="128">
        <f t="shared" si="9"/>
        <v>0</v>
      </c>
      <c r="R63" s="128">
        <f t="shared" si="10"/>
        <v>0</v>
      </c>
      <c r="S63" s="127">
        <v>0</v>
      </c>
      <c r="T63" s="104"/>
      <c r="U63" s="127"/>
      <c r="V63" s="127"/>
      <c r="W63" s="127"/>
      <c r="X63" s="127"/>
      <c r="Y63" s="127"/>
      <c r="Z63" s="127"/>
      <c r="AB63" s="127"/>
      <c r="AC63" s="127"/>
      <c r="AD63" s="6">
        <v>0.31</v>
      </c>
      <c r="AF63" s="5" t="s">
        <v>3830</v>
      </c>
      <c r="AG63" s="6">
        <v>0</v>
      </c>
      <c r="AH63" s="6">
        <v>0</v>
      </c>
      <c r="AI63" s="6">
        <v>0.31</v>
      </c>
      <c r="AJ63" s="6">
        <v>0.31</v>
      </c>
      <c r="AK63" s="6">
        <v>0.31</v>
      </c>
      <c r="AL63" s="6">
        <v>0.31</v>
      </c>
    </row>
    <row r="64" spans="3:38">
      <c r="C64" s="5" t="s">
        <v>61</v>
      </c>
      <c r="D64" s="104">
        <v>0.31</v>
      </c>
      <c r="E64" s="104">
        <v>0.28999999999999998</v>
      </c>
      <c r="F64" s="104">
        <v>0.27</v>
      </c>
      <c r="G64" s="104">
        <v>0.26</v>
      </c>
      <c r="H64" s="104">
        <v>0.25</v>
      </c>
      <c r="I64" s="104">
        <v>0.24</v>
      </c>
      <c r="J64" s="104">
        <v>0.25</v>
      </c>
      <c r="K64" s="104">
        <v>0.25</v>
      </c>
      <c r="L64" s="104">
        <v>0.26500000000000001</v>
      </c>
      <c r="M64" s="128">
        <f t="shared" si="7"/>
        <v>0.25</v>
      </c>
      <c r="N64" s="128">
        <f t="shared" si="2"/>
        <v>0.25</v>
      </c>
      <c r="O64" s="128">
        <f t="shared" si="3"/>
        <v>0.24</v>
      </c>
      <c r="P64" s="128">
        <f t="shared" si="8"/>
        <v>0.23</v>
      </c>
      <c r="Q64" s="128">
        <f t="shared" si="9"/>
        <v>0.23</v>
      </c>
      <c r="R64" s="128">
        <f t="shared" si="10"/>
        <v>0.23</v>
      </c>
      <c r="S64" s="127">
        <v>0.26500000000000001</v>
      </c>
      <c r="T64" s="104"/>
      <c r="U64" s="127"/>
      <c r="V64" s="127"/>
      <c r="W64" s="127"/>
      <c r="X64" s="127"/>
      <c r="Y64" s="127"/>
      <c r="Z64" s="127"/>
      <c r="AB64" s="127"/>
      <c r="AC64" s="127"/>
      <c r="AD64" s="6">
        <v>0.15</v>
      </c>
      <c r="AF64" s="5" t="s">
        <v>428</v>
      </c>
      <c r="AG64" s="6">
        <v>0.15</v>
      </c>
      <c r="AH64" s="6">
        <v>0.15</v>
      </c>
      <c r="AI64" s="6">
        <v>0.15</v>
      </c>
      <c r="AJ64" s="6">
        <v>0.15</v>
      </c>
      <c r="AK64" s="6">
        <v>0.15</v>
      </c>
      <c r="AL64" s="6">
        <v>0.15</v>
      </c>
    </row>
    <row r="65" spans="3:38">
      <c r="C65" s="5" t="s">
        <v>62</v>
      </c>
      <c r="D65" s="104">
        <v>0.3725</v>
      </c>
      <c r="E65" s="104">
        <v>0.3725</v>
      </c>
      <c r="F65" s="104">
        <v>0.314</v>
      </c>
      <c r="G65" s="104">
        <v>0.314</v>
      </c>
      <c r="H65" s="104">
        <v>0.314</v>
      </c>
      <c r="I65" s="104">
        <v>0.314</v>
      </c>
      <c r="J65" s="104">
        <v>0.314</v>
      </c>
      <c r="K65" s="104">
        <v>0.314</v>
      </c>
      <c r="L65" s="104">
        <v>0.314</v>
      </c>
      <c r="M65" s="128">
        <f t="shared" si="7"/>
        <v>0.314</v>
      </c>
      <c r="N65" s="128">
        <f t="shared" si="2"/>
        <v>0.314</v>
      </c>
      <c r="O65" s="128">
        <f t="shared" si="3"/>
        <v>0.24</v>
      </c>
      <c r="P65" s="128">
        <f t="shared" si="8"/>
        <v>0.24</v>
      </c>
      <c r="Q65" s="128">
        <f t="shared" si="9"/>
        <v>0.24</v>
      </c>
      <c r="R65" s="128">
        <f t="shared" si="10"/>
        <v>0.24</v>
      </c>
      <c r="S65" s="127">
        <v>0.314</v>
      </c>
      <c r="T65" s="104"/>
      <c r="U65" s="127"/>
      <c r="V65" s="127"/>
      <c r="W65" s="127"/>
      <c r="X65" s="127"/>
      <c r="Y65" s="127"/>
      <c r="Z65" s="127"/>
      <c r="AB65" s="127"/>
      <c r="AC65" s="127"/>
      <c r="AD65" s="6">
        <v>0.3</v>
      </c>
      <c r="AF65" s="5" t="s">
        <v>50</v>
      </c>
      <c r="AG65" s="6">
        <v>0.29720000000000002</v>
      </c>
      <c r="AH65" s="6">
        <v>0.29720000000000002</v>
      </c>
      <c r="AI65" s="6">
        <v>0.2979</v>
      </c>
      <c r="AJ65" s="6">
        <v>0.3</v>
      </c>
      <c r="AK65" s="6">
        <v>0.3</v>
      </c>
      <c r="AL65" s="6">
        <v>0.3</v>
      </c>
    </row>
    <row r="66" spans="3:38">
      <c r="C66" s="5" t="s">
        <v>63</v>
      </c>
      <c r="D66" s="104">
        <v>0.33329999999999999</v>
      </c>
      <c r="E66" s="104">
        <v>0.33329999999999999</v>
      </c>
      <c r="F66" s="104">
        <v>0.33329999999999999</v>
      </c>
      <c r="G66" s="104">
        <v>0.33329999999999999</v>
      </c>
      <c r="H66" s="104">
        <v>0.33329999999999999</v>
      </c>
      <c r="I66" s="104">
        <v>0.33329999999999999</v>
      </c>
      <c r="J66" s="104">
        <v>0.33329999999999999</v>
      </c>
      <c r="K66" s="104">
        <v>0.25</v>
      </c>
      <c r="L66" s="104">
        <v>0.25</v>
      </c>
      <c r="M66" s="128">
        <f t="shared" si="7"/>
        <v>0.25</v>
      </c>
      <c r="N66" s="128">
        <f t="shared" si="2"/>
        <v>0.25</v>
      </c>
      <c r="O66" s="128">
        <f t="shared" si="3"/>
        <v>0.25</v>
      </c>
      <c r="P66" s="128">
        <f t="shared" si="8"/>
        <v>0.25</v>
      </c>
      <c r="Q66" s="128">
        <f t="shared" si="9"/>
        <v>0.25</v>
      </c>
      <c r="R66" s="128">
        <f t="shared" si="10"/>
        <v>0.25</v>
      </c>
      <c r="S66" s="127">
        <v>0.25</v>
      </c>
      <c r="T66" s="104"/>
      <c r="U66" s="127"/>
      <c r="V66" s="127"/>
      <c r="W66" s="127"/>
      <c r="X66" s="127"/>
      <c r="Y66" s="127"/>
      <c r="Z66" s="127"/>
      <c r="AB66" s="127"/>
      <c r="AC66" s="127"/>
      <c r="AD66" s="6">
        <v>0.25</v>
      </c>
      <c r="AF66" s="5" t="s">
        <v>429</v>
      </c>
      <c r="AG66" s="6">
        <v>0.25</v>
      </c>
      <c r="AH66" s="6">
        <v>0.25</v>
      </c>
      <c r="AI66" s="6">
        <v>0.25</v>
      </c>
      <c r="AJ66" s="6">
        <v>0.25</v>
      </c>
      <c r="AK66" s="6">
        <v>0.25</v>
      </c>
      <c r="AL66" s="6">
        <v>0.25</v>
      </c>
    </row>
    <row r="67" spans="3:38">
      <c r="C67" s="5" t="s">
        <v>64</v>
      </c>
      <c r="D67" s="104">
        <v>0.40689999999999998</v>
      </c>
      <c r="E67" s="104">
        <v>0.40689999999999998</v>
      </c>
      <c r="F67" s="104">
        <v>0.40689999999999998</v>
      </c>
      <c r="G67" s="104">
        <v>0.40689999999999998</v>
      </c>
      <c r="H67" s="104">
        <v>0.40689999999999998</v>
      </c>
      <c r="I67" s="104">
        <v>0.40689999999999998</v>
      </c>
      <c r="J67" s="104">
        <v>0.38009999999999999</v>
      </c>
      <c r="K67" s="104">
        <v>0.38009999999999999</v>
      </c>
      <c r="L67" s="104">
        <v>0.35639999999999999</v>
      </c>
      <c r="M67" s="128">
        <f t="shared" si="7"/>
        <v>0.33860000000000001</v>
      </c>
      <c r="N67" s="128">
        <f t="shared" si="2"/>
        <v>0.30859999999999999</v>
      </c>
      <c r="O67" s="128">
        <f t="shared" si="3"/>
        <v>0.30859999999999999</v>
      </c>
      <c r="P67" s="128">
        <f t="shared" si="8"/>
        <v>0.30859999999999999</v>
      </c>
      <c r="Q67" s="128">
        <f t="shared" si="9"/>
        <v>0.30620000000000003</v>
      </c>
      <c r="R67" s="128">
        <f t="shared" si="10"/>
        <v>0.30620000000000003</v>
      </c>
      <c r="S67" s="127">
        <v>0.35639999999999999</v>
      </c>
      <c r="T67" s="104"/>
      <c r="U67" s="127"/>
      <c r="V67" s="127"/>
      <c r="W67" s="127"/>
      <c r="X67" s="127"/>
      <c r="Y67" s="127"/>
      <c r="Z67" s="127"/>
      <c r="AB67" s="127"/>
      <c r="AC67" s="127"/>
      <c r="AD67" s="6">
        <v>0.1</v>
      </c>
      <c r="AF67" s="5" t="s">
        <v>51</v>
      </c>
      <c r="AG67" s="6">
        <v>0.1</v>
      </c>
      <c r="AH67" s="6">
        <v>0.1</v>
      </c>
      <c r="AI67" s="6">
        <v>0.1</v>
      </c>
      <c r="AJ67" s="6">
        <v>0.1</v>
      </c>
      <c r="AK67" s="6">
        <v>0.1</v>
      </c>
      <c r="AL67" s="6">
        <v>0.1</v>
      </c>
    </row>
    <row r="68" spans="3:38">
      <c r="C68" s="5" t="s">
        <v>65</v>
      </c>
      <c r="D68" s="104">
        <v>0</v>
      </c>
      <c r="E68" s="104">
        <v>0</v>
      </c>
      <c r="F68" s="104">
        <v>0</v>
      </c>
      <c r="G68" s="104">
        <v>0</v>
      </c>
      <c r="H68" s="104">
        <v>0</v>
      </c>
      <c r="I68" s="104">
        <v>0</v>
      </c>
      <c r="J68" s="104">
        <v>0</v>
      </c>
      <c r="K68" s="104">
        <v>0</v>
      </c>
      <c r="L68" s="104">
        <v>0</v>
      </c>
      <c r="M68" s="128">
        <f t="shared" si="7"/>
        <v>0.2</v>
      </c>
      <c r="N68" s="128">
        <f t="shared" si="2"/>
        <v>0.2</v>
      </c>
      <c r="O68" s="128">
        <f t="shared" si="3"/>
        <v>0.2</v>
      </c>
      <c r="P68" s="128">
        <f t="shared" si="8"/>
        <v>0.2</v>
      </c>
      <c r="Q68" s="128">
        <f t="shared" si="9"/>
        <v>0</v>
      </c>
      <c r="R68" s="128">
        <f t="shared" si="10"/>
        <v>0</v>
      </c>
      <c r="S68" s="127">
        <v>0</v>
      </c>
      <c r="T68" s="104"/>
      <c r="U68" s="127"/>
      <c r="V68" s="127"/>
      <c r="W68" s="127"/>
      <c r="X68" s="127"/>
      <c r="Y68" s="127"/>
      <c r="Z68" s="127"/>
      <c r="AB68" s="127"/>
      <c r="AC68" s="127"/>
      <c r="AD68" s="6">
        <v>0.24</v>
      </c>
      <c r="AF68" s="5" t="s">
        <v>52</v>
      </c>
      <c r="AG68" s="6">
        <v>0.28999999999999998</v>
      </c>
      <c r="AH68" s="6">
        <v>0.28999999999999998</v>
      </c>
      <c r="AI68" s="6">
        <v>0.28999999999999998</v>
      </c>
      <c r="AJ68" s="6">
        <v>0.28999999999999998</v>
      </c>
      <c r="AK68" s="6">
        <v>0.28000000000000003</v>
      </c>
      <c r="AL68" s="6">
        <v>0.24</v>
      </c>
    </row>
    <row r="69" spans="3:38">
      <c r="C69" s="5" t="s">
        <v>66</v>
      </c>
      <c r="D69" s="104">
        <v>0.25</v>
      </c>
      <c r="E69" s="104">
        <v>0.25</v>
      </c>
      <c r="F69" s="104">
        <v>0.25</v>
      </c>
      <c r="G69" s="104">
        <v>0.25</v>
      </c>
      <c r="H69" s="104">
        <v>0.14000000000000001</v>
      </c>
      <c r="I69" s="104">
        <v>0.14000000000000001</v>
      </c>
      <c r="J69" s="104">
        <v>0.14000000000000001</v>
      </c>
      <c r="K69" s="104">
        <v>0.14000000000000001</v>
      </c>
      <c r="L69" s="104">
        <v>0.14000000000000001</v>
      </c>
      <c r="M69" s="128">
        <f t="shared" si="7"/>
        <v>0.2</v>
      </c>
      <c r="N69" s="128">
        <f t="shared" si="2"/>
        <v>0.2</v>
      </c>
      <c r="O69" s="128">
        <f t="shared" si="3"/>
        <v>0.2</v>
      </c>
      <c r="P69" s="128">
        <f t="shared" si="8"/>
        <v>0.2</v>
      </c>
      <c r="Q69" s="128">
        <f t="shared" si="9"/>
        <v>0.2</v>
      </c>
      <c r="R69" s="128">
        <f t="shared" si="10"/>
        <v>0.2</v>
      </c>
      <c r="S69" s="127">
        <v>0.14000000000000001</v>
      </c>
      <c r="T69" s="104"/>
      <c r="U69" s="127"/>
      <c r="V69" s="127"/>
      <c r="W69" s="127"/>
      <c r="X69" s="127"/>
      <c r="Y69" s="127"/>
      <c r="Z69" s="127"/>
      <c r="AB69" s="127"/>
      <c r="AC69" s="127"/>
      <c r="AD69" s="6">
        <v>0.28000000000000003</v>
      </c>
      <c r="AF69" s="5" t="s">
        <v>3831</v>
      </c>
      <c r="AG69" s="6">
        <v>0</v>
      </c>
      <c r="AH69" s="6">
        <v>0</v>
      </c>
      <c r="AI69" s="6">
        <v>0.3</v>
      </c>
      <c r="AJ69" s="6">
        <v>0.3</v>
      </c>
      <c r="AK69" s="6">
        <v>0.28000000000000003</v>
      </c>
      <c r="AL69" s="6">
        <v>0.28000000000000003</v>
      </c>
    </row>
    <row r="70" spans="3:38">
      <c r="C70" s="5" t="s">
        <v>67</v>
      </c>
      <c r="D70" s="104">
        <v>0.3</v>
      </c>
      <c r="E70" s="104">
        <v>0.3</v>
      </c>
      <c r="F70" s="104">
        <v>0.3</v>
      </c>
      <c r="G70" s="104">
        <v>0.2</v>
      </c>
      <c r="H70" s="104">
        <v>0.2</v>
      </c>
      <c r="I70" s="104">
        <v>0.2</v>
      </c>
      <c r="J70" s="104">
        <v>0.2</v>
      </c>
      <c r="K70" s="104">
        <v>0.2</v>
      </c>
      <c r="L70" s="104">
        <v>0.2</v>
      </c>
      <c r="M70" s="128">
        <f t="shared" si="7"/>
        <v>0.2</v>
      </c>
      <c r="N70" s="128">
        <f t="shared" si="2"/>
        <v>0.2</v>
      </c>
      <c r="O70" s="128">
        <f t="shared" si="3"/>
        <v>0.2</v>
      </c>
      <c r="P70" s="128">
        <f t="shared" si="8"/>
        <v>0.2</v>
      </c>
      <c r="Q70" s="128">
        <f t="shared" si="9"/>
        <v>0.2</v>
      </c>
      <c r="R70" s="128">
        <f t="shared" si="10"/>
        <v>0.2</v>
      </c>
      <c r="S70" s="127">
        <v>0.2</v>
      </c>
      <c r="T70" s="104"/>
      <c r="U70" s="127"/>
      <c r="V70" s="127"/>
      <c r="W70" s="127"/>
      <c r="X70" s="127"/>
      <c r="Y70" s="127"/>
      <c r="Z70" s="127"/>
      <c r="AB70" s="127"/>
      <c r="AC70" s="127"/>
      <c r="AD70" s="6">
        <v>0.25</v>
      </c>
      <c r="AF70" s="5" t="s">
        <v>430</v>
      </c>
      <c r="AG70" s="6">
        <v>0.25</v>
      </c>
      <c r="AH70" s="6">
        <v>0.25</v>
      </c>
      <c r="AI70" s="6">
        <v>0.25</v>
      </c>
      <c r="AJ70" s="6">
        <v>0.25</v>
      </c>
      <c r="AK70" s="6">
        <v>0.25</v>
      </c>
      <c r="AL70" s="6">
        <v>0.25</v>
      </c>
    </row>
    <row r="71" spans="3:38">
      <c r="C71" s="5" t="s">
        <v>433</v>
      </c>
      <c r="D71" s="104"/>
      <c r="E71" s="104"/>
      <c r="F71" s="104"/>
      <c r="G71" s="104"/>
      <c r="H71" s="104"/>
      <c r="I71" s="104"/>
      <c r="J71" s="104">
        <v>0.3</v>
      </c>
      <c r="K71" s="104">
        <v>0.3</v>
      </c>
      <c r="L71" s="104">
        <v>0.3</v>
      </c>
      <c r="M71" s="128">
        <f t="shared" si="7"/>
        <v>0.3</v>
      </c>
      <c r="N71" s="128">
        <f t="shared" ref="N71:N79" si="11">VLOOKUP(C71,$AF$6:$AL$188,3,FALSE)</f>
        <v>0.3</v>
      </c>
      <c r="O71" s="128">
        <f t="shared" ref="O71:O79" si="12">VLOOKUP(C71,$AF$6:$AL$188,4,FALSE)</f>
        <v>0.3</v>
      </c>
      <c r="P71" s="128">
        <f t="shared" si="8"/>
        <v>0.3</v>
      </c>
      <c r="Q71" s="128">
        <f t="shared" si="9"/>
        <v>0.3</v>
      </c>
      <c r="R71" s="128">
        <f t="shared" si="10"/>
        <v>0.3</v>
      </c>
      <c r="S71" s="127">
        <v>0.3</v>
      </c>
      <c r="T71" s="104"/>
      <c r="U71" s="127"/>
      <c r="V71" s="127"/>
      <c r="W71" s="127"/>
      <c r="X71" s="127"/>
      <c r="Y71" s="127"/>
      <c r="Z71" s="127"/>
      <c r="AB71" s="127"/>
      <c r="AC71" s="127"/>
      <c r="AD71" s="6">
        <v>0</v>
      </c>
      <c r="AF71" s="5" t="s">
        <v>53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</row>
    <row r="72" spans="3:38">
      <c r="C72" s="5" t="s">
        <v>434</v>
      </c>
      <c r="D72" s="104">
        <v>0.27500000000000002</v>
      </c>
      <c r="E72" s="104">
        <v>0.27500000000000002</v>
      </c>
      <c r="F72" s="104">
        <v>0.27500000000000002</v>
      </c>
      <c r="G72" s="104">
        <v>0.24199999999999999</v>
      </c>
      <c r="H72" s="104">
        <v>0.24199999999999999</v>
      </c>
      <c r="I72" s="104">
        <v>0.22</v>
      </c>
      <c r="J72" s="104">
        <v>0.24199999999999999</v>
      </c>
      <c r="K72" s="104">
        <v>0.24199999999999999</v>
      </c>
      <c r="L72" s="104">
        <v>0.24199999999999999</v>
      </c>
      <c r="M72" s="128">
        <f t="shared" si="7"/>
        <v>0.24199999999999999</v>
      </c>
      <c r="N72" s="128">
        <f t="shared" si="11"/>
        <v>0.24199999999999999</v>
      </c>
      <c r="O72" s="128">
        <f t="shared" si="12"/>
        <v>0.22</v>
      </c>
      <c r="P72" s="128">
        <f t="shared" si="8"/>
        <v>0.25</v>
      </c>
      <c r="Q72" s="128">
        <f t="shared" si="9"/>
        <v>0.25</v>
      </c>
      <c r="R72" s="128">
        <f t="shared" si="10"/>
        <v>0.25</v>
      </c>
      <c r="S72" s="127">
        <v>0.24199999999999999</v>
      </c>
      <c r="T72" s="104"/>
      <c r="U72" s="127"/>
      <c r="V72" s="127"/>
      <c r="W72" s="127"/>
      <c r="X72" s="127"/>
      <c r="Y72" s="127"/>
      <c r="Z72" s="127"/>
      <c r="AB72" s="127"/>
      <c r="AC72" s="127"/>
      <c r="AD72" s="6">
        <v>0.25</v>
      </c>
      <c r="AF72" s="5" t="s">
        <v>54</v>
      </c>
      <c r="AG72" s="6">
        <v>0.3</v>
      </c>
      <c r="AH72" s="6">
        <v>0.3</v>
      </c>
      <c r="AI72" s="6">
        <v>0.25</v>
      </c>
      <c r="AJ72" s="6">
        <v>0.25</v>
      </c>
      <c r="AK72" s="6">
        <v>0.25</v>
      </c>
      <c r="AL72" s="6">
        <v>0.25</v>
      </c>
    </row>
    <row r="73" spans="3:38">
      <c r="C73" s="5" t="s">
        <v>68</v>
      </c>
      <c r="D73" s="104">
        <v>0.55000000000000004</v>
      </c>
      <c r="E73" s="104">
        <v>0.55000000000000004</v>
      </c>
      <c r="F73" s="104">
        <v>0.55000000000000004</v>
      </c>
      <c r="G73" s="104">
        <v>0.15</v>
      </c>
      <c r="H73" s="104">
        <v>0.15</v>
      </c>
      <c r="I73" s="104">
        <v>0.15</v>
      </c>
      <c r="J73" s="104">
        <v>0.15</v>
      </c>
      <c r="K73" s="104">
        <v>0.15</v>
      </c>
      <c r="L73" s="104">
        <v>0.15</v>
      </c>
      <c r="M73" s="128">
        <f t="shared" si="7"/>
        <v>0.15</v>
      </c>
      <c r="N73" s="128">
        <f t="shared" si="11"/>
        <v>0.15</v>
      </c>
      <c r="O73" s="128">
        <f t="shared" si="12"/>
        <v>0.15</v>
      </c>
      <c r="P73" s="128">
        <f t="shared" si="8"/>
        <v>0.15</v>
      </c>
      <c r="Q73" s="128">
        <f t="shared" si="9"/>
        <v>0.15</v>
      </c>
      <c r="R73" s="128">
        <f t="shared" si="10"/>
        <v>0.15</v>
      </c>
      <c r="S73" s="127">
        <v>0.15</v>
      </c>
      <c r="T73" s="104"/>
      <c r="U73" s="127"/>
      <c r="V73" s="127"/>
      <c r="W73" s="127"/>
      <c r="X73" s="127"/>
      <c r="Y73" s="127"/>
      <c r="Z73" s="127"/>
      <c r="AB73" s="127"/>
      <c r="AC73" s="127"/>
      <c r="AD73" s="6">
        <v>0.16500000000000001</v>
      </c>
      <c r="AF73" s="5" t="s">
        <v>431</v>
      </c>
      <c r="AG73" s="6">
        <v>0.16500000000000001</v>
      </c>
      <c r="AH73" s="6">
        <v>0.16500000000000001</v>
      </c>
      <c r="AI73" s="6">
        <v>0.16500000000000001</v>
      </c>
      <c r="AJ73" s="6">
        <v>0.16500000000000001</v>
      </c>
      <c r="AK73" s="6">
        <v>0.16500000000000001</v>
      </c>
      <c r="AL73" s="6">
        <v>0.16500000000000001</v>
      </c>
    </row>
    <row r="74" spans="3:38">
      <c r="C74" s="5" t="s">
        <v>69</v>
      </c>
      <c r="D74" s="104">
        <v>0.15</v>
      </c>
      <c r="E74" s="104">
        <v>0.15</v>
      </c>
      <c r="F74" s="104">
        <v>0.15</v>
      </c>
      <c r="G74" s="104">
        <v>0.15</v>
      </c>
      <c r="H74" s="104">
        <v>0.15</v>
      </c>
      <c r="I74" s="104">
        <v>0.15</v>
      </c>
      <c r="J74" s="104">
        <v>0.15</v>
      </c>
      <c r="K74" s="104">
        <v>0.15</v>
      </c>
      <c r="L74" s="104">
        <v>0.15</v>
      </c>
      <c r="M74" s="128">
        <f t="shared" si="7"/>
        <v>0.15</v>
      </c>
      <c r="N74" s="128">
        <f t="shared" si="11"/>
        <v>0.15</v>
      </c>
      <c r="O74" s="128">
        <f t="shared" si="12"/>
        <v>0.15</v>
      </c>
      <c r="P74" s="128">
        <f t="shared" si="8"/>
        <v>0.2</v>
      </c>
      <c r="Q74" s="128">
        <f t="shared" si="9"/>
        <v>0.2</v>
      </c>
      <c r="R74" s="128">
        <f t="shared" si="10"/>
        <v>0.2</v>
      </c>
      <c r="S74" s="127">
        <v>0.15</v>
      </c>
      <c r="T74" s="104"/>
      <c r="U74" s="127"/>
      <c r="V74" s="127"/>
      <c r="W74" s="127"/>
      <c r="X74" s="127"/>
      <c r="Y74" s="127"/>
      <c r="Z74" s="127"/>
      <c r="AB74" s="127"/>
      <c r="AC74" s="127"/>
      <c r="AD74" s="6">
        <v>0.09</v>
      </c>
      <c r="AF74" s="5" t="s">
        <v>55</v>
      </c>
      <c r="AG74" s="6">
        <v>0.19</v>
      </c>
      <c r="AH74" s="6">
        <v>0.19</v>
      </c>
      <c r="AI74" s="6">
        <v>0.09</v>
      </c>
      <c r="AJ74" s="6">
        <v>0.09</v>
      </c>
      <c r="AK74" s="6">
        <v>0.09</v>
      </c>
      <c r="AL74" s="6">
        <v>0.09</v>
      </c>
    </row>
    <row r="75" spans="3:38">
      <c r="C75" s="5" t="s">
        <v>435</v>
      </c>
      <c r="D75" s="104"/>
      <c r="E75" s="104"/>
      <c r="F75" s="104"/>
      <c r="G75" s="104"/>
      <c r="H75" s="104"/>
      <c r="I75" s="104"/>
      <c r="J75" s="104"/>
      <c r="K75" s="104">
        <v>0.15</v>
      </c>
      <c r="L75" s="104">
        <v>0.15</v>
      </c>
      <c r="M75" s="128">
        <f t="shared" si="7"/>
        <v>0.15</v>
      </c>
      <c r="N75" s="128">
        <f t="shared" si="11"/>
        <v>0.15</v>
      </c>
      <c r="O75" s="128">
        <f t="shared" si="12"/>
        <v>0.15</v>
      </c>
      <c r="P75" s="128">
        <f t="shared" si="8"/>
        <v>0.15</v>
      </c>
      <c r="Q75" s="128">
        <f t="shared" si="9"/>
        <v>0.17</v>
      </c>
      <c r="R75" s="128">
        <f t="shared" si="10"/>
        <v>0.17</v>
      </c>
      <c r="S75" s="127">
        <v>0.15</v>
      </c>
      <c r="T75" s="104"/>
      <c r="U75" s="127"/>
      <c r="V75" s="127"/>
      <c r="W75" s="127"/>
      <c r="X75" s="127"/>
      <c r="Y75" s="127"/>
      <c r="Z75" s="127"/>
      <c r="AB75" s="127"/>
      <c r="AC75" s="127"/>
      <c r="AD75" s="6">
        <v>0.2</v>
      </c>
      <c r="AF75" s="5" t="s">
        <v>56</v>
      </c>
      <c r="AG75" s="6">
        <v>0.2</v>
      </c>
      <c r="AH75" s="6">
        <v>0.2</v>
      </c>
      <c r="AI75" s="6">
        <v>0.2</v>
      </c>
      <c r="AJ75" s="6">
        <v>0.2</v>
      </c>
      <c r="AK75" s="6">
        <v>0.2</v>
      </c>
      <c r="AL75" s="6">
        <v>0.2</v>
      </c>
    </row>
    <row r="76" spans="3:38">
      <c r="C76" s="5" t="s">
        <v>70</v>
      </c>
      <c r="D76" s="104"/>
      <c r="E76" s="104">
        <v>0.4</v>
      </c>
      <c r="F76" s="104">
        <v>0.4</v>
      </c>
      <c r="G76" s="104">
        <v>0.4</v>
      </c>
      <c r="H76" s="104">
        <v>0.4</v>
      </c>
      <c r="I76" s="104">
        <v>0.2</v>
      </c>
      <c r="J76" s="104">
        <v>0.2</v>
      </c>
      <c r="K76" s="104">
        <v>0.2</v>
      </c>
      <c r="L76" s="104">
        <v>0.2</v>
      </c>
      <c r="M76" s="128">
        <f t="shared" si="7"/>
        <v>0.2</v>
      </c>
      <c r="N76" s="128">
        <f t="shared" si="11"/>
        <v>0.2</v>
      </c>
      <c r="O76" s="128">
        <f t="shared" si="12"/>
        <v>0.2</v>
      </c>
      <c r="P76" s="128">
        <f t="shared" si="8"/>
        <v>0.2</v>
      </c>
      <c r="Q76" s="128">
        <f t="shared" si="9"/>
        <v>0.2</v>
      </c>
      <c r="R76" s="128">
        <f t="shared" si="10"/>
        <v>0.2</v>
      </c>
      <c r="S76" s="127">
        <v>0.2</v>
      </c>
      <c r="T76" s="104"/>
      <c r="U76" s="127"/>
      <c r="V76" s="127"/>
      <c r="W76" s="127"/>
      <c r="X76" s="127"/>
      <c r="Y76" s="127"/>
      <c r="Z76" s="127"/>
      <c r="AB76" s="127"/>
      <c r="AC76" s="127"/>
      <c r="AD76" s="6">
        <v>0.3</v>
      </c>
      <c r="AF76" s="5" t="s">
        <v>57</v>
      </c>
      <c r="AG76" s="6">
        <v>0.34610000000000002</v>
      </c>
      <c r="AH76" s="6">
        <v>0.34610000000000002</v>
      </c>
      <c r="AI76" s="6">
        <v>0.34610000000000002</v>
      </c>
      <c r="AJ76" s="6">
        <v>0.35</v>
      </c>
      <c r="AK76" s="6">
        <v>0.3</v>
      </c>
      <c r="AL76" s="6">
        <v>0.3</v>
      </c>
    </row>
    <row r="77" spans="3:38">
      <c r="C77" s="5" t="s">
        <v>436</v>
      </c>
      <c r="D77" s="104"/>
      <c r="E77" s="104"/>
      <c r="F77" s="104"/>
      <c r="G77" s="104"/>
      <c r="H77" s="104"/>
      <c r="I77" s="104">
        <v>0.125</v>
      </c>
      <c r="J77" s="104">
        <v>0.125</v>
      </c>
      <c r="K77" s="104">
        <v>0.125</v>
      </c>
      <c r="L77" s="104">
        <v>0.125</v>
      </c>
      <c r="M77" s="128">
        <f t="shared" si="7"/>
        <v>0.125</v>
      </c>
      <c r="N77" s="128">
        <f t="shared" si="11"/>
        <v>0.125</v>
      </c>
      <c r="O77" s="128">
        <f t="shared" si="12"/>
        <v>0.125</v>
      </c>
      <c r="P77" s="128">
        <f t="shared" si="8"/>
        <v>0.125</v>
      </c>
      <c r="Q77" s="128">
        <f t="shared" si="9"/>
        <v>0.125</v>
      </c>
      <c r="R77" s="128">
        <f t="shared" si="10"/>
        <v>0.125</v>
      </c>
      <c r="S77" s="127">
        <v>0.125</v>
      </c>
      <c r="T77" s="104"/>
      <c r="U77" s="127"/>
      <c r="V77" s="127"/>
      <c r="W77" s="127"/>
      <c r="X77" s="127"/>
      <c r="Y77" s="127"/>
      <c r="Z77" s="127"/>
      <c r="AB77" s="127"/>
      <c r="AC77" s="127"/>
      <c r="AD77" s="6">
        <v>0.25</v>
      </c>
      <c r="AF77" s="5" t="s">
        <v>58</v>
      </c>
      <c r="AG77" s="6">
        <v>0.25</v>
      </c>
      <c r="AH77" s="6">
        <v>0.25</v>
      </c>
      <c r="AI77" s="6">
        <v>0.25</v>
      </c>
      <c r="AJ77" s="6">
        <v>0.25</v>
      </c>
      <c r="AK77" s="6">
        <v>0.25</v>
      </c>
      <c r="AL77" s="6">
        <v>0.25</v>
      </c>
    </row>
    <row r="78" spans="3:38">
      <c r="C78" s="5" t="s">
        <v>71</v>
      </c>
      <c r="D78" s="104">
        <v>0.15</v>
      </c>
      <c r="E78" s="104">
        <v>0.15</v>
      </c>
      <c r="F78" s="104">
        <v>0.15</v>
      </c>
      <c r="G78" s="104">
        <v>0.2</v>
      </c>
      <c r="H78" s="104">
        <v>0.15</v>
      </c>
      <c r="I78" s="104">
        <v>0.15</v>
      </c>
      <c r="J78" s="104">
        <v>0.15</v>
      </c>
      <c r="K78" s="104">
        <v>0.15</v>
      </c>
      <c r="L78" s="104">
        <v>0.15</v>
      </c>
      <c r="M78" s="128">
        <f t="shared" si="7"/>
        <v>0.15</v>
      </c>
      <c r="N78" s="128">
        <f t="shared" si="11"/>
        <v>0.15</v>
      </c>
      <c r="O78" s="128">
        <f t="shared" si="12"/>
        <v>0.15</v>
      </c>
      <c r="P78" s="128">
        <f t="shared" si="8"/>
        <v>0.15</v>
      </c>
      <c r="Q78" s="128">
        <f t="shared" si="9"/>
        <v>0.15</v>
      </c>
      <c r="R78" s="128">
        <f t="shared" si="10"/>
        <v>0.15</v>
      </c>
      <c r="S78" s="127">
        <v>0.15</v>
      </c>
      <c r="T78" s="104"/>
      <c r="U78" s="127"/>
      <c r="V78" s="127"/>
      <c r="W78" s="127"/>
      <c r="X78" s="127"/>
      <c r="Y78" s="127"/>
      <c r="Z78" s="127"/>
      <c r="AB78" s="127"/>
      <c r="AC78" s="127"/>
      <c r="AD78" s="6">
        <v>0.15</v>
      </c>
      <c r="AF78" s="5" t="s">
        <v>432</v>
      </c>
      <c r="AG78" s="6">
        <v>0.15</v>
      </c>
      <c r="AH78" s="6">
        <v>0.15</v>
      </c>
      <c r="AI78" s="6">
        <v>0.15</v>
      </c>
      <c r="AJ78" s="6">
        <v>0.15</v>
      </c>
      <c r="AK78" s="6">
        <v>0.15</v>
      </c>
      <c r="AL78" s="6">
        <v>0.15</v>
      </c>
    </row>
    <row r="79" spans="3:38">
      <c r="C79" s="5" t="s">
        <v>72</v>
      </c>
      <c r="D79" s="104">
        <v>0.29630000000000001</v>
      </c>
      <c r="E79" s="104">
        <v>0.29630000000000001</v>
      </c>
      <c r="F79" s="104">
        <v>0.29630000000000001</v>
      </c>
      <c r="G79" s="104">
        <v>0.28589999999999999</v>
      </c>
      <c r="H79" s="104">
        <v>0.28589999999999999</v>
      </c>
      <c r="I79" s="104">
        <v>0.28800000000000003</v>
      </c>
      <c r="J79" s="104">
        <v>0.28800000000000003</v>
      </c>
      <c r="K79" s="104">
        <v>0.29220000000000002</v>
      </c>
      <c r="L79" s="104">
        <v>0.29220000000000002</v>
      </c>
      <c r="M79" s="128">
        <f t="shared" si="7"/>
        <v>0.29220000000000002</v>
      </c>
      <c r="N79" s="128">
        <f t="shared" si="11"/>
        <v>0.29220000000000002</v>
      </c>
      <c r="O79" s="128">
        <f t="shared" si="12"/>
        <v>0.27079999999999999</v>
      </c>
      <c r="P79" s="128">
        <f t="shared" si="8"/>
        <v>0.2601</v>
      </c>
      <c r="Q79" s="128">
        <f t="shared" si="9"/>
        <v>0.24940000000000001</v>
      </c>
      <c r="R79" s="128">
        <f t="shared" si="10"/>
        <v>0.24940000000000001</v>
      </c>
      <c r="S79" s="127">
        <v>0.29220000000000002</v>
      </c>
      <c r="T79" s="104"/>
      <c r="U79" s="127"/>
      <c r="V79" s="127"/>
      <c r="W79" s="127"/>
      <c r="X79" s="127"/>
      <c r="Y79" s="127"/>
      <c r="Z79" s="127"/>
      <c r="AB79" s="127"/>
      <c r="AC79" s="127"/>
      <c r="AD79" s="6">
        <v>0.125</v>
      </c>
      <c r="AF79" s="5" t="s">
        <v>59</v>
      </c>
      <c r="AG79" s="6">
        <v>0.125</v>
      </c>
      <c r="AH79" s="6">
        <v>0.125</v>
      </c>
      <c r="AI79" s="6">
        <v>0.125</v>
      </c>
      <c r="AJ79" s="6">
        <v>0.125</v>
      </c>
      <c r="AK79" s="6">
        <v>0.125</v>
      </c>
      <c r="AL79" s="6">
        <v>0.125</v>
      </c>
    </row>
    <row r="80" spans="3:38">
      <c r="C80" s="5" t="s">
        <v>437</v>
      </c>
      <c r="D80" s="104">
        <v>0.12</v>
      </c>
      <c r="E80" s="104">
        <v>0.12</v>
      </c>
      <c r="F80" s="104">
        <v>0.12</v>
      </c>
      <c r="G80" s="104">
        <v>0.12</v>
      </c>
      <c r="H80" s="104">
        <v>0.12</v>
      </c>
      <c r="I80" s="104">
        <v>0.12</v>
      </c>
      <c r="J80" s="104">
        <v>0.12</v>
      </c>
      <c r="K80" s="104">
        <v>0.12</v>
      </c>
      <c r="L80" s="104">
        <v>0.12</v>
      </c>
      <c r="M80" s="128">
        <v>0.12</v>
      </c>
      <c r="N80" s="128">
        <v>0.12</v>
      </c>
      <c r="O80" s="128">
        <v>0.12</v>
      </c>
      <c r="P80" s="128">
        <v>0.12</v>
      </c>
      <c r="Q80" s="128">
        <v>0.12</v>
      </c>
      <c r="R80" s="128">
        <v>0.12</v>
      </c>
      <c r="S80" s="127">
        <v>0.12</v>
      </c>
      <c r="T80" s="104"/>
      <c r="U80" s="127"/>
      <c r="V80" s="127"/>
      <c r="W80" s="127"/>
      <c r="X80" s="127"/>
      <c r="Y80" s="127"/>
      <c r="Z80" s="127"/>
      <c r="AB80" s="127"/>
      <c r="AC80" s="127"/>
      <c r="AD80" s="6">
        <v>0</v>
      </c>
      <c r="AF80" s="5" t="s">
        <v>60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</row>
    <row r="81" spans="3:38">
      <c r="C81" s="5" t="s">
        <v>438</v>
      </c>
      <c r="D81" s="104">
        <v>0.15</v>
      </c>
      <c r="E81" s="104">
        <v>0.12</v>
      </c>
      <c r="F81" s="104">
        <v>0.1</v>
      </c>
      <c r="G81" s="104">
        <v>0.1</v>
      </c>
      <c r="H81" s="104">
        <v>0.1</v>
      </c>
      <c r="I81" s="104">
        <v>0.1</v>
      </c>
      <c r="J81" s="104">
        <v>0.1</v>
      </c>
      <c r="K81" s="104">
        <v>0.1</v>
      </c>
      <c r="L81" s="104">
        <v>0.1</v>
      </c>
      <c r="M81" s="128">
        <v>0.1</v>
      </c>
      <c r="N81" s="128">
        <v>0.1</v>
      </c>
      <c r="O81" s="128">
        <v>0.1</v>
      </c>
      <c r="P81" s="128">
        <v>0.1</v>
      </c>
      <c r="Q81" s="128">
        <v>0.1</v>
      </c>
      <c r="R81" s="128">
        <v>0.1</v>
      </c>
      <c r="S81" s="127">
        <v>0.1</v>
      </c>
      <c r="T81" s="104"/>
      <c r="U81" s="127"/>
      <c r="V81" s="127"/>
      <c r="W81" s="127"/>
      <c r="X81" s="127"/>
      <c r="Y81" s="127"/>
      <c r="Z81" s="127"/>
      <c r="AB81" s="127"/>
      <c r="AC81" s="127"/>
      <c r="AD81" s="6">
        <v>0.23</v>
      </c>
      <c r="AF81" s="5" t="s">
        <v>61</v>
      </c>
      <c r="AG81" s="6">
        <v>0.25</v>
      </c>
      <c r="AH81" s="6">
        <v>0.25</v>
      </c>
      <c r="AI81" s="6">
        <v>0.24</v>
      </c>
      <c r="AJ81" s="6">
        <v>0.23</v>
      </c>
      <c r="AK81" s="6">
        <v>0.23</v>
      </c>
      <c r="AL81" s="6">
        <v>0.23</v>
      </c>
    </row>
    <row r="82" spans="3:38">
      <c r="C82" s="5" t="s">
        <v>439</v>
      </c>
      <c r="D82" s="104"/>
      <c r="E82" s="104"/>
      <c r="F82" s="104"/>
      <c r="G82" s="104"/>
      <c r="H82" s="104"/>
      <c r="I82" s="104"/>
      <c r="J82" s="104">
        <v>0.3</v>
      </c>
      <c r="K82" s="104">
        <v>0.3</v>
      </c>
      <c r="L82" s="104">
        <v>0.3</v>
      </c>
      <c r="M82" s="128">
        <f t="shared" ref="M82:M121" si="13">VLOOKUP(C82,$AF$6:$AL$188,2,FALSE)</f>
        <v>0.3</v>
      </c>
      <c r="N82" s="128">
        <f t="shared" ref="N82:N121" si="14">VLOOKUP(C82,$AF$6:$AL$188,3,FALSE)</f>
        <v>0.3</v>
      </c>
      <c r="O82" s="128">
        <f t="shared" ref="O82:O121" si="15">VLOOKUP(C82,$AF$6:$AL$188,4,FALSE)</f>
        <v>0.3</v>
      </c>
      <c r="P82" s="128">
        <f t="shared" ref="P82" si="16">VLOOKUP(C82,$AF$6:$AL$188,5,FALSE)</f>
        <v>0.3</v>
      </c>
      <c r="Q82" s="128">
        <f t="shared" ref="Q82" si="17">VLOOKUP(C82,$AF$6:$AL$188,6,FALSE)</f>
        <v>0.3</v>
      </c>
      <c r="R82" s="128">
        <f t="shared" ref="R82" si="18">VLOOKUP(C82,$AF$6:$AL$188,7,FALSE)</f>
        <v>0.3</v>
      </c>
      <c r="S82" s="127">
        <v>0.3</v>
      </c>
      <c r="T82" s="104"/>
      <c r="U82" s="127"/>
      <c r="V82" s="127"/>
      <c r="W82" s="127"/>
      <c r="X82" s="127"/>
      <c r="Y82" s="127"/>
      <c r="Z82" s="127"/>
      <c r="AB82" s="127"/>
      <c r="AC82" s="127"/>
      <c r="AD82" s="6">
        <v>0.24</v>
      </c>
      <c r="AF82" s="5" t="s">
        <v>62</v>
      </c>
      <c r="AG82" s="6">
        <v>0.314</v>
      </c>
      <c r="AH82" s="6">
        <v>0.314</v>
      </c>
      <c r="AI82" s="6">
        <v>0.24</v>
      </c>
      <c r="AJ82" s="6">
        <v>0.24</v>
      </c>
      <c r="AK82" s="6">
        <v>0.24</v>
      </c>
      <c r="AL82" s="6">
        <v>0.24</v>
      </c>
    </row>
    <row r="83" spans="3:38">
      <c r="C83" s="5" t="s">
        <v>73</v>
      </c>
      <c r="D83" s="104">
        <v>0.28000000000000003</v>
      </c>
      <c r="E83" s="104">
        <v>0.27</v>
      </c>
      <c r="F83" s="104">
        <v>0.26</v>
      </c>
      <c r="G83" s="104">
        <v>0.25</v>
      </c>
      <c r="H83" s="104">
        <v>0.25</v>
      </c>
      <c r="I83" s="104">
        <v>0.25</v>
      </c>
      <c r="J83" s="104">
        <v>0.25</v>
      </c>
      <c r="K83" s="104">
        <v>0.25</v>
      </c>
      <c r="L83" s="104">
        <v>0.25</v>
      </c>
      <c r="M83" s="128">
        <f t="shared" si="13"/>
        <v>0.24</v>
      </c>
      <c r="N83" s="128">
        <f t="shared" si="14"/>
        <v>0.24</v>
      </c>
      <c r="O83" s="128">
        <f t="shared" si="15"/>
        <v>0.24</v>
      </c>
      <c r="P83" s="128">
        <f t="shared" ref="P83:P121" si="19">VLOOKUP(C83,$AF$6:$AL$188,5,FALSE)</f>
        <v>0.24</v>
      </c>
      <c r="Q83" s="128">
        <f t="shared" ref="Q83:Q121" si="20">VLOOKUP(C83,$AF$6:$AL$188,6,FALSE)</f>
        <v>0.24</v>
      </c>
      <c r="R83" s="128">
        <f t="shared" ref="R83:R121" si="21">VLOOKUP(C83,$AF$6:$AL$188,7,FALSE)</f>
        <v>0.24</v>
      </c>
      <c r="S83" s="127">
        <v>0.25</v>
      </c>
      <c r="T83" s="104"/>
      <c r="U83" s="127"/>
      <c r="V83" s="127"/>
      <c r="W83" s="127"/>
      <c r="X83" s="127"/>
      <c r="Y83" s="127"/>
      <c r="Z83" s="127"/>
      <c r="AB83" s="127"/>
      <c r="AC83" s="127"/>
      <c r="AD83" s="6">
        <v>0.25</v>
      </c>
      <c r="AF83" s="5" t="s">
        <v>3832</v>
      </c>
      <c r="AG83" s="6">
        <v>0</v>
      </c>
      <c r="AH83" s="6">
        <v>0</v>
      </c>
      <c r="AI83" s="6">
        <v>0.25</v>
      </c>
      <c r="AJ83" s="6">
        <v>0.25</v>
      </c>
      <c r="AK83" s="6">
        <v>0.25</v>
      </c>
      <c r="AL83" s="6">
        <v>0.25</v>
      </c>
    </row>
    <row r="84" spans="3:38">
      <c r="C84" s="5" t="s">
        <v>74</v>
      </c>
      <c r="D84" s="104">
        <v>0.35</v>
      </c>
      <c r="E84" s="104">
        <v>0.35</v>
      </c>
      <c r="F84" s="104">
        <v>0.35</v>
      </c>
      <c r="G84" s="104">
        <v>0.35</v>
      </c>
      <c r="H84" s="104">
        <v>0.35</v>
      </c>
      <c r="I84" s="104">
        <v>0.35</v>
      </c>
      <c r="J84" s="104">
        <v>0.35</v>
      </c>
      <c r="K84" s="104">
        <v>0.35</v>
      </c>
      <c r="L84" s="104">
        <v>0.35</v>
      </c>
      <c r="M84" s="128">
        <f t="shared" si="13"/>
        <v>0.35</v>
      </c>
      <c r="N84" s="128">
        <f t="shared" si="14"/>
        <v>0.35</v>
      </c>
      <c r="O84" s="128">
        <f t="shared" si="15"/>
        <v>0.35</v>
      </c>
      <c r="P84" s="128">
        <f t="shared" si="19"/>
        <v>0.35</v>
      </c>
      <c r="Q84" s="128">
        <f t="shared" si="20"/>
        <v>0.35</v>
      </c>
      <c r="R84" s="128">
        <f t="shared" si="21"/>
        <v>0.35</v>
      </c>
      <c r="S84" s="127">
        <v>0.35</v>
      </c>
      <c r="T84" s="104"/>
      <c r="U84" s="127"/>
      <c r="V84" s="127"/>
      <c r="W84" s="127"/>
      <c r="X84" s="127"/>
      <c r="Y84" s="127"/>
      <c r="Z84" s="127"/>
      <c r="AB84" s="127"/>
      <c r="AC84" s="127"/>
      <c r="AD84" s="6">
        <v>0.25</v>
      </c>
      <c r="AF84" s="5" t="s">
        <v>63</v>
      </c>
      <c r="AG84" s="6">
        <v>0.25</v>
      </c>
      <c r="AH84" s="6">
        <v>0.25</v>
      </c>
      <c r="AI84" s="6">
        <v>0.25</v>
      </c>
      <c r="AJ84" s="6">
        <v>0.25</v>
      </c>
      <c r="AK84" s="6">
        <v>0.25</v>
      </c>
      <c r="AL84" s="6">
        <v>0.25</v>
      </c>
    </row>
    <row r="85" spans="3:38">
      <c r="C85" s="5" t="s">
        <v>75</v>
      </c>
      <c r="D85" s="104">
        <v>0.25</v>
      </c>
      <c r="E85" s="104">
        <v>0.22500000000000001</v>
      </c>
      <c r="F85" s="104">
        <v>0.15</v>
      </c>
      <c r="G85" s="104">
        <v>0.15</v>
      </c>
      <c r="H85" s="104">
        <v>0.15</v>
      </c>
      <c r="I85" s="104">
        <v>0.15</v>
      </c>
      <c r="J85" s="104">
        <v>0.15</v>
      </c>
      <c r="K85" s="104">
        <v>0.15</v>
      </c>
      <c r="L85" s="104">
        <v>0.15</v>
      </c>
      <c r="M85" s="128">
        <f t="shared" si="13"/>
        <v>0.15</v>
      </c>
      <c r="N85" s="128">
        <f t="shared" si="14"/>
        <v>0.15</v>
      </c>
      <c r="O85" s="128">
        <f t="shared" si="15"/>
        <v>0.15</v>
      </c>
      <c r="P85" s="128">
        <f t="shared" si="19"/>
        <v>0.15</v>
      </c>
      <c r="Q85" s="128">
        <f t="shared" si="20"/>
        <v>0.15</v>
      </c>
      <c r="R85" s="128">
        <f t="shared" si="21"/>
        <v>0.15</v>
      </c>
      <c r="S85" s="127">
        <v>0.15</v>
      </c>
      <c r="T85" s="104"/>
      <c r="U85" s="127"/>
      <c r="V85" s="127"/>
      <c r="W85" s="127"/>
      <c r="X85" s="127"/>
      <c r="Y85" s="127"/>
      <c r="Z85" s="127"/>
      <c r="AB85" s="127"/>
      <c r="AC85" s="127"/>
      <c r="AD85" s="6">
        <v>0.30620000000000003</v>
      </c>
      <c r="AF85" s="5" t="s">
        <v>64</v>
      </c>
      <c r="AG85" s="6">
        <v>0.33860000000000001</v>
      </c>
      <c r="AH85" s="6">
        <v>0.30859999999999999</v>
      </c>
      <c r="AI85" s="6">
        <v>0.30859999999999999</v>
      </c>
      <c r="AJ85" s="6">
        <v>0.30859999999999999</v>
      </c>
      <c r="AK85" s="6">
        <v>0.30620000000000003</v>
      </c>
      <c r="AL85" s="6">
        <v>0.30620000000000003</v>
      </c>
    </row>
    <row r="86" spans="3:38">
      <c r="C86" s="5" t="s">
        <v>76</v>
      </c>
      <c r="D86" s="104">
        <v>0.28999999999999998</v>
      </c>
      <c r="E86" s="104">
        <v>0.28000000000000003</v>
      </c>
      <c r="F86" s="104">
        <v>0.28000000000000003</v>
      </c>
      <c r="G86" s="104">
        <v>0.28000000000000003</v>
      </c>
      <c r="H86" s="104">
        <v>0.3</v>
      </c>
      <c r="I86" s="104">
        <v>0.3</v>
      </c>
      <c r="J86" s="104">
        <v>0.3</v>
      </c>
      <c r="K86" s="104">
        <v>0.3</v>
      </c>
      <c r="L86" s="104">
        <v>0.3</v>
      </c>
      <c r="M86" s="128">
        <f t="shared" si="13"/>
        <v>0.3</v>
      </c>
      <c r="N86" s="128">
        <f t="shared" si="14"/>
        <v>0.3</v>
      </c>
      <c r="O86" s="128">
        <f t="shared" si="15"/>
        <v>0.3</v>
      </c>
      <c r="P86" s="128">
        <f t="shared" si="19"/>
        <v>0.3</v>
      </c>
      <c r="Q86" s="128">
        <f t="shared" si="20"/>
        <v>0.3</v>
      </c>
      <c r="R86" s="128">
        <f t="shared" si="21"/>
        <v>0.3</v>
      </c>
      <c r="S86" s="127">
        <v>0.3</v>
      </c>
      <c r="T86" s="104"/>
      <c r="U86" s="127"/>
      <c r="V86" s="127"/>
      <c r="W86" s="127"/>
      <c r="X86" s="127"/>
      <c r="Y86" s="127"/>
      <c r="Z86" s="127"/>
      <c r="AB86" s="127"/>
      <c r="AC86" s="127"/>
      <c r="AD86" s="6">
        <v>0</v>
      </c>
      <c r="AF86" s="5" t="s">
        <v>65</v>
      </c>
      <c r="AG86" s="6">
        <v>0.2</v>
      </c>
      <c r="AH86" s="6">
        <v>0.2</v>
      </c>
      <c r="AI86" s="6">
        <v>0.2</v>
      </c>
      <c r="AJ86" s="6">
        <v>0.2</v>
      </c>
      <c r="AK86" s="6">
        <v>0</v>
      </c>
      <c r="AL86" s="6">
        <v>0</v>
      </c>
    </row>
    <row r="87" spans="3:38">
      <c r="C87" s="5" t="s">
        <v>77</v>
      </c>
      <c r="D87" s="104">
        <v>0.09</v>
      </c>
      <c r="E87" s="104">
        <v>0.09</v>
      </c>
      <c r="F87" s="104">
        <v>0.09</v>
      </c>
      <c r="G87" s="104">
        <v>0.09</v>
      </c>
      <c r="H87" s="104">
        <v>0.09</v>
      </c>
      <c r="I87" s="104">
        <v>0.09</v>
      </c>
      <c r="J87" s="104">
        <v>0.09</v>
      </c>
      <c r="K87" s="104">
        <v>0.09</v>
      </c>
      <c r="L87" s="104">
        <v>0.09</v>
      </c>
      <c r="M87" s="128">
        <f t="shared" si="13"/>
        <v>0.09</v>
      </c>
      <c r="N87" s="128">
        <f t="shared" si="14"/>
        <v>0.09</v>
      </c>
      <c r="O87" s="128">
        <f t="shared" si="15"/>
        <v>0.09</v>
      </c>
      <c r="P87" s="128">
        <f t="shared" si="19"/>
        <v>0.09</v>
      </c>
      <c r="Q87" s="128">
        <f t="shared" si="20"/>
        <v>0.09</v>
      </c>
      <c r="R87" s="128">
        <f t="shared" si="21"/>
        <v>0.09</v>
      </c>
      <c r="S87" s="127">
        <v>0.09</v>
      </c>
      <c r="T87" s="104"/>
      <c r="U87" s="127"/>
      <c r="V87" s="127"/>
      <c r="W87" s="127"/>
      <c r="X87" s="127"/>
      <c r="Y87" s="127"/>
      <c r="Z87" s="127"/>
      <c r="AB87" s="127"/>
      <c r="AC87" s="127"/>
      <c r="AD87" s="6">
        <v>0.2</v>
      </c>
      <c r="AF87" s="5" t="s">
        <v>66</v>
      </c>
      <c r="AG87" s="6">
        <v>0.2</v>
      </c>
      <c r="AH87" s="6">
        <v>0.2</v>
      </c>
      <c r="AI87" s="6">
        <v>0.2</v>
      </c>
      <c r="AJ87" s="6">
        <v>0.2</v>
      </c>
      <c r="AK87" s="6">
        <v>0.2</v>
      </c>
      <c r="AL87" s="6">
        <v>0.2</v>
      </c>
    </row>
    <row r="88" spans="3:38">
      <c r="C88" s="5" t="s">
        <v>440</v>
      </c>
      <c r="D88" s="104"/>
      <c r="E88" s="104"/>
      <c r="F88" s="104"/>
      <c r="G88" s="104"/>
      <c r="H88" s="104"/>
      <c r="I88" s="104"/>
      <c r="J88" s="104"/>
      <c r="K88" s="104">
        <v>0.3</v>
      </c>
      <c r="L88" s="104">
        <v>0.3</v>
      </c>
      <c r="M88" s="128">
        <f t="shared" si="13"/>
        <v>0.31</v>
      </c>
      <c r="N88" s="128">
        <f t="shared" si="14"/>
        <v>0.31</v>
      </c>
      <c r="O88" s="128">
        <f t="shared" si="15"/>
        <v>0.31</v>
      </c>
      <c r="P88" s="128">
        <f t="shared" si="19"/>
        <v>0.31</v>
      </c>
      <c r="Q88" s="128">
        <f t="shared" si="20"/>
        <v>0.31</v>
      </c>
      <c r="R88" s="128">
        <f t="shared" si="21"/>
        <v>0.31</v>
      </c>
      <c r="S88" s="127">
        <v>0.3</v>
      </c>
      <c r="T88" s="104"/>
      <c r="U88" s="127"/>
      <c r="V88" s="127"/>
      <c r="W88" s="127"/>
      <c r="X88" s="127"/>
      <c r="Y88" s="127"/>
      <c r="Z88" s="127"/>
      <c r="AB88" s="127"/>
      <c r="AC88" s="127"/>
      <c r="AD88" s="6">
        <v>0.2</v>
      </c>
      <c r="AF88" s="5" t="s">
        <v>67</v>
      </c>
      <c r="AG88" s="6">
        <v>0.2</v>
      </c>
      <c r="AH88" s="6">
        <v>0.2</v>
      </c>
      <c r="AI88" s="6">
        <v>0.2</v>
      </c>
      <c r="AJ88" s="6">
        <v>0.2</v>
      </c>
      <c r="AK88" s="6">
        <v>0.2</v>
      </c>
      <c r="AL88" s="6">
        <v>0.2</v>
      </c>
    </row>
    <row r="89" spans="3:38">
      <c r="C89" s="5" t="s">
        <v>78</v>
      </c>
      <c r="D89" s="104">
        <v>0.32</v>
      </c>
      <c r="E89" s="104">
        <v>0.32</v>
      </c>
      <c r="F89" s="104">
        <v>0.32</v>
      </c>
      <c r="G89" s="104">
        <v>0.32</v>
      </c>
      <c r="H89" s="104">
        <v>0.32</v>
      </c>
      <c r="I89" s="104">
        <v>0.32</v>
      </c>
      <c r="J89" s="104">
        <v>0.32</v>
      </c>
      <c r="K89" s="104">
        <v>0.32</v>
      </c>
      <c r="L89" s="104">
        <v>0.32</v>
      </c>
      <c r="M89" s="128">
        <f t="shared" si="13"/>
        <v>0.32</v>
      </c>
      <c r="N89" s="128">
        <f t="shared" si="14"/>
        <v>0.32</v>
      </c>
      <c r="O89" s="128">
        <f t="shared" si="15"/>
        <v>0.32</v>
      </c>
      <c r="P89" s="128">
        <f t="shared" si="19"/>
        <v>0.32</v>
      </c>
      <c r="Q89" s="128">
        <f t="shared" si="20"/>
        <v>0.32</v>
      </c>
      <c r="R89" s="128">
        <f t="shared" si="21"/>
        <v>0.32</v>
      </c>
      <c r="S89" s="127">
        <v>0.32</v>
      </c>
      <c r="T89" s="104"/>
      <c r="U89" s="127"/>
      <c r="V89" s="127"/>
      <c r="W89" s="127"/>
      <c r="X89" s="127"/>
      <c r="Y89" s="127"/>
      <c r="Z89" s="127"/>
      <c r="AB89" s="127"/>
      <c r="AC89" s="127"/>
      <c r="AD89" s="6">
        <v>0.3</v>
      </c>
      <c r="AF89" s="5" t="s">
        <v>433</v>
      </c>
      <c r="AG89" s="6">
        <v>0.3</v>
      </c>
      <c r="AH89" s="6">
        <v>0.3</v>
      </c>
      <c r="AI89" s="6">
        <v>0.3</v>
      </c>
      <c r="AJ89" s="6">
        <v>0.3</v>
      </c>
      <c r="AK89" s="6">
        <v>0.3</v>
      </c>
      <c r="AL89" s="6">
        <v>0.3</v>
      </c>
    </row>
    <row r="90" spans="3:38">
      <c r="C90" s="5" t="s">
        <v>441</v>
      </c>
      <c r="D90" s="104"/>
      <c r="E90" s="104"/>
      <c r="F90" s="104"/>
      <c r="G90" s="104"/>
      <c r="H90" s="104"/>
      <c r="I90" s="104">
        <v>0.34</v>
      </c>
      <c r="J90" s="104">
        <v>0.34</v>
      </c>
      <c r="K90" s="104">
        <v>0.33</v>
      </c>
      <c r="L90" s="104">
        <v>0.33</v>
      </c>
      <c r="M90" s="128">
        <f t="shared" si="13"/>
        <v>0.33</v>
      </c>
      <c r="N90" s="128">
        <f t="shared" si="14"/>
        <v>0.32</v>
      </c>
      <c r="O90" s="128">
        <f t="shared" si="15"/>
        <v>0.32</v>
      </c>
      <c r="P90" s="128">
        <f t="shared" si="19"/>
        <v>0.32</v>
      </c>
      <c r="Q90" s="128">
        <f t="shared" si="20"/>
        <v>0.32</v>
      </c>
      <c r="R90" s="128">
        <f t="shared" si="21"/>
        <v>0.32</v>
      </c>
      <c r="S90" s="127">
        <v>0.33</v>
      </c>
      <c r="T90" s="104"/>
      <c r="U90" s="127"/>
      <c r="V90" s="127"/>
      <c r="W90" s="127"/>
      <c r="X90" s="127"/>
      <c r="Y90" s="127"/>
      <c r="Z90" s="127"/>
      <c r="AB90" s="127"/>
      <c r="AC90" s="127"/>
      <c r="AD90" s="6">
        <v>0.25</v>
      </c>
      <c r="AF90" s="5" t="s">
        <v>434</v>
      </c>
      <c r="AG90" s="6">
        <v>0.24199999999999999</v>
      </c>
      <c r="AH90" s="6">
        <v>0.24199999999999999</v>
      </c>
      <c r="AI90" s="6">
        <v>0.22</v>
      </c>
      <c r="AJ90" s="6">
        <v>0.25</v>
      </c>
      <c r="AK90" s="6">
        <v>0.25</v>
      </c>
      <c r="AL90" s="6">
        <v>0.25</v>
      </c>
    </row>
    <row r="91" spans="3:38">
      <c r="C91" s="5" t="s">
        <v>79</v>
      </c>
      <c r="D91" s="104">
        <v>0.29600000000000004</v>
      </c>
      <c r="E91" s="104">
        <v>0.255</v>
      </c>
      <c r="F91" s="104">
        <v>0.255</v>
      </c>
      <c r="G91" s="104">
        <v>0.255</v>
      </c>
      <c r="H91" s="104">
        <v>0.255</v>
      </c>
      <c r="I91" s="104">
        <v>0.25</v>
      </c>
      <c r="J91" s="104">
        <v>0.25</v>
      </c>
      <c r="K91" s="104">
        <v>0.25</v>
      </c>
      <c r="L91" s="104">
        <v>0.25</v>
      </c>
      <c r="M91" s="128">
        <f t="shared" si="13"/>
        <v>0.25</v>
      </c>
      <c r="N91" s="128">
        <f t="shared" si="14"/>
        <v>0.25</v>
      </c>
      <c r="O91" s="128">
        <f t="shared" si="15"/>
        <v>0.25</v>
      </c>
      <c r="P91" s="128">
        <f t="shared" si="19"/>
        <v>0.25</v>
      </c>
      <c r="Q91" s="128">
        <f t="shared" si="20"/>
        <v>0.25</v>
      </c>
      <c r="R91" s="128">
        <f t="shared" si="21"/>
        <v>0.25</v>
      </c>
      <c r="S91" s="127">
        <v>0.25</v>
      </c>
      <c r="T91" s="104"/>
      <c r="U91" s="127"/>
      <c r="V91" s="127"/>
      <c r="W91" s="127"/>
      <c r="X91" s="127"/>
      <c r="Y91" s="127"/>
      <c r="Z91" s="127"/>
      <c r="AB91" s="127"/>
      <c r="AC91" s="127"/>
      <c r="AD91" s="6">
        <v>0.15</v>
      </c>
      <c r="AF91" s="5" t="s">
        <v>68</v>
      </c>
      <c r="AG91" s="6">
        <v>0.15</v>
      </c>
      <c r="AH91" s="6">
        <v>0.15</v>
      </c>
      <c r="AI91" s="6">
        <v>0.15</v>
      </c>
      <c r="AJ91" s="6">
        <v>0.15</v>
      </c>
      <c r="AK91" s="6">
        <v>0.15</v>
      </c>
      <c r="AL91" s="6">
        <v>0.15</v>
      </c>
    </row>
    <row r="92" spans="3:38">
      <c r="C92" s="5" t="s">
        <v>80</v>
      </c>
      <c r="D92" s="104">
        <v>0.33</v>
      </c>
      <c r="E92" s="104">
        <v>0.33</v>
      </c>
      <c r="F92" s="104">
        <v>0.3</v>
      </c>
      <c r="G92" s="104">
        <v>0.3</v>
      </c>
      <c r="H92" s="104">
        <v>0.3</v>
      </c>
      <c r="I92" s="104">
        <v>0.28000000000000003</v>
      </c>
      <c r="J92" s="104">
        <v>0.28000000000000003</v>
      </c>
      <c r="K92" s="104">
        <v>0.28000000000000003</v>
      </c>
      <c r="L92" s="104">
        <v>0.28000000000000003</v>
      </c>
      <c r="M92" s="128">
        <f t="shared" si="13"/>
        <v>0.28000000000000003</v>
      </c>
      <c r="N92" s="128">
        <f t="shared" si="14"/>
        <v>0.28000000000000003</v>
      </c>
      <c r="O92" s="128">
        <f t="shared" si="15"/>
        <v>0.28000000000000003</v>
      </c>
      <c r="P92" s="128">
        <f t="shared" si="19"/>
        <v>0.28000000000000003</v>
      </c>
      <c r="Q92" s="128">
        <f t="shared" si="20"/>
        <v>0.28000000000000003</v>
      </c>
      <c r="R92" s="128">
        <f t="shared" si="21"/>
        <v>0.28000000000000003</v>
      </c>
      <c r="S92" s="127">
        <v>0.28000000000000003</v>
      </c>
      <c r="T92" s="104"/>
      <c r="U92" s="127"/>
      <c r="V92" s="127"/>
      <c r="W92" s="127"/>
      <c r="X92" s="127"/>
      <c r="Y92" s="127"/>
      <c r="Z92" s="127"/>
      <c r="AB92" s="127"/>
      <c r="AC92" s="127"/>
      <c r="AD92" s="6">
        <v>0.1</v>
      </c>
      <c r="AF92" s="5" t="s">
        <v>3833</v>
      </c>
      <c r="AG92" s="6">
        <v>0</v>
      </c>
      <c r="AH92" s="6">
        <v>0</v>
      </c>
      <c r="AI92" s="6">
        <v>0.1</v>
      </c>
      <c r="AJ92" s="6">
        <v>0.1</v>
      </c>
      <c r="AK92" s="6">
        <v>0.1</v>
      </c>
      <c r="AL92" s="6">
        <v>0.1</v>
      </c>
    </row>
    <row r="93" spans="3:38">
      <c r="C93" s="5" t="s">
        <v>81</v>
      </c>
      <c r="D93" s="104">
        <v>0.3</v>
      </c>
      <c r="E93" s="104">
        <v>0.3</v>
      </c>
      <c r="F93" s="104">
        <v>0.3</v>
      </c>
      <c r="G93" s="104">
        <v>0.3</v>
      </c>
      <c r="H93" s="104">
        <v>0.3</v>
      </c>
      <c r="I93" s="104">
        <v>0.3</v>
      </c>
      <c r="J93" s="104">
        <v>0.3</v>
      </c>
      <c r="K93" s="104">
        <v>0.3</v>
      </c>
      <c r="L93" s="104">
        <v>0.3</v>
      </c>
      <c r="M93" s="128">
        <f t="shared" si="13"/>
        <v>0.3</v>
      </c>
      <c r="N93" s="128">
        <f t="shared" si="14"/>
        <v>0.3</v>
      </c>
      <c r="O93" s="128">
        <f t="shared" si="15"/>
        <v>0.3</v>
      </c>
      <c r="P93" s="128">
        <f t="shared" si="19"/>
        <v>0.3</v>
      </c>
      <c r="Q93" s="128">
        <f t="shared" si="20"/>
        <v>0.3</v>
      </c>
      <c r="R93" s="128">
        <f t="shared" si="21"/>
        <v>0.3</v>
      </c>
      <c r="S93" s="127">
        <v>0.3</v>
      </c>
      <c r="T93" s="104"/>
      <c r="U93" s="127"/>
      <c r="V93" s="127"/>
      <c r="W93" s="127"/>
      <c r="X93" s="127"/>
      <c r="Y93" s="127"/>
      <c r="Z93" s="127"/>
      <c r="AB93" s="127"/>
      <c r="AC93" s="127"/>
      <c r="AD93" s="6">
        <v>0.2</v>
      </c>
      <c r="AF93" s="5" t="s">
        <v>69</v>
      </c>
      <c r="AG93" s="6">
        <v>0.15</v>
      </c>
      <c r="AH93" s="6">
        <v>0.15</v>
      </c>
      <c r="AI93" s="6">
        <v>0.15</v>
      </c>
      <c r="AJ93" s="6">
        <v>0.2</v>
      </c>
      <c r="AK93" s="6">
        <v>0.2</v>
      </c>
      <c r="AL93" s="6">
        <v>0.2</v>
      </c>
    </row>
    <row r="94" spans="3:38">
      <c r="C94" s="5" t="s">
        <v>82</v>
      </c>
      <c r="D94" s="104">
        <v>0.28000000000000003</v>
      </c>
      <c r="E94" s="104">
        <v>0.28000000000000003</v>
      </c>
      <c r="F94" s="104">
        <v>0.28000000000000003</v>
      </c>
      <c r="G94" s="104">
        <v>0.28000000000000003</v>
      </c>
      <c r="H94" s="104">
        <v>0.28000000000000003</v>
      </c>
      <c r="I94" s="104">
        <v>0.28000000000000003</v>
      </c>
      <c r="J94" s="104">
        <v>0.28000000000000003</v>
      </c>
      <c r="K94" s="104">
        <v>0.28000000000000003</v>
      </c>
      <c r="L94" s="104">
        <v>0.27</v>
      </c>
      <c r="M94" s="128">
        <f t="shared" si="13"/>
        <v>0.27</v>
      </c>
      <c r="N94" s="128">
        <f t="shared" si="14"/>
        <v>0.25</v>
      </c>
      <c r="O94" s="128">
        <f t="shared" si="15"/>
        <v>0.24</v>
      </c>
      <c r="P94" s="128">
        <f t="shared" si="19"/>
        <v>0.23</v>
      </c>
      <c r="Q94" s="128">
        <f t="shared" si="20"/>
        <v>0.22</v>
      </c>
      <c r="R94" s="128">
        <f t="shared" si="21"/>
        <v>0.22</v>
      </c>
      <c r="S94" s="127">
        <v>0.27</v>
      </c>
      <c r="T94" s="104"/>
      <c r="U94" s="127"/>
      <c r="V94" s="127"/>
      <c r="W94" s="127"/>
      <c r="X94" s="127"/>
      <c r="Y94" s="127"/>
      <c r="Z94" s="127"/>
      <c r="AB94" s="127"/>
      <c r="AC94" s="127"/>
      <c r="AD94" s="6">
        <v>0.17</v>
      </c>
      <c r="AF94" s="5" t="s">
        <v>435</v>
      </c>
      <c r="AG94" s="6">
        <v>0.15</v>
      </c>
      <c r="AH94" s="6">
        <v>0.15</v>
      </c>
      <c r="AI94" s="6">
        <v>0.15</v>
      </c>
      <c r="AJ94" s="6">
        <v>0.15</v>
      </c>
      <c r="AK94" s="6">
        <v>0.17</v>
      </c>
      <c r="AL94" s="6">
        <v>0.17</v>
      </c>
    </row>
    <row r="95" spans="3:38">
      <c r="C95" s="5" t="s">
        <v>83</v>
      </c>
      <c r="D95" s="104">
        <v>0.12</v>
      </c>
      <c r="E95" s="104">
        <v>0.12</v>
      </c>
      <c r="F95" s="104">
        <v>0.12</v>
      </c>
      <c r="G95" s="104">
        <v>0.12</v>
      </c>
      <c r="H95" s="104">
        <v>0.12</v>
      </c>
      <c r="I95" s="104">
        <v>0.12</v>
      </c>
      <c r="J95" s="104">
        <v>0.12</v>
      </c>
      <c r="K95" s="104">
        <v>0.12</v>
      </c>
      <c r="L95" s="104">
        <v>0.12</v>
      </c>
      <c r="M95" s="128">
        <f t="shared" si="13"/>
        <v>0.12</v>
      </c>
      <c r="N95" s="128">
        <f t="shared" si="14"/>
        <v>0.12</v>
      </c>
      <c r="O95" s="128">
        <f t="shared" si="15"/>
        <v>0.15</v>
      </c>
      <c r="P95" s="128">
        <f t="shared" si="19"/>
        <v>0.15</v>
      </c>
      <c r="Q95" s="128">
        <f t="shared" si="20"/>
        <v>0.15</v>
      </c>
      <c r="R95" s="128">
        <f t="shared" si="21"/>
        <v>0.15</v>
      </c>
      <c r="S95" s="127">
        <v>0.12</v>
      </c>
      <c r="T95" s="104"/>
      <c r="U95" s="127"/>
      <c r="V95" s="127"/>
      <c r="W95" s="127"/>
      <c r="X95" s="127"/>
      <c r="Y95" s="127"/>
      <c r="Z95" s="127"/>
      <c r="AB95" s="127"/>
      <c r="AC95" s="127"/>
      <c r="AD95" s="6">
        <v>0.2</v>
      </c>
      <c r="AF95" s="5" t="s">
        <v>70</v>
      </c>
      <c r="AG95" s="6">
        <v>0.2</v>
      </c>
      <c r="AH95" s="6">
        <v>0.2</v>
      </c>
      <c r="AI95" s="6">
        <v>0.2</v>
      </c>
      <c r="AJ95" s="6">
        <v>0.2</v>
      </c>
      <c r="AK95" s="6">
        <v>0.2</v>
      </c>
      <c r="AL95" s="6">
        <v>0.2</v>
      </c>
    </row>
    <row r="96" spans="3:38">
      <c r="C96" s="5" t="s">
        <v>84</v>
      </c>
      <c r="D96" s="104">
        <v>0.35</v>
      </c>
      <c r="E96" s="104">
        <v>0.35</v>
      </c>
      <c r="F96" s="104">
        <v>0.35</v>
      </c>
      <c r="G96" s="104">
        <v>0.35</v>
      </c>
      <c r="H96" s="104">
        <v>0.35</v>
      </c>
      <c r="I96" s="104">
        <v>0.35</v>
      </c>
      <c r="J96" s="104">
        <v>0.35</v>
      </c>
      <c r="K96" s="104">
        <v>0.35</v>
      </c>
      <c r="L96" s="104">
        <v>0.34</v>
      </c>
      <c r="M96" s="128">
        <f t="shared" si="13"/>
        <v>0.33</v>
      </c>
      <c r="N96" s="128">
        <f t="shared" si="14"/>
        <v>0.32</v>
      </c>
      <c r="O96" s="128">
        <f t="shared" si="15"/>
        <v>0.31</v>
      </c>
      <c r="P96" s="128">
        <f t="shared" si="19"/>
        <v>0.3</v>
      </c>
      <c r="Q96" s="128">
        <f t="shared" si="20"/>
        <v>0.3</v>
      </c>
      <c r="R96" s="128">
        <f t="shared" si="21"/>
        <v>0.35</v>
      </c>
      <c r="S96" s="127">
        <v>0.34</v>
      </c>
      <c r="T96" s="104"/>
      <c r="U96" s="127"/>
      <c r="V96" s="127"/>
      <c r="W96" s="127"/>
      <c r="X96" s="127"/>
      <c r="Y96" s="127"/>
      <c r="Z96" s="127"/>
      <c r="AB96" s="127"/>
      <c r="AC96" s="127"/>
      <c r="AD96" s="6">
        <v>0.125</v>
      </c>
      <c r="AF96" s="5" t="s">
        <v>436</v>
      </c>
      <c r="AG96" s="6">
        <v>0.125</v>
      </c>
      <c r="AH96" s="6">
        <v>0.125</v>
      </c>
      <c r="AI96" s="6">
        <v>0.125</v>
      </c>
      <c r="AJ96" s="6">
        <v>0.125</v>
      </c>
      <c r="AK96" s="6">
        <v>0.125</v>
      </c>
      <c r="AL96" s="6">
        <v>0.125</v>
      </c>
    </row>
    <row r="97" spans="3:38">
      <c r="C97" s="5" t="s">
        <v>85</v>
      </c>
      <c r="D97" s="104">
        <v>0.3</v>
      </c>
      <c r="E97" s="104">
        <v>0.3</v>
      </c>
      <c r="F97" s="104">
        <v>0.3</v>
      </c>
      <c r="G97" s="104">
        <v>0.3</v>
      </c>
      <c r="H97" s="104">
        <v>0.27500000000000002</v>
      </c>
      <c r="I97" s="104">
        <v>0.25</v>
      </c>
      <c r="J97" s="104">
        <v>0.25</v>
      </c>
      <c r="K97" s="104">
        <v>0.25</v>
      </c>
      <c r="L97" s="104">
        <v>0.25</v>
      </c>
      <c r="M97" s="128">
        <f t="shared" si="13"/>
        <v>0.25</v>
      </c>
      <c r="N97" s="128">
        <f t="shared" si="14"/>
        <v>0.25</v>
      </c>
      <c r="O97" s="128">
        <f t="shared" si="15"/>
        <v>0.25</v>
      </c>
      <c r="P97" s="128">
        <f t="shared" si="19"/>
        <v>0.25</v>
      </c>
      <c r="Q97" s="128">
        <f t="shared" si="20"/>
        <v>0.25</v>
      </c>
      <c r="R97" s="128">
        <f t="shared" si="21"/>
        <v>0.25</v>
      </c>
      <c r="S97" s="127">
        <v>0.25</v>
      </c>
      <c r="T97" s="104"/>
      <c r="U97" s="127"/>
      <c r="V97" s="127"/>
      <c r="W97" s="127"/>
      <c r="X97" s="127"/>
      <c r="Y97" s="127"/>
      <c r="Z97" s="127"/>
      <c r="AB97" s="127"/>
      <c r="AC97" s="127"/>
      <c r="AD97" s="6">
        <v>0.15</v>
      </c>
      <c r="AF97" s="5" t="s">
        <v>71</v>
      </c>
      <c r="AG97" s="6">
        <v>0.15</v>
      </c>
      <c r="AH97" s="6">
        <v>0.15</v>
      </c>
      <c r="AI97" s="6">
        <v>0.15</v>
      </c>
      <c r="AJ97" s="6">
        <v>0.15</v>
      </c>
      <c r="AK97" s="6">
        <v>0.15</v>
      </c>
      <c r="AL97" s="6">
        <v>0.15</v>
      </c>
    </row>
    <row r="98" spans="3:38">
      <c r="C98" s="5" t="s">
        <v>86</v>
      </c>
      <c r="D98" s="104">
        <v>0.3</v>
      </c>
      <c r="E98" s="104">
        <v>0.3</v>
      </c>
      <c r="F98" s="104">
        <v>0.3</v>
      </c>
      <c r="G98" s="104">
        <v>0.3</v>
      </c>
      <c r="H98" s="104">
        <v>0.3</v>
      </c>
      <c r="I98" s="104">
        <v>0.3</v>
      </c>
      <c r="J98" s="104">
        <v>0.3</v>
      </c>
      <c r="K98" s="104">
        <v>0.3</v>
      </c>
      <c r="L98" s="104">
        <v>0.3</v>
      </c>
      <c r="M98" s="128">
        <f t="shared" si="13"/>
        <v>0.3</v>
      </c>
      <c r="N98" s="128">
        <f t="shared" si="14"/>
        <v>0.3</v>
      </c>
      <c r="O98" s="128">
        <f t="shared" si="15"/>
        <v>0.3</v>
      </c>
      <c r="P98" s="128">
        <f t="shared" si="19"/>
        <v>0.3</v>
      </c>
      <c r="Q98" s="128">
        <f t="shared" si="20"/>
        <v>0.3</v>
      </c>
      <c r="R98" s="128">
        <f t="shared" si="21"/>
        <v>0.3</v>
      </c>
      <c r="S98" s="127">
        <v>0.3</v>
      </c>
      <c r="T98" s="104"/>
      <c r="U98" s="127"/>
      <c r="V98" s="127"/>
      <c r="W98" s="127"/>
      <c r="X98" s="127"/>
      <c r="Y98" s="127"/>
      <c r="Z98" s="127"/>
      <c r="AB98" s="127"/>
      <c r="AC98" s="127"/>
      <c r="AD98" s="6">
        <v>0.24940000000000001</v>
      </c>
      <c r="AF98" s="5" t="s">
        <v>72</v>
      </c>
      <c r="AG98" s="6">
        <v>0.29220000000000002</v>
      </c>
      <c r="AH98" s="6">
        <v>0.29220000000000002</v>
      </c>
      <c r="AI98" s="6">
        <v>0.27079999999999999</v>
      </c>
      <c r="AJ98" s="6">
        <v>0.2601</v>
      </c>
      <c r="AK98" s="6">
        <v>0.24940000000000001</v>
      </c>
      <c r="AL98" s="6">
        <v>0.24940000000000001</v>
      </c>
    </row>
    <row r="99" spans="3:38">
      <c r="C99" s="5" t="s">
        <v>87</v>
      </c>
      <c r="D99" s="104">
        <v>0.1</v>
      </c>
      <c r="E99" s="104">
        <v>0.1</v>
      </c>
      <c r="F99" s="104">
        <v>0.1</v>
      </c>
      <c r="G99" s="104">
        <v>0.1</v>
      </c>
      <c r="H99" s="104">
        <v>0.1</v>
      </c>
      <c r="I99" s="104">
        <v>0.1</v>
      </c>
      <c r="J99" s="104">
        <v>0.1</v>
      </c>
      <c r="K99" s="104">
        <v>0.1</v>
      </c>
      <c r="L99" s="104">
        <v>0.1</v>
      </c>
      <c r="M99" s="128">
        <f t="shared" si="13"/>
        <v>0.1</v>
      </c>
      <c r="N99" s="128">
        <f t="shared" si="14"/>
        <v>0.1</v>
      </c>
      <c r="O99" s="128">
        <f t="shared" si="15"/>
        <v>0.1</v>
      </c>
      <c r="P99" s="128">
        <f t="shared" si="19"/>
        <v>0.1</v>
      </c>
      <c r="Q99" s="128">
        <f t="shared" si="20"/>
        <v>0.1</v>
      </c>
      <c r="R99" s="128">
        <f t="shared" si="21"/>
        <v>0.1</v>
      </c>
      <c r="S99" s="127">
        <v>0.1</v>
      </c>
      <c r="T99" s="104"/>
      <c r="U99" s="127"/>
      <c r="V99" s="127"/>
      <c r="W99" s="127"/>
      <c r="X99" s="127"/>
      <c r="Y99" s="127"/>
      <c r="Z99" s="127"/>
      <c r="AB99" s="127"/>
      <c r="AC99" s="127"/>
      <c r="AD99" s="6">
        <v>0.12</v>
      </c>
      <c r="AF99" s="5" t="s">
        <v>3834</v>
      </c>
      <c r="AG99" s="6">
        <v>0.12</v>
      </c>
      <c r="AH99" s="6">
        <v>0.12</v>
      </c>
      <c r="AI99" s="6">
        <v>0.12</v>
      </c>
      <c r="AJ99" s="6">
        <v>0.12</v>
      </c>
      <c r="AK99" s="6">
        <v>0.12</v>
      </c>
      <c r="AL99" s="6">
        <v>0.12</v>
      </c>
    </row>
    <row r="100" spans="3:38">
      <c r="C100" s="5" t="s">
        <v>88</v>
      </c>
      <c r="D100" s="104">
        <v>0.3</v>
      </c>
      <c r="E100" s="104">
        <v>0.3</v>
      </c>
      <c r="F100" s="104">
        <v>0.3</v>
      </c>
      <c r="G100" s="104">
        <v>0.3</v>
      </c>
      <c r="H100" s="104">
        <v>0.3</v>
      </c>
      <c r="I100" s="104">
        <v>0.3</v>
      </c>
      <c r="J100" s="104">
        <v>0.3</v>
      </c>
      <c r="K100" s="104">
        <v>0.3</v>
      </c>
      <c r="L100" s="104">
        <v>0.3</v>
      </c>
      <c r="M100" s="128">
        <f t="shared" si="13"/>
        <v>0.28000000000000003</v>
      </c>
      <c r="N100" s="128">
        <f t="shared" si="14"/>
        <v>0.28000000000000003</v>
      </c>
      <c r="O100" s="128">
        <f t="shared" si="15"/>
        <v>0.29499999999999998</v>
      </c>
      <c r="P100" s="128">
        <f t="shared" si="19"/>
        <v>0.29499999999999998</v>
      </c>
      <c r="Q100" s="128">
        <f t="shared" si="20"/>
        <v>0.29499999999999998</v>
      </c>
      <c r="R100" s="128">
        <f t="shared" si="21"/>
        <v>0.29499999999999998</v>
      </c>
      <c r="S100" s="127">
        <v>0.3</v>
      </c>
      <c r="T100" s="104"/>
      <c r="U100" s="127"/>
      <c r="V100" s="127"/>
      <c r="W100" s="127"/>
      <c r="X100" s="127"/>
      <c r="Y100" s="127"/>
      <c r="Z100" s="127"/>
      <c r="AB100" s="127"/>
      <c r="AC100" s="127"/>
      <c r="AD100" s="6">
        <v>0.1</v>
      </c>
      <c r="AF100" s="5" t="s">
        <v>3835</v>
      </c>
      <c r="AG100" s="6">
        <v>0.1</v>
      </c>
      <c r="AH100" s="6">
        <v>0.1</v>
      </c>
      <c r="AI100" s="6">
        <v>0.1</v>
      </c>
      <c r="AJ100" s="6">
        <v>0.1</v>
      </c>
      <c r="AK100" s="6">
        <v>0.1</v>
      </c>
      <c r="AL100" s="6">
        <v>0.1</v>
      </c>
    </row>
    <row r="101" spans="3:38">
      <c r="C101" s="5" t="s">
        <v>89</v>
      </c>
      <c r="D101" s="104">
        <v>0.35</v>
      </c>
      <c r="E101" s="104">
        <v>0.35</v>
      </c>
      <c r="F101" s="104">
        <v>0.35</v>
      </c>
      <c r="G101" s="104">
        <v>0.3</v>
      </c>
      <c r="H101" s="104">
        <v>0.3</v>
      </c>
      <c r="I101" s="104">
        <v>0.3</v>
      </c>
      <c r="J101" s="104">
        <v>0.3</v>
      </c>
      <c r="K101" s="104">
        <v>0.3</v>
      </c>
      <c r="L101" s="104">
        <v>0.3</v>
      </c>
      <c r="M101" s="128">
        <f t="shared" si="13"/>
        <v>0.3</v>
      </c>
      <c r="N101" s="128">
        <f t="shared" si="14"/>
        <v>0.3</v>
      </c>
      <c r="O101" s="128">
        <f t="shared" si="15"/>
        <v>0.3</v>
      </c>
      <c r="P101" s="128">
        <f t="shared" si="19"/>
        <v>0.3</v>
      </c>
      <c r="Q101" s="128">
        <f t="shared" si="20"/>
        <v>0.3</v>
      </c>
      <c r="R101" s="128">
        <f t="shared" si="21"/>
        <v>0.3</v>
      </c>
      <c r="S101" s="127">
        <v>0.3</v>
      </c>
      <c r="T101" s="104"/>
      <c r="U101" s="127"/>
      <c r="V101" s="127"/>
      <c r="W101" s="127"/>
      <c r="X101" s="127"/>
      <c r="Y101" s="127"/>
      <c r="Z101" s="127"/>
      <c r="AB101" s="127"/>
      <c r="AC101" s="127"/>
      <c r="AD101" s="6">
        <v>0.2</v>
      </c>
      <c r="AF101" s="5" t="s">
        <v>3836</v>
      </c>
      <c r="AG101" s="6">
        <v>0</v>
      </c>
      <c r="AH101" s="6">
        <v>0</v>
      </c>
      <c r="AI101" s="6">
        <v>0.2</v>
      </c>
      <c r="AJ101" s="6">
        <v>0.2</v>
      </c>
      <c r="AK101" s="6">
        <v>0.2</v>
      </c>
      <c r="AL101" s="6">
        <v>0.2</v>
      </c>
    </row>
    <row r="102" spans="3:38">
      <c r="C102" s="5" t="s">
        <v>90</v>
      </c>
      <c r="D102" s="104">
        <v>0.19</v>
      </c>
      <c r="E102" s="104">
        <v>0.19</v>
      </c>
      <c r="F102" s="104">
        <v>0.19</v>
      </c>
      <c r="G102" s="104">
        <v>0.19</v>
      </c>
      <c r="H102" s="104">
        <v>0.19</v>
      </c>
      <c r="I102" s="104">
        <v>0.19</v>
      </c>
      <c r="J102" s="104">
        <v>0.19</v>
      </c>
      <c r="K102" s="104">
        <v>0.19</v>
      </c>
      <c r="L102" s="104">
        <v>0.19</v>
      </c>
      <c r="M102" s="128">
        <f t="shared" si="13"/>
        <v>0.19</v>
      </c>
      <c r="N102" s="128">
        <f t="shared" si="14"/>
        <v>0.19</v>
      </c>
      <c r="O102" s="128">
        <f t="shared" si="15"/>
        <v>0.19</v>
      </c>
      <c r="P102" s="128">
        <f t="shared" si="19"/>
        <v>0.19</v>
      </c>
      <c r="Q102" s="128">
        <f t="shared" si="20"/>
        <v>0.19</v>
      </c>
      <c r="R102" s="128">
        <f t="shared" si="21"/>
        <v>0.19</v>
      </c>
      <c r="S102" s="127">
        <v>0.19</v>
      </c>
      <c r="T102" s="104"/>
      <c r="U102" s="127"/>
      <c r="V102" s="127"/>
      <c r="W102" s="127"/>
      <c r="X102" s="127"/>
      <c r="Y102" s="127"/>
      <c r="Z102" s="127"/>
      <c r="AB102" s="127"/>
      <c r="AC102" s="127"/>
      <c r="AD102" s="6">
        <v>0.3</v>
      </c>
      <c r="AF102" s="5" t="s">
        <v>439</v>
      </c>
      <c r="AG102" s="6">
        <v>0.3</v>
      </c>
      <c r="AH102" s="6">
        <v>0.3</v>
      </c>
      <c r="AI102" s="6">
        <v>0.3</v>
      </c>
      <c r="AJ102" s="6">
        <v>0.3</v>
      </c>
      <c r="AK102" s="6">
        <v>0.3</v>
      </c>
      <c r="AL102" s="6">
        <v>0.3</v>
      </c>
    </row>
    <row r="103" spans="3:38">
      <c r="C103" s="5" t="s">
        <v>91</v>
      </c>
      <c r="D103" s="104">
        <v>0.27500000000000002</v>
      </c>
      <c r="E103" s="104">
        <v>0.25</v>
      </c>
      <c r="F103" s="104">
        <v>0.25</v>
      </c>
      <c r="G103" s="104">
        <v>0.25</v>
      </c>
      <c r="H103" s="104">
        <v>0.25</v>
      </c>
      <c r="I103" s="104">
        <v>0.25</v>
      </c>
      <c r="J103" s="104">
        <v>0.25</v>
      </c>
      <c r="K103" s="104">
        <v>0.25</v>
      </c>
      <c r="L103" s="104">
        <v>0.23</v>
      </c>
      <c r="M103" s="128">
        <f t="shared" si="13"/>
        <v>0.21</v>
      </c>
      <c r="N103" s="128">
        <f t="shared" si="14"/>
        <v>0.21</v>
      </c>
      <c r="O103" s="128">
        <f t="shared" si="15"/>
        <v>0.21</v>
      </c>
      <c r="P103" s="128">
        <f t="shared" si="19"/>
        <v>0.21</v>
      </c>
      <c r="Q103" s="128">
        <f t="shared" si="20"/>
        <v>0.21</v>
      </c>
      <c r="R103" s="128">
        <f t="shared" si="21"/>
        <v>0.21</v>
      </c>
      <c r="S103" s="127">
        <v>0.23</v>
      </c>
      <c r="T103" s="104"/>
      <c r="U103" s="127"/>
      <c r="V103" s="127"/>
      <c r="W103" s="127"/>
      <c r="X103" s="127"/>
      <c r="Y103" s="127"/>
      <c r="Z103" s="127"/>
      <c r="AB103" s="127"/>
      <c r="AC103" s="127"/>
      <c r="AD103" s="6">
        <v>0.24</v>
      </c>
      <c r="AF103" s="5" t="s">
        <v>73</v>
      </c>
      <c r="AG103" s="6">
        <v>0.24</v>
      </c>
      <c r="AH103" s="6">
        <v>0.24</v>
      </c>
      <c r="AI103" s="6">
        <v>0.24</v>
      </c>
      <c r="AJ103" s="6">
        <v>0.24</v>
      </c>
      <c r="AK103" s="6">
        <v>0.24</v>
      </c>
      <c r="AL103" s="6">
        <v>0.24</v>
      </c>
    </row>
    <row r="104" spans="3:38">
      <c r="C104" s="5" t="s">
        <v>442</v>
      </c>
      <c r="D104" s="104">
        <v>0.35</v>
      </c>
      <c r="E104" s="104">
        <v>0.35</v>
      </c>
      <c r="F104" s="104">
        <v>0.35</v>
      </c>
      <c r="G104" s="104">
        <v>0.35</v>
      </c>
      <c r="H104" s="104">
        <v>0.1</v>
      </c>
      <c r="I104" s="104">
        <v>0.1</v>
      </c>
      <c r="J104" s="104">
        <v>0.1</v>
      </c>
      <c r="K104" s="104">
        <v>0.1</v>
      </c>
      <c r="L104" s="104">
        <v>0.1</v>
      </c>
      <c r="M104" s="128">
        <f t="shared" si="13"/>
        <v>0.1</v>
      </c>
      <c r="N104" s="128">
        <f t="shared" si="14"/>
        <v>0</v>
      </c>
      <c r="O104" s="128">
        <f t="shared" si="15"/>
        <v>0.1</v>
      </c>
      <c r="P104" s="128">
        <f t="shared" si="19"/>
        <v>0.1</v>
      </c>
      <c r="Q104" s="128">
        <f t="shared" si="20"/>
        <v>0.1</v>
      </c>
      <c r="R104" s="128">
        <f t="shared" si="21"/>
        <v>0.1</v>
      </c>
      <c r="S104" s="127">
        <v>0.1</v>
      </c>
      <c r="T104" s="104"/>
      <c r="U104" s="127"/>
      <c r="V104" s="127"/>
      <c r="W104" s="127"/>
      <c r="X104" s="127"/>
      <c r="Y104" s="127"/>
      <c r="Z104" s="127"/>
      <c r="AB104" s="127"/>
      <c r="AC104" s="127"/>
      <c r="AD104" s="6">
        <v>0.35</v>
      </c>
      <c r="AF104" s="5" t="s">
        <v>74</v>
      </c>
      <c r="AG104" s="6">
        <v>0.35</v>
      </c>
      <c r="AH104" s="6">
        <v>0.35</v>
      </c>
      <c r="AI104" s="6">
        <v>0.35</v>
      </c>
      <c r="AJ104" s="6">
        <v>0.35</v>
      </c>
      <c r="AK104" s="6">
        <v>0.35</v>
      </c>
      <c r="AL104" s="6">
        <v>0.35</v>
      </c>
    </row>
    <row r="105" spans="3:38">
      <c r="C105" s="5" t="s">
        <v>92</v>
      </c>
      <c r="D105" s="104">
        <v>0.16</v>
      </c>
      <c r="E105" s="104">
        <v>0.16</v>
      </c>
      <c r="F105" s="104">
        <v>0.16</v>
      </c>
      <c r="G105" s="104">
        <v>0.16</v>
      </c>
      <c r="H105" s="104">
        <v>0.16</v>
      </c>
      <c r="I105" s="104">
        <v>0.16</v>
      </c>
      <c r="J105" s="104">
        <v>0.16</v>
      </c>
      <c r="K105" s="104">
        <v>0.16</v>
      </c>
      <c r="L105" s="104">
        <v>0.16</v>
      </c>
      <c r="M105" s="128">
        <f t="shared" si="13"/>
        <v>0.16</v>
      </c>
      <c r="N105" s="128">
        <f t="shared" si="14"/>
        <v>0.16</v>
      </c>
      <c r="O105" s="128">
        <f t="shared" si="15"/>
        <v>0.16</v>
      </c>
      <c r="P105" s="128">
        <f t="shared" si="19"/>
        <v>0.16</v>
      </c>
      <c r="Q105" s="128">
        <f t="shared" si="20"/>
        <v>0.16</v>
      </c>
      <c r="R105" s="128">
        <f t="shared" si="21"/>
        <v>0.16</v>
      </c>
      <c r="S105" s="127">
        <v>0.16</v>
      </c>
      <c r="T105" s="104"/>
      <c r="U105" s="127"/>
      <c r="V105" s="127"/>
      <c r="W105" s="127"/>
      <c r="X105" s="127"/>
      <c r="Y105" s="127"/>
      <c r="Z105" s="127"/>
      <c r="AB105" s="127"/>
      <c r="AC105" s="127"/>
      <c r="AD105" s="6">
        <v>0.15</v>
      </c>
      <c r="AF105" s="5" t="s">
        <v>75</v>
      </c>
      <c r="AG105" s="6">
        <v>0.15</v>
      </c>
      <c r="AH105" s="6">
        <v>0.15</v>
      </c>
      <c r="AI105" s="6">
        <v>0.15</v>
      </c>
      <c r="AJ105" s="6">
        <v>0.15</v>
      </c>
      <c r="AK105" s="6">
        <v>0.15</v>
      </c>
      <c r="AL105" s="6">
        <v>0.15</v>
      </c>
    </row>
    <row r="106" spans="3:38">
      <c r="C106" s="5" t="s">
        <v>93</v>
      </c>
      <c r="D106" s="104">
        <v>0.24</v>
      </c>
      <c r="E106" s="104">
        <v>0.24</v>
      </c>
      <c r="F106" s="104">
        <v>0.24</v>
      </c>
      <c r="G106" s="104">
        <v>0.2</v>
      </c>
      <c r="H106" s="104">
        <v>0.2</v>
      </c>
      <c r="I106" s="104">
        <v>0.2</v>
      </c>
      <c r="J106" s="104">
        <v>0.2</v>
      </c>
      <c r="K106" s="104">
        <v>0.2</v>
      </c>
      <c r="L106" s="104">
        <v>0.2</v>
      </c>
      <c r="M106" s="128">
        <f t="shared" si="13"/>
        <v>0.2</v>
      </c>
      <c r="N106" s="128">
        <f t="shared" si="14"/>
        <v>0.2</v>
      </c>
      <c r="O106" s="128">
        <f t="shared" si="15"/>
        <v>0.2</v>
      </c>
      <c r="P106" s="128">
        <f t="shared" si="19"/>
        <v>0.2</v>
      </c>
      <c r="Q106" s="128">
        <f t="shared" si="20"/>
        <v>0.2</v>
      </c>
      <c r="R106" s="128">
        <f t="shared" si="21"/>
        <v>0.2</v>
      </c>
      <c r="S106" s="127">
        <v>0.2</v>
      </c>
      <c r="T106" s="104"/>
      <c r="U106" s="127"/>
      <c r="V106" s="127"/>
      <c r="W106" s="127"/>
      <c r="X106" s="127"/>
      <c r="Y106" s="127"/>
      <c r="Z106" s="127"/>
      <c r="AB106" s="127"/>
      <c r="AC106" s="127"/>
      <c r="AD106" s="6">
        <v>0.3</v>
      </c>
      <c r="AF106" s="5" t="s">
        <v>76</v>
      </c>
      <c r="AG106" s="6">
        <v>0.3</v>
      </c>
      <c r="AH106" s="6">
        <v>0.3</v>
      </c>
      <c r="AI106" s="6">
        <v>0.3</v>
      </c>
      <c r="AJ106" s="6">
        <v>0.3</v>
      </c>
      <c r="AK106" s="6">
        <v>0.3</v>
      </c>
      <c r="AL106" s="6">
        <v>0.3</v>
      </c>
    </row>
    <row r="107" spans="3:38">
      <c r="C107" s="5" t="s">
        <v>443</v>
      </c>
      <c r="D107" s="104">
        <v>0.28999999999999998</v>
      </c>
      <c r="E107" s="104">
        <v>0.27</v>
      </c>
      <c r="F107" s="104">
        <v>0.27</v>
      </c>
      <c r="G107" s="104">
        <v>0.27</v>
      </c>
      <c r="H107" s="104">
        <v>0.27</v>
      </c>
      <c r="I107" s="104">
        <v>0.27</v>
      </c>
      <c r="J107" s="104">
        <v>0.27</v>
      </c>
      <c r="K107" s="104">
        <v>0.27</v>
      </c>
      <c r="L107" s="104">
        <v>0.27</v>
      </c>
      <c r="M107" s="128">
        <f t="shared" si="13"/>
        <v>0.27</v>
      </c>
      <c r="N107" s="128">
        <f t="shared" si="14"/>
        <v>0.27</v>
      </c>
      <c r="O107" s="128">
        <f t="shared" si="15"/>
        <v>0.27</v>
      </c>
      <c r="P107" s="128">
        <f t="shared" si="19"/>
        <v>0.27</v>
      </c>
      <c r="Q107" s="128">
        <f t="shared" si="20"/>
        <v>0.27</v>
      </c>
      <c r="R107" s="128">
        <f t="shared" si="21"/>
        <v>0.27</v>
      </c>
      <c r="S107" s="127">
        <v>0.27</v>
      </c>
      <c r="T107" s="104"/>
      <c r="U107" s="127"/>
      <c r="V107" s="127"/>
      <c r="W107" s="127"/>
      <c r="X107" s="127"/>
      <c r="Y107" s="127"/>
      <c r="Z107" s="127"/>
      <c r="AB107" s="127"/>
      <c r="AC107" s="127"/>
      <c r="AD107" s="6">
        <v>0.12</v>
      </c>
      <c r="AF107" s="5" t="s">
        <v>3837</v>
      </c>
      <c r="AG107" s="6">
        <v>0.12</v>
      </c>
      <c r="AH107" s="6">
        <v>0.12</v>
      </c>
      <c r="AI107" s="6">
        <v>0.12</v>
      </c>
      <c r="AJ107" s="6">
        <v>0.12</v>
      </c>
      <c r="AK107" s="6">
        <v>0.12</v>
      </c>
      <c r="AL107" s="6">
        <v>0.12</v>
      </c>
    </row>
    <row r="108" spans="3:38">
      <c r="C108" s="5" t="s">
        <v>94</v>
      </c>
      <c r="D108" s="104">
        <v>0.2</v>
      </c>
      <c r="E108" s="104">
        <v>0.2</v>
      </c>
      <c r="F108" s="104">
        <v>0.2</v>
      </c>
      <c r="G108" s="104">
        <v>0.2</v>
      </c>
      <c r="H108" s="104">
        <v>0.2</v>
      </c>
      <c r="I108" s="104">
        <v>0.2</v>
      </c>
      <c r="J108" s="104">
        <v>0.2</v>
      </c>
      <c r="K108" s="104">
        <v>0.2</v>
      </c>
      <c r="L108" s="104">
        <v>0.2</v>
      </c>
      <c r="M108" s="128">
        <f t="shared" si="13"/>
        <v>0.2</v>
      </c>
      <c r="N108" s="128">
        <f t="shared" si="14"/>
        <v>0.2</v>
      </c>
      <c r="O108" s="128">
        <f t="shared" si="15"/>
        <v>0.2</v>
      </c>
      <c r="P108" s="128">
        <f t="shared" si="19"/>
        <v>0.2</v>
      </c>
      <c r="Q108" s="128">
        <f t="shared" si="20"/>
        <v>0.2</v>
      </c>
      <c r="R108" s="128">
        <f t="shared" si="21"/>
        <v>0.2</v>
      </c>
      <c r="S108" s="127">
        <v>0.2</v>
      </c>
      <c r="T108" s="104"/>
      <c r="U108" s="127"/>
      <c r="V108" s="127"/>
      <c r="W108" s="127"/>
      <c r="X108" s="127"/>
      <c r="Y108" s="127"/>
      <c r="Z108" s="127"/>
      <c r="AB108" s="127"/>
      <c r="AC108" s="127"/>
      <c r="AD108" s="6">
        <v>0.33</v>
      </c>
      <c r="AF108" s="5" t="s">
        <v>3838</v>
      </c>
      <c r="AG108" s="6">
        <v>0</v>
      </c>
      <c r="AH108" s="6">
        <v>0</v>
      </c>
      <c r="AI108" s="6">
        <v>0.33329999999999999</v>
      </c>
      <c r="AJ108" s="6">
        <v>0.33</v>
      </c>
      <c r="AK108" s="6">
        <v>0.33</v>
      </c>
      <c r="AL108" s="6">
        <v>0.33</v>
      </c>
    </row>
    <row r="109" spans="3:38">
      <c r="C109" s="5" t="s">
        <v>444</v>
      </c>
      <c r="D109" s="104">
        <v>0.1</v>
      </c>
      <c r="E109" s="104">
        <v>0.1</v>
      </c>
      <c r="F109" s="104">
        <v>0.1</v>
      </c>
      <c r="G109" s="104">
        <v>0.1</v>
      </c>
      <c r="H109" s="104">
        <v>0.1</v>
      </c>
      <c r="I109" s="104">
        <v>0.1</v>
      </c>
      <c r="J109" s="104">
        <v>0.1</v>
      </c>
      <c r="K109" s="104">
        <v>0.15</v>
      </c>
      <c r="L109" s="104">
        <v>0.15</v>
      </c>
      <c r="M109" s="128">
        <f t="shared" si="13"/>
        <v>0.15</v>
      </c>
      <c r="N109" s="128">
        <f t="shared" si="14"/>
        <v>0.15</v>
      </c>
      <c r="O109" s="128">
        <f t="shared" si="15"/>
        <v>0.15</v>
      </c>
      <c r="P109" s="128">
        <f t="shared" si="19"/>
        <v>0.15</v>
      </c>
      <c r="Q109" s="128">
        <f t="shared" si="20"/>
        <v>0.15</v>
      </c>
      <c r="R109" s="128">
        <f t="shared" si="21"/>
        <v>0.15</v>
      </c>
      <c r="S109" s="127">
        <v>0.15</v>
      </c>
      <c r="T109" s="104"/>
      <c r="U109" s="127"/>
      <c r="V109" s="127"/>
      <c r="W109" s="127"/>
      <c r="X109" s="127"/>
      <c r="Y109" s="127"/>
      <c r="Z109" s="127"/>
      <c r="AB109" s="127"/>
      <c r="AC109" s="127"/>
      <c r="AD109" s="6">
        <v>0.25</v>
      </c>
      <c r="AF109" s="5" t="s">
        <v>3839</v>
      </c>
      <c r="AG109" s="6">
        <v>0</v>
      </c>
      <c r="AH109" s="6">
        <v>0</v>
      </c>
      <c r="AI109" s="6">
        <v>0.25</v>
      </c>
      <c r="AJ109" s="6">
        <v>0.25</v>
      </c>
      <c r="AK109" s="6">
        <v>0.25</v>
      </c>
      <c r="AL109" s="6">
        <v>0.25</v>
      </c>
    </row>
    <row r="110" spans="3:38">
      <c r="C110" s="5" t="s">
        <v>445</v>
      </c>
      <c r="D110" s="104"/>
      <c r="E110" s="104"/>
      <c r="F110" s="104"/>
      <c r="G110" s="104"/>
      <c r="H110" s="104"/>
      <c r="I110" s="104"/>
      <c r="J110" s="104"/>
      <c r="K110" s="104"/>
      <c r="L110" s="104">
        <v>0.3</v>
      </c>
      <c r="M110" s="128">
        <f t="shared" si="13"/>
        <v>0.3</v>
      </c>
      <c r="N110" s="128">
        <f t="shared" si="14"/>
        <v>0.3</v>
      </c>
      <c r="O110" s="128">
        <f t="shared" si="15"/>
        <v>0.3</v>
      </c>
      <c r="P110" s="128">
        <f t="shared" si="19"/>
        <v>0.3</v>
      </c>
      <c r="Q110" s="128">
        <f t="shared" si="20"/>
        <v>0.3</v>
      </c>
      <c r="R110" s="128">
        <f t="shared" si="21"/>
        <v>0.3</v>
      </c>
      <c r="S110" s="127">
        <v>0.3</v>
      </c>
      <c r="T110" s="104"/>
      <c r="U110" s="127"/>
      <c r="V110" s="127"/>
      <c r="W110" s="127"/>
      <c r="X110" s="127"/>
      <c r="Y110" s="127"/>
      <c r="Z110" s="127"/>
      <c r="AB110" s="127"/>
      <c r="AC110" s="127"/>
      <c r="AD110" s="6">
        <v>0.09</v>
      </c>
      <c r="AF110" s="5" t="s">
        <v>77</v>
      </c>
      <c r="AG110" s="6">
        <v>0.09</v>
      </c>
      <c r="AH110" s="6">
        <v>0.09</v>
      </c>
      <c r="AI110" s="6">
        <v>0.09</v>
      </c>
      <c r="AJ110" s="6">
        <v>0.09</v>
      </c>
      <c r="AK110" s="6">
        <v>0.09</v>
      </c>
      <c r="AL110" s="6">
        <v>0.09</v>
      </c>
    </row>
    <row r="111" spans="3:38">
      <c r="C111" s="5" t="s">
        <v>95</v>
      </c>
      <c r="D111" s="104">
        <v>0.2</v>
      </c>
      <c r="E111" s="104">
        <v>0.2</v>
      </c>
      <c r="F111" s="104">
        <v>0.18</v>
      </c>
      <c r="G111" s="104">
        <v>0.18</v>
      </c>
      <c r="H111" s="104">
        <v>0.17</v>
      </c>
      <c r="I111" s="104">
        <v>0.17</v>
      </c>
      <c r="J111" s="104">
        <v>0.17</v>
      </c>
      <c r="K111" s="104">
        <v>0.17</v>
      </c>
      <c r="L111" s="104">
        <v>0.17</v>
      </c>
      <c r="M111" s="128">
        <f t="shared" si="13"/>
        <v>0.17</v>
      </c>
      <c r="N111" s="128">
        <f t="shared" si="14"/>
        <v>0.17</v>
      </c>
      <c r="O111" s="128">
        <f t="shared" si="15"/>
        <v>0.17</v>
      </c>
      <c r="P111" s="128">
        <f t="shared" si="19"/>
        <v>0.17</v>
      </c>
      <c r="Q111" s="128">
        <f t="shared" si="20"/>
        <v>0.17</v>
      </c>
      <c r="R111" s="128">
        <f t="shared" si="21"/>
        <v>0.17</v>
      </c>
      <c r="S111" s="127">
        <v>0.17</v>
      </c>
      <c r="T111" s="104"/>
      <c r="U111" s="127"/>
      <c r="V111" s="127"/>
      <c r="W111" s="127"/>
      <c r="X111" s="127"/>
      <c r="Y111" s="127"/>
      <c r="Z111" s="127"/>
      <c r="AB111" s="127"/>
      <c r="AC111" s="127"/>
      <c r="AD111" s="6">
        <v>0.31</v>
      </c>
      <c r="AF111" s="5" t="s">
        <v>440</v>
      </c>
      <c r="AG111" s="6">
        <v>0.31</v>
      </c>
      <c r="AH111" s="6">
        <v>0.31</v>
      </c>
      <c r="AI111" s="6">
        <v>0.31</v>
      </c>
      <c r="AJ111" s="6">
        <v>0.31</v>
      </c>
      <c r="AK111" s="6">
        <v>0.31</v>
      </c>
      <c r="AL111" s="6">
        <v>0.31</v>
      </c>
    </row>
    <row r="112" spans="3:38">
      <c r="C112" s="5" t="s">
        <v>446</v>
      </c>
      <c r="D112" s="104"/>
      <c r="E112" s="104"/>
      <c r="F112" s="104"/>
      <c r="G112" s="104"/>
      <c r="H112" s="104"/>
      <c r="I112" s="104">
        <v>0.34499999999999997</v>
      </c>
      <c r="J112" s="104">
        <v>0.34499999999999997</v>
      </c>
      <c r="K112" s="104">
        <v>0.34499999999999997</v>
      </c>
      <c r="L112" s="104">
        <v>0.34499999999999997</v>
      </c>
      <c r="M112" s="128">
        <f t="shared" si="13"/>
        <v>0.34499999999999997</v>
      </c>
      <c r="N112" s="128">
        <f t="shared" si="14"/>
        <v>0.34499999999999997</v>
      </c>
      <c r="O112" s="128">
        <f t="shared" si="15"/>
        <v>0.34499999999999997</v>
      </c>
      <c r="P112" s="128">
        <f t="shared" si="19"/>
        <v>0.35</v>
      </c>
      <c r="Q112" s="128">
        <f t="shared" si="20"/>
        <v>0.35</v>
      </c>
      <c r="R112" s="128">
        <f t="shared" si="21"/>
        <v>0.35</v>
      </c>
      <c r="S112" s="127">
        <v>0.34499999999999997</v>
      </c>
      <c r="T112" s="104"/>
      <c r="U112" s="127"/>
      <c r="V112" s="127"/>
      <c r="W112" s="127"/>
      <c r="X112" s="127"/>
      <c r="Y112" s="127"/>
      <c r="Z112" s="127"/>
      <c r="AB112" s="127"/>
      <c r="AC112" s="127"/>
      <c r="AD112" s="6">
        <v>0.32</v>
      </c>
      <c r="AF112" s="5" t="s">
        <v>78</v>
      </c>
      <c r="AG112" s="6">
        <v>0.32</v>
      </c>
      <c r="AH112" s="6">
        <v>0.32</v>
      </c>
      <c r="AI112" s="6">
        <v>0.32</v>
      </c>
      <c r="AJ112" s="6">
        <v>0.32</v>
      </c>
      <c r="AK112" s="6">
        <v>0.32</v>
      </c>
      <c r="AL112" s="6">
        <v>0.32</v>
      </c>
    </row>
    <row r="113" spans="3:38">
      <c r="C113" s="5" t="s">
        <v>447</v>
      </c>
      <c r="D113" s="104">
        <v>0.19</v>
      </c>
      <c r="E113" s="104">
        <v>0.19</v>
      </c>
      <c r="F113" s="104">
        <v>0.19</v>
      </c>
      <c r="G113" s="104">
        <v>0.19</v>
      </c>
      <c r="H113" s="104">
        <v>0.19</v>
      </c>
      <c r="I113" s="104">
        <v>0.19</v>
      </c>
      <c r="J113" s="104">
        <v>0.19</v>
      </c>
      <c r="K113" s="104">
        <v>0.23</v>
      </c>
      <c r="L113" s="104">
        <v>0.22</v>
      </c>
      <c r="M113" s="128">
        <f t="shared" si="13"/>
        <v>0.22</v>
      </c>
      <c r="N113" s="128">
        <f t="shared" si="14"/>
        <v>0.22</v>
      </c>
      <c r="O113" s="128">
        <f t="shared" si="15"/>
        <v>0.21</v>
      </c>
      <c r="P113" s="128">
        <f t="shared" si="19"/>
        <v>0.21</v>
      </c>
      <c r="Q113" s="128">
        <f t="shared" si="20"/>
        <v>0.21</v>
      </c>
      <c r="R113" s="128">
        <f t="shared" si="21"/>
        <v>0.21</v>
      </c>
      <c r="S113" s="127">
        <v>0.22</v>
      </c>
      <c r="T113" s="104"/>
      <c r="U113" s="127"/>
      <c r="V113" s="127"/>
      <c r="W113" s="127"/>
      <c r="X113" s="127"/>
      <c r="Y113" s="127"/>
      <c r="Z113" s="127"/>
      <c r="AB113" s="127"/>
      <c r="AC113" s="127"/>
      <c r="AD113" s="6">
        <v>0.25</v>
      </c>
      <c r="AF113" s="5" t="s">
        <v>3840</v>
      </c>
      <c r="AG113" s="6">
        <v>0</v>
      </c>
      <c r="AH113" s="6">
        <v>0</v>
      </c>
      <c r="AI113" s="6">
        <v>0.25</v>
      </c>
      <c r="AJ113" s="6">
        <v>0.25</v>
      </c>
      <c r="AK113" s="6">
        <v>0.25</v>
      </c>
      <c r="AL113" s="6">
        <v>0.25</v>
      </c>
    </row>
    <row r="114" spans="3:38">
      <c r="C114" s="5" t="s">
        <v>96</v>
      </c>
      <c r="D114" s="104">
        <v>0.25</v>
      </c>
      <c r="E114" s="104">
        <v>0.23</v>
      </c>
      <c r="F114" s="104">
        <v>0.22</v>
      </c>
      <c r="G114" s="104">
        <v>0.21</v>
      </c>
      <c r="H114" s="104">
        <v>0.2</v>
      </c>
      <c r="I114" s="104">
        <v>0.2</v>
      </c>
      <c r="J114" s="104">
        <v>0.18</v>
      </c>
      <c r="K114" s="104">
        <v>0.17</v>
      </c>
      <c r="L114" s="104">
        <v>0.17</v>
      </c>
      <c r="M114" s="128">
        <f t="shared" si="13"/>
        <v>0.17</v>
      </c>
      <c r="N114" s="128">
        <f t="shared" si="14"/>
        <v>0.17</v>
      </c>
      <c r="O114" s="128">
        <f t="shared" si="15"/>
        <v>0.19</v>
      </c>
      <c r="P114" s="128">
        <f t="shared" si="19"/>
        <v>0.19</v>
      </c>
      <c r="Q114" s="128">
        <f t="shared" si="20"/>
        <v>0.19</v>
      </c>
      <c r="R114" s="128">
        <f t="shared" si="21"/>
        <v>0.19</v>
      </c>
      <c r="S114" s="127">
        <v>0.17</v>
      </c>
      <c r="T114" s="104"/>
      <c r="U114" s="127"/>
      <c r="V114" s="127"/>
      <c r="W114" s="127"/>
      <c r="X114" s="127"/>
      <c r="Y114" s="127"/>
      <c r="Z114" s="127"/>
      <c r="AB114" s="127"/>
      <c r="AC114" s="127"/>
      <c r="AD114" s="6">
        <v>0.32</v>
      </c>
      <c r="AF114" s="5" t="s">
        <v>441</v>
      </c>
      <c r="AG114" s="6">
        <v>0.33</v>
      </c>
      <c r="AH114" s="6">
        <v>0.32</v>
      </c>
      <c r="AI114" s="6">
        <v>0.32</v>
      </c>
      <c r="AJ114" s="6">
        <v>0.32</v>
      </c>
      <c r="AK114" s="6">
        <v>0.32</v>
      </c>
      <c r="AL114" s="6">
        <v>0.32</v>
      </c>
    </row>
    <row r="115" spans="3:38">
      <c r="C115" s="5" t="s">
        <v>97</v>
      </c>
      <c r="D115" s="104">
        <v>0.36890000000000001</v>
      </c>
      <c r="E115" s="104">
        <v>0.36890000000000001</v>
      </c>
      <c r="F115" s="104">
        <v>0.34549999999999997</v>
      </c>
      <c r="G115" s="104">
        <v>0.34549999999999997</v>
      </c>
      <c r="H115" s="104">
        <v>0.34549999999999997</v>
      </c>
      <c r="I115" s="104">
        <v>0.34549999999999997</v>
      </c>
      <c r="J115" s="104">
        <v>0.34549999999999997</v>
      </c>
      <c r="K115" s="104">
        <v>0.28000000000000003</v>
      </c>
      <c r="L115" s="104">
        <v>0.28000000000000003</v>
      </c>
      <c r="M115" s="128">
        <f t="shared" si="13"/>
        <v>0.28000000000000003</v>
      </c>
      <c r="N115" s="128">
        <f t="shared" si="14"/>
        <v>0.28000000000000003</v>
      </c>
      <c r="O115" s="128">
        <f t="shared" si="15"/>
        <v>0.28000000000000003</v>
      </c>
      <c r="P115" s="128">
        <f t="shared" si="19"/>
        <v>0.28000000000000003</v>
      </c>
      <c r="Q115" s="128">
        <f t="shared" si="20"/>
        <v>0.28000000000000003</v>
      </c>
      <c r="R115" s="128">
        <f t="shared" si="21"/>
        <v>0.28000000000000003</v>
      </c>
      <c r="S115" s="127">
        <v>0.28000000000000003</v>
      </c>
      <c r="T115" s="104"/>
      <c r="U115" s="127"/>
      <c r="V115" s="127"/>
      <c r="W115" s="127"/>
      <c r="X115" s="127"/>
      <c r="Y115" s="127"/>
      <c r="Z115" s="127"/>
      <c r="AB115" s="127"/>
      <c r="AC115" s="127"/>
      <c r="AD115" s="6">
        <v>0.25</v>
      </c>
      <c r="AF115" s="5" t="s">
        <v>79</v>
      </c>
      <c r="AG115" s="6">
        <v>0.25</v>
      </c>
      <c r="AH115" s="6">
        <v>0.25</v>
      </c>
      <c r="AI115" s="6">
        <v>0.25</v>
      </c>
      <c r="AJ115" s="6">
        <v>0.25</v>
      </c>
      <c r="AK115" s="6">
        <v>0.25</v>
      </c>
      <c r="AL115" s="6">
        <v>0.25</v>
      </c>
    </row>
    <row r="116" spans="3:38">
      <c r="C116" s="5" t="s">
        <v>98</v>
      </c>
      <c r="D116" s="104">
        <v>0.35</v>
      </c>
      <c r="E116" s="104">
        <v>0.32500000000000001</v>
      </c>
      <c r="F116" s="104">
        <v>0.3</v>
      </c>
      <c r="G116" s="104">
        <v>0.3</v>
      </c>
      <c r="H116" s="104">
        <v>0.3</v>
      </c>
      <c r="I116" s="104">
        <v>0.3</v>
      </c>
      <c r="J116" s="104">
        <v>0.3</v>
      </c>
      <c r="K116" s="104">
        <v>0.3</v>
      </c>
      <c r="L116" s="104">
        <v>0.3</v>
      </c>
      <c r="M116" s="128">
        <f t="shared" si="13"/>
        <v>0.28000000000000003</v>
      </c>
      <c r="N116" s="128">
        <f t="shared" si="14"/>
        <v>0.25</v>
      </c>
      <c r="O116" s="128">
        <f t="shared" si="15"/>
        <v>0.25</v>
      </c>
      <c r="P116" s="128">
        <f t="shared" si="19"/>
        <v>0.25</v>
      </c>
      <c r="Q116" s="128">
        <f t="shared" si="20"/>
        <v>0.25</v>
      </c>
      <c r="R116" s="128">
        <f t="shared" si="21"/>
        <v>0.25</v>
      </c>
      <c r="S116" s="127">
        <v>0.3</v>
      </c>
      <c r="T116" s="104"/>
      <c r="U116" s="127"/>
      <c r="V116" s="127"/>
      <c r="W116" s="127"/>
      <c r="X116" s="127"/>
      <c r="Y116" s="127"/>
      <c r="Z116" s="127"/>
      <c r="AB116" s="127"/>
      <c r="AC116" s="127"/>
      <c r="AD116" s="6">
        <v>0.28000000000000003</v>
      </c>
      <c r="AF116" s="5" t="s">
        <v>80</v>
      </c>
      <c r="AG116" s="6">
        <v>0.28000000000000003</v>
      </c>
      <c r="AH116" s="6">
        <v>0.28000000000000003</v>
      </c>
      <c r="AI116" s="6">
        <v>0.28000000000000003</v>
      </c>
      <c r="AJ116" s="6">
        <v>0.28000000000000003</v>
      </c>
      <c r="AK116" s="6">
        <v>0.28000000000000003</v>
      </c>
      <c r="AL116" s="6">
        <v>0.28000000000000003</v>
      </c>
    </row>
    <row r="117" spans="3:38">
      <c r="C117" s="5" t="s">
        <v>99</v>
      </c>
      <c r="D117" s="104">
        <v>0.32500000000000001</v>
      </c>
      <c r="E117" s="104">
        <v>0.35</v>
      </c>
      <c r="F117" s="104">
        <v>0.35</v>
      </c>
      <c r="G117" s="104">
        <v>0.35</v>
      </c>
      <c r="H117" s="104">
        <v>0.35</v>
      </c>
      <c r="I117" s="104">
        <v>0.28000000000000003</v>
      </c>
      <c r="J117" s="104">
        <v>0.28000000000000003</v>
      </c>
      <c r="K117" s="104">
        <v>0.28000000000000003</v>
      </c>
      <c r="L117" s="104">
        <v>0.28000000000000003</v>
      </c>
      <c r="M117" s="128">
        <f t="shared" si="13"/>
        <v>0.28000000000000003</v>
      </c>
      <c r="N117" s="128">
        <f t="shared" si="14"/>
        <v>0.15</v>
      </c>
      <c r="O117" s="128">
        <f t="shared" si="15"/>
        <v>0.28000000000000003</v>
      </c>
      <c r="P117" s="128">
        <f t="shared" si="19"/>
        <v>0.28000000000000003</v>
      </c>
      <c r="Q117" s="128">
        <f t="shared" si="20"/>
        <v>0.28000000000000003</v>
      </c>
      <c r="R117" s="128">
        <f t="shared" si="21"/>
        <v>0.28000000000000003</v>
      </c>
      <c r="S117" s="127">
        <v>0.28000000000000003</v>
      </c>
      <c r="T117" s="104"/>
      <c r="U117" s="127"/>
      <c r="V117" s="127"/>
      <c r="W117" s="127"/>
      <c r="X117" s="127"/>
      <c r="Y117" s="127"/>
      <c r="Z117" s="127"/>
      <c r="AB117" s="127"/>
      <c r="AC117" s="127"/>
      <c r="AD117" s="6">
        <v>0.3</v>
      </c>
      <c r="AF117" s="5" t="s">
        <v>3841</v>
      </c>
      <c r="AG117" s="6">
        <v>0</v>
      </c>
      <c r="AH117" s="6">
        <v>0</v>
      </c>
      <c r="AI117" s="6">
        <v>0.3</v>
      </c>
      <c r="AJ117" s="6">
        <v>0.3</v>
      </c>
      <c r="AK117" s="6">
        <v>0.3</v>
      </c>
      <c r="AL117" s="6">
        <v>0.3</v>
      </c>
    </row>
    <row r="118" spans="3:38">
      <c r="C118" s="5" t="s">
        <v>100</v>
      </c>
      <c r="D118" s="104">
        <v>0.35</v>
      </c>
      <c r="E118" s="104">
        <v>0.3</v>
      </c>
      <c r="F118" s="104">
        <v>0.15</v>
      </c>
      <c r="G118" s="104">
        <v>0.15</v>
      </c>
      <c r="H118" s="104">
        <v>0.15</v>
      </c>
      <c r="I118" s="104">
        <v>0.35</v>
      </c>
      <c r="J118" s="104">
        <v>0.35</v>
      </c>
      <c r="K118" s="104">
        <v>0.35</v>
      </c>
      <c r="L118" s="104">
        <v>0.35</v>
      </c>
      <c r="M118" s="128">
        <f t="shared" si="13"/>
        <v>0.35</v>
      </c>
      <c r="N118" s="128">
        <f t="shared" si="14"/>
        <v>0.35</v>
      </c>
      <c r="O118" s="128">
        <f t="shared" si="15"/>
        <v>0.35</v>
      </c>
      <c r="P118" s="128">
        <f t="shared" si="19"/>
        <v>0.35</v>
      </c>
      <c r="Q118" s="128">
        <f t="shared" si="20"/>
        <v>0.35</v>
      </c>
      <c r="R118" s="128">
        <f t="shared" si="21"/>
        <v>0.35</v>
      </c>
      <c r="S118" s="127">
        <v>0.35</v>
      </c>
      <c r="T118" s="104"/>
      <c r="U118" s="127"/>
      <c r="V118" s="127"/>
      <c r="W118" s="127"/>
      <c r="X118" s="127"/>
      <c r="Y118" s="127"/>
      <c r="Z118" s="127"/>
      <c r="AB118" s="127"/>
      <c r="AC118" s="127"/>
      <c r="AD118" s="6">
        <v>0.3</v>
      </c>
      <c r="AF118" s="5" t="s">
        <v>81</v>
      </c>
      <c r="AG118" s="6">
        <v>0.3</v>
      </c>
      <c r="AH118" s="6">
        <v>0.3</v>
      </c>
      <c r="AI118" s="6">
        <v>0.3</v>
      </c>
      <c r="AJ118" s="6">
        <v>0.3</v>
      </c>
      <c r="AK118" s="6">
        <v>0.3</v>
      </c>
      <c r="AL118" s="6">
        <v>0.3</v>
      </c>
    </row>
    <row r="119" spans="3:38">
      <c r="C119" s="5" t="s">
        <v>448</v>
      </c>
      <c r="D119" s="104"/>
      <c r="E119" s="104"/>
      <c r="F119" s="104"/>
      <c r="G119" s="104"/>
      <c r="H119" s="104"/>
      <c r="I119" s="104"/>
      <c r="J119" s="104"/>
      <c r="K119" s="104">
        <v>0.36</v>
      </c>
      <c r="L119" s="104">
        <v>0.34499999999999997</v>
      </c>
      <c r="M119" s="128">
        <f t="shared" si="13"/>
        <v>0.34499999999999997</v>
      </c>
      <c r="N119" s="128">
        <f t="shared" si="14"/>
        <v>0.34499999999999997</v>
      </c>
      <c r="O119" s="128">
        <f t="shared" si="15"/>
        <v>0.36</v>
      </c>
      <c r="P119" s="128">
        <f t="shared" si="19"/>
        <v>0.36</v>
      </c>
      <c r="Q119" s="128">
        <f t="shared" si="20"/>
        <v>0.36</v>
      </c>
      <c r="R119" s="128">
        <f t="shared" si="21"/>
        <v>0.36</v>
      </c>
      <c r="S119" s="127">
        <v>0.34499999999999997</v>
      </c>
      <c r="T119" s="104"/>
      <c r="U119" s="127"/>
      <c r="V119" s="127"/>
      <c r="W119" s="127"/>
      <c r="X119" s="127"/>
      <c r="Y119" s="127"/>
      <c r="Z119" s="127"/>
      <c r="AB119" s="127"/>
      <c r="AC119" s="127"/>
      <c r="AD119" s="6">
        <v>0.22</v>
      </c>
      <c r="AF119" s="5" t="s">
        <v>82</v>
      </c>
      <c r="AG119" s="6">
        <v>0.27</v>
      </c>
      <c r="AH119" s="6">
        <v>0.25</v>
      </c>
      <c r="AI119" s="6">
        <v>0.24</v>
      </c>
      <c r="AJ119" s="6">
        <v>0.23</v>
      </c>
      <c r="AK119" s="6">
        <v>0.22</v>
      </c>
      <c r="AL119" s="6">
        <v>0.22</v>
      </c>
    </row>
    <row r="120" spans="3:38">
      <c r="C120" s="5" t="s">
        <v>101</v>
      </c>
      <c r="D120" s="104">
        <v>0.28000000000000003</v>
      </c>
      <c r="E120" s="104">
        <v>0.28000000000000003</v>
      </c>
      <c r="F120" s="104">
        <v>0.28000000000000003</v>
      </c>
      <c r="G120" s="104">
        <v>0.26300000000000001</v>
      </c>
      <c r="H120" s="104">
        <v>0.26300000000000001</v>
      </c>
      <c r="I120" s="104">
        <v>0.26300000000000001</v>
      </c>
      <c r="J120" s="104">
        <v>0.26300000000000001</v>
      </c>
      <c r="K120" s="104">
        <v>0.22</v>
      </c>
      <c r="L120" s="104">
        <v>0.22</v>
      </c>
      <c r="M120" s="128">
        <f t="shared" si="13"/>
        <v>0.22</v>
      </c>
      <c r="N120" s="128">
        <f t="shared" si="14"/>
        <v>0.22</v>
      </c>
      <c r="O120" s="128">
        <f t="shared" si="15"/>
        <v>0.22</v>
      </c>
      <c r="P120" s="128">
        <f t="shared" si="19"/>
        <v>0.22</v>
      </c>
      <c r="Q120" s="128">
        <f t="shared" si="20"/>
        <v>0.214</v>
      </c>
      <c r="R120" s="128">
        <f t="shared" si="21"/>
        <v>0.214</v>
      </c>
      <c r="S120" s="127">
        <v>0.22</v>
      </c>
      <c r="T120" s="104"/>
      <c r="U120" s="127"/>
      <c r="V120" s="127"/>
      <c r="W120" s="127"/>
      <c r="X120" s="127"/>
      <c r="Y120" s="127"/>
      <c r="Z120" s="127"/>
      <c r="AB120" s="127"/>
      <c r="AC120" s="127"/>
      <c r="AD120" s="6">
        <v>0.15</v>
      </c>
      <c r="AF120" s="5" t="s">
        <v>83</v>
      </c>
      <c r="AG120" s="6">
        <v>0.12</v>
      </c>
      <c r="AH120" s="6">
        <v>0.12</v>
      </c>
      <c r="AI120" s="6">
        <v>0.15</v>
      </c>
      <c r="AJ120" s="6">
        <v>0.15</v>
      </c>
      <c r="AK120" s="6">
        <v>0.15</v>
      </c>
      <c r="AL120" s="6">
        <v>0.15</v>
      </c>
    </row>
    <row r="121" spans="3:38">
      <c r="C121" s="5" t="s">
        <v>102</v>
      </c>
      <c r="D121" s="104">
        <v>0.21299999999999999</v>
      </c>
      <c r="E121" s="104">
        <v>0.20629999999999998</v>
      </c>
      <c r="F121" s="104">
        <v>0.192</v>
      </c>
      <c r="G121" s="104">
        <v>0.18960000000000002</v>
      </c>
      <c r="H121" s="104">
        <v>0.1875</v>
      </c>
      <c r="I121" s="104">
        <v>0.18309999999999998</v>
      </c>
      <c r="J121" s="104">
        <v>0.18059999999999998</v>
      </c>
      <c r="K121" s="104">
        <v>0.18010000000000001</v>
      </c>
      <c r="L121" s="104">
        <v>0.17920000000000003</v>
      </c>
      <c r="M121" s="128">
        <f t="shared" si="13"/>
        <v>0.1792</v>
      </c>
      <c r="N121" s="128">
        <f t="shared" si="14"/>
        <v>0.1792</v>
      </c>
      <c r="O121" s="128">
        <f t="shared" si="15"/>
        <v>0.1777</v>
      </c>
      <c r="P121" s="128">
        <f t="shared" si="19"/>
        <v>0.18</v>
      </c>
      <c r="Q121" s="128">
        <f t="shared" si="20"/>
        <v>0.18</v>
      </c>
      <c r="R121" s="128">
        <f t="shared" si="21"/>
        <v>0.1484</v>
      </c>
      <c r="S121" s="127">
        <v>0.17920000000000003</v>
      </c>
      <c r="T121" s="104"/>
      <c r="U121" s="127"/>
      <c r="V121" s="127"/>
      <c r="W121" s="127"/>
      <c r="X121" s="127"/>
      <c r="Y121" s="127"/>
      <c r="Z121" s="127"/>
      <c r="AB121" s="127"/>
      <c r="AC121" s="127"/>
      <c r="AD121" s="6">
        <v>0.35</v>
      </c>
      <c r="AF121" s="5" t="s">
        <v>84</v>
      </c>
      <c r="AG121" s="6">
        <v>0.33</v>
      </c>
      <c r="AH121" s="6">
        <v>0.32</v>
      </c>
      <c r="AI121" s="6">
        <v>0.31</v>
      </c>
      <c r="AJ121" s="6">
        <v>0.3</v>
      </c>
      <c r="AK121" s="6">
        <v>0.3</v>
      </c>
      <c r="AL121" s="6">
        <v>0.35</v>
      </c>
    </row>
    <row r="122" spans="3:38">
      <c r="C122" s="5" t="s">
        <v>449</v>
      </c>
      <c r="D122" s="104">
        <v>0.35</v>
      </c>
      <c r="E122" s="104">
        <v>0.28000000000000003</v>
      </c>
      <c r="F122" s="104">
        <v>0.28000000000000003</v>
      </c>
      <c r="G122" s="104">
        <v>0.28000000000000003</v>
      </c>
      <c r="H122" s="104">
        <v>0.28000000000000003</v>
      </c>
      <c r="I122" s="104">
        <v>0.28000000000000003</v>
      </c>
      <c r="J122" s="104">
        <v>0.28000000000000003</v>
      </c>
      <c r="K122" s="104">
        <v>0.22</v>
      </c>
      <c r="L122" s="104">
        <v>0.22</v>
      </c>
      <c r="M122" s="128">
        <v>0.22</v>
      </c>
      <c r="N122" s="128">
        <v>0.22</v>
      </c>
      <c r="O122" s="128">
        <v>0.28000000000000003</v>
      </c>
      <c r="P122" s="128">
        <v>0.28000000000000003</v>
      </c>
      <c r="Q122" s="128">
        <v>0.28000000000000003</v>
      </c>
      <c r="R122" s="128">
        <v>0.28000000000000003</v>
      </c>
      <c r="S122" s="127">
        <v>0.22</v>
      </c>
      <c r="T122" s="104"/>
      <c r="U122" s="127"/>
      <c r="V122" s="127"/>
      <c r="W122" s="127"/>
      <c r="X122" s="127"/>
      <c r="Y122" s="127"/>
      <c r="Z122" s="127"/>
      <c r="AB122" s="127"/>
      <c r="AC122" s="127"/>
      <c r="AD122" s="6">
        <v>0.15</v>
      </c>
      <c r="AF122" s="5" t="s">
        <v>3842</v>
      </c>
      <c r="AG122" s="6">
        <v>0</v>
      </c>
      <c r="AH122" s="6">
        <v>0</v>
      </c>
      <c r="AI122" s="6">
        <v>0.15</v>
      </c>
      <c r="AJ122" s="6">
        <v>0.15</v>
      </c>
      <c r="AK122" s="6">
        <v>0.15</v>
      </c>
      <c r="AL122" s="6">
        <v>0.15</v>
      </c>
    </row>
    <row r="123" spans="3:38">
      <c r="C123" s="5" t="s">
        <v>103</v>
      </c>
      <c r="D123" s="104">
        <v>0.25</v>
      </c>
      <c r="E123" s="104">
        <v>0.25</v>
      </c>
      <c r="F123" s="104">
        <v>0.25</v>
      </c>
      <c r="G123" s="104">
        <v>0.25</v>
      </c>
      <c r="H123" s="104">
        <v>0.17</v>
      </c>
      <c r="I123" s="104">
        <v>0.17</v>
      </c>
      <c r="J123" s="104">
        <v>0.17</v>
      </c>
      <c r="K123" s="104">
        <v>0.17</v>
      </c>
      <c r="L123" s="104">
        <v>0.17</v>
      </c>
      <c r="M123" s="128">
        <f t="shared" ref="M123:M131" si="22">VLOOKUP(C123,$AF$6:$AL$188,2,FALSE)</f>
        <v>0.17</v>
      </c>
      <c r="N123" s="128">
        <f t="shared" ref="N123:N131" si="23">VLOOKUP(C123,$AF$6:$AL$188,3,FALSE)</f>
        <v>0.17</v>
      </c>
      <c r="O123" s="128">
        <f t="shared" ref="O123:O131" si="24">VLOOKUP(C123,$AF$6:$AL$188,4,FALSE)</f>
        <v>0.17</v>
      </c>
      <c r="P123" s="128">
        <f t="shared" ref="P123:P131" si="25">VLOOKUP(C123,$AF$6:$AL$188,5,FALSE)</f>
        <v>0.2</v>
      </c>
      <c r="Q123" s="128">
        <f t="shared" ref="Q123:Q131" si="26">VLOOKUP(C123,$AF$6:$AL$188,6,FALSE)</f>
        <v>0.2</v>
      </c>
      <c r="R123" s="128">
        <f t="shared" ref="R123:R131" si="27">VLOOKUP(C123,$AF$6:$AL$188,7,FALSE)</f>
        <v>0.2</v>
      </c>
      <c r="S123" s="127">
        <v>0.17</v>
      </c>
      <c r="T123" s="104"/>
      <c r="U123" s="127"/>
      <c r="V123" s="127"/>
      <c r="W123" s="127"/>
      <c r="X123" s="127"/>
      <c r="Y123" s="127"/>
      <c r="Z123" s="127"/>
      <c r="AB123" s="127"/>
      <c r="AC123" s="127"/>
      <c r="AD123" s="6">
        <v>0.25</v>
      </c>
      <c r="AF123" s="5" t="s">
        <v>85</v>
      </c>
      <c r="AG123" s="6">
        <v>0.25</v>
      </c>
      <c r="AH123" s="6">
        <v>0.25</v>
      </c>
      <c r="AI123" s="6">
        <v>0.25</v>
      </c>
      <c r="AJ123" s="6">
        <v>0.25</v>
      </c>
      <c r="AK123" s="6">
        <v>0.25</v>
      </c>
      <c r="AL123" s="6">
        <v>0.25</v>
      </c>
    </row>
    <row r="124" spans="3:38">
      <c r="C124" s="5" t="s">
        <v>450</v>
      </c>
      <c r="D124" s="104"/>
      <c r="E124" s="104"/>
      <c r="F124" s="104"/>
      <c r="G124" s="104">
        <v>0.3</v>
      </c>
      <c r="H124" s="104">
        <v>0.3</v>
      </c>
      <c r="I124" s="104">
        <v>0.3</v>
      </c>
      <c r="J124" s="104">
        <v>0.3</v>
      </c>
      <c r="K124" s="104">
        <v>0.3</v>
      </c>
      <c r="L124" s="104">
        <v>0.3</v>
      </c>
      <c r="M124" s="128">
        <f t="shared" si="22"/>
        <v>0.3</v>
      </c>
      <c r="N124" s="128">
        <f t="shared" si="23"/>
        <v>0.3</v>
      </c>
      <c r="O124" s="128">
        <f t="shared" si="24"/>
        <v>0.3</v>
      </c>
      <c r="P124" s="128">
        <f t="shared" si="25"/>
        <v>0.3</v>
      </c>
      <c r="Q124" s="128">
        <f t="shared" si="26"/>
        <v>0.3</v>
      </c>
      <c r="R124" s="128">
        <f t="shared" si="27"/>
        <v>0.3</v>
      </c>
      <c r="S124" s="127">
        <v>0.3</v>
      </c>
      <c r="T124" s="104"/>
      <c r="U124" s="127"/>
      <c r="V124" s="127"/>
      <c r="W124" s="127"/>
      <c r="X124" s="127"/>
      <c r="Y124" s="127"/>
      <c r="Z124" s="127"/>
      <c r="AB124" s="127"/>
      <c r="AC124" s="127"/>
      <c r="AD124" s="6">
        <v>0.3</v>
      </c>
      <c r="AF124" s="5" t="s">
        <v>86</v>
      </c>
      <c r="AG124" s="6">
        <v>0.3</v>
      </c>
      <c r="AH124" s="6">
        <v>0.3</v>
      </c>
      <c r="AI124" s="6">
        <v>0.3</v>
      </c>
      <c r="AJ124" s="6">
        <v>0.3</v>
      </c>
      <c r="AK124" s="6">
        <v>0.3</v>
      </c>
      <c r="AL124" s="6">
        <v>0.3</v>
      </c>
    </row>
    <row r="125" spans="3:38">
      <c r="C125" s="5" t="s">
        <v>104</v>
      </c>
      <c r="D125" s="104">
        <v>0.3</v>
      </c>
      <c r="E125" s="104">
        <v>0.3</v>
      </c>
      <c r="F125" s="104">
        <v>0.3</v>
      </c>
      <c r="G125" s="104">
        <v>0.3</v>
      </c>
      <c r="H125" s="104">
        <v>0.3</v>
      </c>
      <c r="I125" s="104">
        <v>0.3</v>
      </c>
      <c r="J125" s="104">
        <v>0.23</v>
      </c>
      <c r="K125" s="104">
        <v>0.2</v>
      </c>
      <c r="L125" s="104">
        <v>0.2</v>
      </c>
      <c r="M125" s="128">
        <f t="shared" si="22"/>
        <v>0.2</v>
      </c>
      <c r="N125" s="128">
        <f t="shared" si="23"/>
        <v>0.2</v>
      </c>
      <c r="O125" s="128">
        <f t="shared" si="24"/>
        <v>0.2</v>
      </c>
      <c r="P125" s="128">
        <f t="shared" si="25"/>
        <v>0.2</v>
      </c>
      <c r="Q125" s="128">
        <f t="shared" si="26"/>
        <v>0.2</v>
      </c>
      <c r="R125" s="128">
        <f t="shared" si="27"/>
        <v>0.2</v>
      </c>
      <c r="S125" s="127">
        <v>0.2</v>
      </c>
      <c r="T125" s="104"/>
      <c r="U125" s="127"/>
      <c r="V125" s="127"/>
      <c r="W125" s="127"/>
      <c r="X125" s="127"/>
      <c r="Y125" s="127"/>
      <c r="Z125" s="127"/>
      <c r="AB125" s="127"/>
      <c r="AC125" s="127"/>
      <c r="AD125" s="6">
        <v>0.1</v>
      </c>
      <c r="AF125" s="5" t="s">
        <v>87</v>
      </c>
      <c r="AG125" s="6">
        <v>0.1</v>
      </c>
      <c r="AH125" s="6">
        <v>0.1</v>
      </c>
      <c r="AI125" s="6">
        <v>0.1</v>
      </c>
      <c r="AJ125" s="6">
        <v>0.1</v>
      </c>
      <c r="AK125" s="6">
        <v>0.1</v>
      </c>
      <c r="AL125" s="6">
        <v>0.1</v>
      </c>
    </row>
    <row r="126" spans="3:38">
      <c r="C126" s="5" t="s">
        <v>451</v>
      </c>
      <c r="D126" s="104"/>
      <c r="E126" s="104"/>
      <c r="F126" s="104"/>
      <c r="G126" s="104"/>
      <c r="H126" s="104"/>
      <c r="I126" s="104"/>
      <c r="J126" s="104">
        <v>0.25</v>
      </c>
      <c r="K126" s="104">
        <v>0.25</v>
      </c>
      <c r="L126" s="104">
        <v>0.25</v>
      </c>
      <c r="M126" s="128">
        <f t="shared" si="22"/>
        <v>0.25</v>
      </c>
      <c r="N126" s="128">
        <f t="shared" si="23"/>
        <v>0.25</v>
      </c>
      <c r="O126" s="128">
        <f t="shared" si="24"/>
        <v>0.25</v>
      </c>
      <c r="P126" s="128">
        <f t="shared" si="25"/>
        <v>0.25</v>
      </c>
      <c r="Q126" s="128">
        <f t="shared" si="26"/>
        <v>0.25</v>
      </c>
      <c r="R126" s="128">
        <f t="shared" si="27"/>
        <v>0.3</v>
      </c>
      <c r="S126" s="127">
        <v>0.25</v>
      </c>
      <c r="T126" s="104"/>
      <c r="U126" s="127"/>
      <c r="V126" s="127"/>
      <c r="W126" s="127"/>
      <c r="X126" s="127"/>
      <c r="Y126" s="127"/>
      <c r="Z126" s="127"/>
      <c r="AB126" s="127"/>
      <c r="AC126" s="127"/>
      <c r="AD126" s="6">
        <v>0.29499999999999998</v>
      </c>
      <c r="AF126" s="5" t="s">
        <v>88</v>
      </c>
      <c r="AG126" s="6">
        <v>0.28000000000000003</v>
      </c>
      <c r="AH126" s="6">
        <v>0.28000000000000003</v>
      </c>
      <c r="AI126" s="6">
        <v>0.29499999999999998</v>
      </c>
      <c r="AJ126" s="6">
        <v>0.29499999999999998</v>
      </c>
      <c r="AK126" s="6">
        <v>0.29499999999999998</v>
      </c>
      <c r="AL126" s="6">
        <v>0.29499999999999998</v>
      </c>
    </row>
    <row r="127" spans="3:38">
      <c r="C127" s="5" t="s">
        <v>105</v>
      </c>
      <c r="D127" s="104">
        <v>0.35</v>
      </c>
      <c r="E127" s="104">
        <v>0.3</v>
      </c>
      <c r="F127" s="104">
        <v>0.3</v>
      </c>
      <c r="G127" s="104">
        <v>0.3</v>
      </c>
      <c r="H127" s="104">
        <v>0.3</v>
      </c>
      <c r="I127" s="104">
        <v>0.3</v>
      </c>
      <c r="J127" s="104">
        <v>0.3</v>
      </c>
      <c r="K127" s="104">
        <v>0.3</v>
      </c>
      <c r="L127" s="104">
        <v>0.25</v>
      </c>
      <c r="M127" s="128">
        <f t="shared" si="22"/>
        <v>0.25</v>
      </c>
      <c r="N127" s="128">
        <f t="shared" si="23"/>
        <v>0.25</v>
      </c>
      <c r="O127" s="128">
        <f t="shared" si="24"/>
        <v>0.25</v>
      </c>
      <c r="P127" s="128">
        <f t="shared" si="25"/>
        <v>0.25</v>
      </c>
      <c r="Q127" s="128">
        <f t="shared" si="26"/>
        <v>0.25</v>
      </c>
      <c r="R127" s="128">
        <f t="shared" si="27"/>
        <v>0.25</v>
      </c>
      <c r="S127" s="127">
        <v>0.25</v>
      </c>
      <c r="T127" s="104"/>
      <c r="U127" s="127"/>
      <c r="V127" s="127"/>
      <c r="W127" s="127"/>
      <c r="X127" s="127"/>
      <c r="Y127" s="127"/>
      <c r="Z127" s="127"/>
      <c r="AB127" s="127"/>
      <c r="AC127" s="127"/>
      <c r="AD127" s="6">
        <v>0.3</v>
      </c>
      <c r="AF127" s="5" t="s">
        <v>89</v>
      </c>
      <c r="AG127" s="6">
        <v>0.3</v>
      </c>
      <c r="AH127" s="6">
        <v>0.3</v>
      </c>
      <c r="AI127" s="6">
        <v>0.3</v>
      </c>
      <c r="AJ127" s="6">
        <v>0.3</v>
      </c>
      <c r="AK127" s="6">
        <v>0.3</v>
      </c>
      <c r="AL127" s="6">
        <v>0.3</v>
      </c>
    </row>
    <row r="128" spans="3:38">
      <c r="C128" s="5" t="s">
        <v>106</v>
      </c>
      <c r="D128" s="104">
        <v>0.2</v>
      </c>
      <c r="E128" s="104">
        <v>0.2</v>
      </c>
      <c r="F128" s="104">
        <v>0.2</v>
      </c>
      <c r="G128" s="104">
        <v>0.2</v>
      </c>
      <c r="H128" s="104">
        <v>0.2</v>
      </c>
      <c r="I128" s="104">
        <v>0.2</v>
      </c>
      <c r="J128" s="104">
        <v>0.2</v>
      </c>
      <c r="K128" s="104">
        <v>0.2</v>
      </c>
      <c r="L128" s="104">
        <v>0.2</v>
      </c>
      <c r="M128" s="128">
        <f t="shared" si="22"/>
        <v>0.2</v>
      </c>
      <c r="N128" s="128">
        <f t="shared" si="23"/>
        <v>0.2</v>
      </c>
      <c r="O128" s="128">
        <f t="shared" si="24"/>
        <v>0.2</v>
      </c>
      <c r="P128" s="128">
        <f t="shared" si="25"/>
        <v>0.22</v>
      </c>
      <c r="Q128" s="128">
        <f t="shared" si="26"/>
        <v>0.22</v>
      </c>
      <c r="R128" s="128">
        <f t="shared" si="27"/>
        <v>0.22</v>
      </c>
      <c r="S128" s="127">
        <v>0.2</v>
      </c>
      <c r="T128" s="104"/>
      <c r="U128" s="127"/>
      <c r="V128" s="127"/>
      <c r="W128" s="127"/>
      <c r="X128" s="127"/>
      <c r="Y128" s="127"/>
      <c r="Z128" s="127"/>
      <c r="AB128" s="127"/>
      <c r="AC128" s="127"/>
      <c r="AD128" s="6">
        <v>0.19</v>
      </c>
      <c r="AF128" s="5" t="s">
        <v>90</v>
      </c>
      <c r="AG128" s="6">
        <v>0.19</v>
      </c>
      <c r="AH128" s="6">
        <v>0.19</v>
      </c>
      <c r="AI128" s="6">
        <v>0.19</v>
      </c>
      <c r="AJ128" s="6">
        <v>0.19</v>
      </c>
      <c r="AK128" s="6">
        <v>0.19</v>
      </c>
      <c r="AL128" s="6">
        <v>0.19</v>
      </c>
    </row>
    <row r="129" spans="3:38">
      <c r="C129" s="5" t="s">
        <v>452</v>
      </c>
      <c r="D129" s="104">
        <v>0.3</v>
      </c>
      <c r="E129" s="104">
        <v>0.3</v>
      </c>
      <c r="F129" s="104">
        <v>0.3</v>
      </c>
      <c r="G129" s="104">
        <v>0.3</v>
      </c>
      <c r="H129" s="104">
        <v>0.3</v>
      </c>
      <c r="I129" s="104">
        <v>0.3</v>
      </c>
      <c r="J129" s="104">
        <v>0.3</v>
      </c>
      <c r="K129" s="104">
        <v>0.3</v>
      </c>
      <c r="L129" s="104">
        <v>0.3</v>
      </c>
      <c r="M129" s="128">
        <f t="shared" si="22"/>
        <v>0.3</v>
      </c>
      <c r="N129" s="128">
        <f t="shared" si="23"/>
        <v>0.3</v>
      </c>
      <c r="O129" s="128">
        <f t="shared" si="24"/>
        <v>0.3</v>
      </c>
      <c r="P129" s="128">
        <f t="shared" si="25"/>
        <v>0.3</v>
      </c>
      <c r="Q129" s="128">
        <f t="shared" si="26"/>
        <v>0.3</v>
      </c>
      <c r="R129" s="128">
        <f t="shared" si="27"/>
        <v>0.3</v>
      </c>
      <c r="S129" s="127">
        <v>0.3</v>
      </c>
      <c r="T129" s="104"/>
      <c r="U129" s="127"/>
      <c r="V129" s="127"/>
      <c r="W129" s="127"/>
      <c r="X129" s="127"/>
      <c r="Y129" s="127"/>
      <c r="Z129" s="127"/>
      <c r="AB129" s="127"/>
      <c r="AC129" s="127"/>
      <c r="AD129" s="6">
        <v>0.21</v>
      </c>
      <c r="AF129" s="5" t="s">
        <v>91</v>
      </c>
      <c r="AG129" s="6">
        <v>0.21</v>
      </c>
      <c r="AH129" s="6">
        <v>0.21</v>
      </c>
      <c r="AI129" s="6">
        <v>0.21</v>
      </c>
      <c r="AJ129" s="6">
        <v>0.21</v>
      </c>
      <c r="AK129" s="6">
        <v>0.21</v>
      </c>
      <c r="AL129" s="6">
        <v>0.21</v>
      </c>
    </row>
    <row r="130" spans="3:38">
      <c r="C130" s="5" t="s">
        <v>107</v>
      </c>
      <c r="D130" s="104">
        <v>0.25</v>
      </c>
      <c r="E130" s="104">
        <v>0.25</v>
      </c>
      <c r="F130" s="104">
        <v>0.25</v>
      </c>
      <c r="G130" s="104">
        <v>0.25</v>
      </c>
      <c r="H130" s="104">
        <v>0.25</v>
      </c>
      <c r="I130" s="104">
        <v>0.25</v>
      </c>
      <c r="J130" s="104">
        <v>0.21</v>
      </c>
      <c r="K130" s="104">
        <v>0.19</v>
      </c>
      <c r="L130" s="104">
        <v>0.18</v>
      </c>
      <c r="M130" s="128">
        <f t="shared" si="22"/>
        <v>0.18</v>
      </c>
      <c r="N130" s="128">
        <f t="shared" si="23"/>
        <v>0.18</v>
      </c>
      <c r="O130" s="128">
        <f t="shared" si="24"/>
        <v>0.18</v>
      </c>
      <c r="P130" s="128">
        <f t="shared" si="25"/>
        <v>0.18</v>
      </c>
      <c r="Q130" s="128">
        <f t="shared" si="26"/>
        <v>0.18</v>
      </c>
      <c r="R130" s="128">
        <f t="shared" si="27"/>
        <v>0.18</v>
      </c>
      <c r="S130" s="127">
        <v>0.18</v>
      </c>
      <c r="T130" s="104"/>
      <c r="U130" s="127"/>
      <c r="V130" s="127"/>
      <c r="W130" s="127"/>
      <c r="X130" s="127"/>
      <c r="Y130" s="127"/>
      <c r="Z130" s="127"/>
      <c r="AB130" s="127"/>
      <c r="AC130" s="127"/>
      <c r="AD130" s="6">
        <v>0.1</v>
      </c>
      <c r="AF130" s="5" t="s">
        <v>442</v>
      </c>
      <c r="AG130" s="6">
        <v>0.1</v>
      </c>
      <c r="AH130" s="6">
        <v>0</v>
      </c>
      <c r="AI130" s="6">
        <v>0.1</v>
      </c>
      <c r="AJ130" s="6">
        <v>0.1</v>
      </c>
      <c r="AK130" s="6">
        <v>0.1</v>
      </c>
      <c r="AL130" s="6">
        <v>0.1</v>
      </c>
    </row>
    <row r="131" spans="3:38">
      <c r="C131" s="5" t="s">
        <v>108</v>
      </c>
      <c r="D131" s="104">
        <v>0.55000000000000004</v>
      </c>
      <c r="E131" s="104">
        <v>0.55000000000000004</v>
      </c>
      <c r="F131" s="104">
        <v>0.55000000000000004</v>
      </c>
      <c r="G131" s="104">
        <v>0.55000000000000004</v>
      </c>
      <c r="H131" s="104">
        <v>0.55000000000000004</v>
      </c>
      <c r="I131" s="104">
        <v>0.55000000000000004</v>
      </c>
      <c r="J131" s="104">
        <v>0.55000000000000004</v>
      </c>
      <c r="K131" s="104">
        <v>0.55000000000000004</v>
      </c>
      <c r="L131" s="104">
        <v>0.55000000000000004</v>
      </c>
      <c r="M131" s="128">
        <f t="shared" si="22"/>
        <v>0.55000000000000004</v>
      </c>
      <c r="N131" s="128">
        <f t="shared" si="23"/>
        <v>0.55000000000000004</v>
      </c>
      <c r="O131" s="128">
        <f t="shared" si="24"/>
        <v>0.55000000000000004</v>
      </c>
      <c r="P131" s="128">
        <f t="shared" si="25"/>
        <v>0.55000000000000004</v>
      </c>
      <c r="Q131" s="128">
        <f t="shared" si="26"/>
        <v>0.55000000000000004</v>
      </c>
      <c r="R131" s="128">
        <f t="shared" si="27"/>
        <v>0.55000000000000004</v>
      </c>
      <c r="S131" s="127">
        <v>0.55000000000000004</v>
      </c>
      <c r="T131" s="104"/>
      <c r="U131" s="127"/>
      <c r="V131" s="127"/>
      <c r="W131" s="127"/>
      <c r="X131" s="127"/>
      <c r="Y131" s="127"/>
      <c r="Z131" s="127"/>
      <c r="AB131" s="127"/>
      <c r="AC131" s="127"/>
      <c r="AD131" s="6">
        <v>0.16</v>
      </c>
      <c r="AF131" s="5" t="s">
        <v>92</v>
      </c>
      <c r="AG131" s="6">
        <v>0.16</v>
      </c>
      <c r="AH131" s="6">
        <v>0.16</v>
      </c>
      <c r="AI131" s="6">
        <v>0.16</v>
      </c>
      <c r="AJ131" s="6">
        <v>0.16</v>
      </c>
      <c r="AK131" s="6">
        <v>0.16</v>
      </c>
      <c r="AL131" s="6">
        <v>0.16</v>
      </c>
    </row>
    <row r="132" spans="3:38">
      <c r="C132" s="5" t="s">
        <v>1531</v>
      </c>
      <c r="D132" s="104">
        <v>0.3</v>
      </c>
      <c r="E132" s="104">
        <v>0.3</v>
      </c>
      <c r="F132" s="104">
        <v>0.3</v>
      </c>
      <c r="G132" s="104">
        <v>0.28000000000000003</v>
      </c>
      <c r="H132" s="104">
        <v>0.28000000000000003</v>
      </c>
      <c r="I132" s="104">
        <v>0.26</v>
      </c>
      <c r="J132" s="104">
        <v>0.24</v>
      </c>
      <c r="K132" s="104">
        <v>0.23</v>
      </c>
      <c r="L132" s="104">
        <v>0.21</v>
      </c>
      <c r="M132" s="128">
        <v>0.2</v>
      </c>
      <c r="N132" s="128">
        <v>0.2</v>
      </c>
      <c r="O132" s="128">
        <v>0.19</v>
      </c>
      <c r="P132" s="128">
        <v>0.19</v>
      </c>
      <c r="Q132" s="128">
        <v>0.19</v>
      </c>
      <c r="R132" s="128">
        <v>0.19</v>
      </c>
      <c r="S132" s="127">
        <v>0.21</v>
      </c>
      <c r="T132" s="104"/>
      <c r="U132" s="127"/>
      <c r="V132" s="127"/>
      <c r="W132" s="127"/>
      <c r="X132" s="127"/>
      <c r="Y132" s="127"/>
      <c r="Z132" s="127"/>
      <c r="AB132" s="127"/>
      <c r="AC132" s="127"/>
      <c r="AD132" s="6">
        <v>0.2</v>
      </c>
      <c r="AF132" s="5" t="s">
        <v>93</v>
      </c>
      <c r="AG132" s="6">
        <v>0.2</v>
      </c>
      <c r="AH132" s="6">
        <v>0.2</v>
      </c>
      <c r="AI132" s="6">
        <v>0.2</v>
      </c>
      <c r="AJ132" s="6">
        <v>0.2</v>
      </c>
      <c r="AK132" s="6">
        <v>0.2</v>
      </c>
      <c r="AL132" s="6">
        <v>0.2</v>
      </c>
    </row>
    <row r="133" spans="3:38">
      <c r="C133" s="5" t="s">
        <v>115</v>
      </c>
      <c r="D133" s="104">
        <v>0.4</v>
      </c>
      <c r="E133" s="104">
        <v>0.4</v>
      </c>
      <c r="F133" s="104">
        <v>0.4</v>
      </c>
      <c r="G133" s="104">
        <v>0.4</v>
      </c>
      <c r="H133" s="104">
        <v>0.4</v>
      </c>
      <c r="I133" s="104">
        <v>0.4</v>
      </c>
      <c r="J133" s="104">
        <v>0.4</v>
      </c>
      <c r="K133" s="104">
        <v>0.4</v>
      </c>
      <c r="L133" s="104">
        <v>0.4</v>
      </c>
      <c r="M133" s="128">
        <f>VLOOKUP(C133,$AF$6:$AL$188,2,FALSE)</f>
        <v>0.4</v>
      </c>
      <c r="N133" s="128">
        <f t="shared" ref="N133:N152" si="28">VLOOKUP(C133,$AF$6:$AL$188,3,FALSE)</f>
        <v>0.4</v>
      </c>
      <c r="O133" s="128">
        <f t="shared" ref="O133:O152" si="29">VLOOKUP(C133,$AF$6:$AL$188,4,FALSE)</f>
        <v>0.4</v>
      </c>
      <c r="P133" s="128">
        <f t="shared" ref="P133:P152" si="30">VLOOKUP(C133,$AF$6:$AL$188,5,FALSE)</f>
        <v>0.27</v>
      </c>
      <c r="Q133" s="128">
        <f t="shared" ref="Q133:Q152" si="31">VLOOKUP(C133,$AF$6:$AL$188,6,FALSE)</f>
        <v>0.27</v>
      </c>
      <c r="R133" s="128">
        <f t="shared" ref="R133:R152" si="32">VLOOKUP(C133,$AF$6:$AL$188,7,FALSE)</f>
        <v>0.27</v>
      </c>
      <c r="S133" s="127">
        <v>0.4</v>
      </c>
      <c r="T133" s="104"/>
      <c r="U133" s="127"/>
      <c r="V133" s="127"/>
      <c r="W133" s="127"/>
      <c r="X133" s="127"/>
      <c r="Y133" s="127"/>
      <c r="Z133" s="127"/>
      <c r="AB133" s="127"/>
      <c r="AC133" s="127"/>
      <c r="AD133" s="6">
        <v>0.3</v>
      </c>
      <c r="AF133" s="5" t="s">
        <v>3843</v>
      </c>
      <c r="AG133" s="6">
        <v>0</v>
      </c>
      <c r="AH133" s="6">
        <v>0</v>
      </c>
      <c r="AI133" s="6">
        <v>0.3</v>
      </c>
      <c r="AJ133" s="6">
        <v>0.3</v>
      </c>
      <c r="AK133" s="6">
        <v>0.3</v>
      </c>
      <c r="AL133" s="6">
        <v>0.3</v>
      </c>
    </row>
    <row r="134" spans="3:38">
      <c r="C134" s="5" t="s">
        <v>109</v>
      </c>
      <c r="D134" s="104">
        <v>0.3</v>
      </c>
      <c r="E134" s="104">
        <v>0.3</v>
      </c>
      <c r="F134" s="104">
        <v>0.25</v>
      </c>
      <c r="G134" s="104">
        <v>0.25</v>
      </c>
      <c r="H134" s="104">
        <v>0.25</v>
      </c>
      <c r="I134" s="104">
        <v>0.25</v>
      </c>
      <c r="J134" s="104">
        <v>0.25</v>
      </c>
      <c r="K134" s="104">
        <v>0.25</v>
      </c>
      <c r="L134" s="104">
        <v>0.25</v>
      </c>
      <c r="M134" s="128">
        <f>VLOOKUP(C134,$AF$6:$AL$188,2,FALSE)</f>
        <v>0.25</v>
      </c>
      <c r="N134" s="128">
        <f t="shared" si="28"/>
        <v>0.25</v>
      </c>
      <c r="O134" s="128">
        <f t="shared" si="29"/>
        <v>0.25</v>
      </c>
      <c r="P134" s="128">
        <f t="shared" si="30"/>
        <v>0.25</v>
      </c>
      <c r="Q134" s="128">
        <f t="shared" si="31"/>
        <v>0.25</v>
      </c>
      <c r="R134" s="128">
        <f t="shared" si="32"/>
        <v>0.25</v>
      </c>
      <c r="S134" s="127">
        <v>0.25</v>
      </c>
      <c r="T134" s="104"/>
      <c r="U134" s="127"/>
      <c r="V134" s="127"/>
      <c r="W134" s="127"/>
      <c r="X134" s="127"/>
      <c r="Y134" s="127"/>
      <c r="Z134" s="127"/>
      <c r="AB134" s="127"/>
      <c r="AC134" s="127"/>
      <c r="AD134" s="6">
        <v>0.33</v>
      </c>
      <c r="AF134" s="5" t="s">
        <v>3844</v>
      </c>
      <c r="AG134" s="6">
        <v>0</v>
      </c>
      <c r="AH134" s="6">
        <v>0</v>
      </c>
      <c r="AI134" s="6">
        <v>0.33</v>
      </c>
      <c r="AJ134" s="6">
        <v>0.33</v>
      </c>
      <c r="AK134" s="6">
        <v>0.33</v>
      </c>
      <c r="AL134" s="6">
        <v>0.33</v>
      </c>
    </row>
    <row r="135" spans="3:38">
      <c r="C135" s="5" t="s">
        <v>453</v>
      </c>
      <c r="D135" s="104">
        <v>0</v>
      </c>
      <c r="E135" s="104">
        <v>0</v>
      </c>
      <c r="F135" s="104">
        <v>0</v>
      </c>
      <c r="G135" s="104">
        <v>0</v>
      </c>
      <c r="H135" s="104">
        <v>0</v>
      </c>
      <c r="I135" s="104">
        <v>0</v>
      </c>
      <c r="J135" s="104">
        <v>0</v>
      </c>
      <c r="K135" s="104">
        <v>0</v>
      </c>
      <c r="L135" s="104">
        <v>0</v>
      </c>
      <c r="M135" s="128">
        <f t="shared" ref="M135:M152" si="33">VLOOKUP(C135,$AF$6:$AL$188,2,FALSE)</f>
        <v>0</v>
      </c>
      <c r="N135" s="128">
        <f t="shared" si="28"/>
        <v>0</v>
      </c>
      <c r="O135" s="128">
        <f t="shared" si="29"/>
        <v>0.34</v>
      </c>
      <c r="P135" s="128">
        <f t="shared" si="30"/>
        <v>0</v>
      </c>
      <c r="Q135" s="128">
        <f t="shared" si="31"/>
        <v>0</v>
      </c>
      <c r="R135" s="128">
        <f t="shared" si="32"/>
        <v>0</v>
      </c>
      <c r="S135" s="127">
        <v>0</v>
      </c>
      <c r="T135" s="104"/>
      <c r="U135" s="127"/>
      <c r="V135" s="127"/>
      <c r="W135" s="127"/>
      <c r="X135" s="127"/>
      <c r="Y135" s="127"/>
      <c r="Z135" s="127"/>
      <c r="AB135" s="127"/>
      <c r="AC135" s="127"/>
      <c r="AD135" s="6">
        <v>0.3</v>
      </c>
      <c r="AF135" s="5" t="s">
        <v>3845</v>
      </c>
      <c r="AG135" s="6">
        <v>0</v>
      </c>
      <c r="AH135" s="6">
        <v>0</v>
      </c>
      <c r="AI135" s="6">
        <v>0.3</v>
      </c>
      <c r="AJ135" s="6">
        <v>0.3</v>
      </c>
      <c r="AK135" s="6">
        <v>0.3</v>
      </c>
      <c r="AL135" s="6">
        <v>0.3</v>
      </c>
    </row>
    <row r="136" spans="3:38">
      <c r="C136" s="5" t="s">
        <v>110</v>
      </c>
      <c r="D136" s="104">
        <v>0.34</v>
      </c>
      <c r="E136" s="104">
        <v>0.34</v>
      </c>
      <c r="F136" s="104">
        <v>0.34</v>
      </c>
      <c r="G136" s="104">
        <v>0.34</v>
      </c>
      <c r="H136" s="104">
        <v>0.34</v>
      </c>
      <c r="I136" s="104">
        <v>0.34</v>
      </c>
      <c r="J136" s="104">
        <v>0.34</v>
      </c>
      <c r="K136" s="104">
        <v>0.34</v>
      </c>
      <c r="L136" s="104">
        <v>0.34</v>
      </c>
      <c r="M136" s="128">
        <f t="shared" si="33"/>
        <v>0.34</v>
      </c>
      <c r="N136" s="128">
        <f t="shared" si="28"/>
        <v>0.34</v>
      </c>
      <c r="O136" s="128">
        <f t="shared" si="29"/>
        <v>0.34</v>
      </c>
      <c r="P136" s="128">
        <f t="shared" si="30"/>
        <v>0.34</v>
      </c>
      <c r="Q136" s="128">
        <f t="shared" si="31"/>
        <v>0.34</v>
      </c>
      <c r="R136" s="128">
        <f t="shared" si="32"/>
        <v>0.34</v>
      </c>
      <c r="S136" s="127">
        <v>0.34</v>
      </c>
      <c r="T136" s="104"/>
      <c r="U136" s="127"/>
      <c r="V136" s="127"/>
      <c r="W136" s="127"/>
      <c r="X136" s="127"/>
      <c r="Y136" s="127"/>
      <c r="Z136" s="127"/>
      <c r="AB136" s="127"/>
      <c r="AC136" s="127"/>
      <c r="AD136" s="6">
        <v>0.3</v>
      </c>
      <c r="AF136" s="5" t="s">
        <v>3846</v>
      </c>
      <c r="AG136" s="6">
        <v>0</v>
      </c>
      <c r="AH136" s="6">
        <v>0</v>
      </c>
      <c r="AI136" s="6">
        <v>0.32500000000000001</v>
      </c>
      <c r="AJ136" s="6">
        <v>0.33</v>
      </c>
      <c r="AK136" s="6">
        <v>0.3</v>
      </c>
      <c r="AL136" s="6">
        <v>0.3</v>
      </c>
    </row>
    <row r="137" spans="3:38">
      <c r="C137" s="5" t="s">
        <v>111</v>
      </c>
      <c r="D137" s="104">
        <v>0.28000000000000003</v>
      </c>
      <c r="E137" s="104">
        <v>0.28000000000000003</v>
      </c>
      <c r="F137" s="104">
        <v>0.28000000000000003</v>
      </c>
      <c r="G137" s="104">
        <v>0.25</v>
      </c>
      <c r="H137" s="104">
        <v>0.25</v>
      </c>
      <c r="I137" s="104">
        <v>0.25</v>
      </c>
      <c r="J137" s="104">
        <v>0.25</v>
      </c>
      <c r="K137" s="104">
        <v>0.25</v>
      </c>
      <c r="L137" s="104">
        <v>0.22</v>
      </c>
      <c r="M137" s="128">
        <f t="shared" si="33"/>
        <v>0.22</v>
      </c>
      <c r="N137" s="128">
        <f t="shared" si="28"/>
        <v>0.22</v>
      </c>
      <c r="O137" s="128">
        <f t="shared" si="29"/>
        <v>0.2</v>
      </c>
      <c r="P137" s="128">
        <f t="shared" si="30"/>
        <v>0.2</v>
      </c>
      <c r="Q137" s="128">
        <f t="shared" si="31"/>
        <v>0.2</v>
      </c>
      <c r="R137" s="128">
        <f t="shared" si="32"/>
        <v>0.2</v>
      </c>
      <c r="S137" s="127">
        <v>0.22</v>
      </c>
      <c r="T137" s="104"/>
      <c r="U137" s="127"/>
      <c r="V137" s="127"/>
      <c r="W137" s="127"/>
      <c r="X137" s="127"/>
      <c r="Y137" s="127"/>
      <c r="Z137" s="127"/>
      <c r="AB137" s="127"/>
      <c r="AC137" s="127"/>
      <c r="AD137" s="6">
        <v>0.27</v>
      </c>
      <c r="AF137" s="5" t="s">
        <v>443</v>
      </c>
      <c r="AG137" s="6">
        <v>0.27</v>
      </c>
      <c r="AH137" s="6">
        <v>0.27</v>
      </c>
      <c r="AI137" s="6">
        <v>0.27</v>
      </c>
      <c r="AJ137" s="6">
        <v>0.27</v>
      </c>
      <c r="AK137" s="6">
        <v>0.27</v>
      </c>
      <c r="AL137" s="6">
        <v>0.27</v>
      </c>
    </row>
    <row r="138" spans="3:38">
      <c r="C138" s="5" t="s">
        <v>112</v>
      </c>
      <c r="D138" s="104">
        <v>0.35</v>
      </c>
      <c r="E138" s="104">
        <v>0.35</v>
      </c>
      <c r="F138" s="104">
        <v>0.35</v>
      </c>
      <c r="G138" s="104">
        <v>0.35</v>
      </c>
      <c r="H138" s="104">
        <v>0.35</v>
      </c>
      <c r="I138" s="104">
        <v>0.2</v>
      </c>
      <c r="J138" s="104">
        <v>0.2</v>
      </c>
      <c r="K138" s="104">
        <v>0.2</v>
      </c>
      <c r="L138" s="104">
        <v>0.2</v>
      </c>
      <c r="M138" s="128">
        <f t="shared" si="33"/>
        <v>0.2</v>
      </c>
      <c r="N138" s="128">
        <f t="shared" si="28"/>
        <v>0.2</v>
      </c>
      <c r="O138" s="128">
        <f t="shared" si="29"/>
        <v>0.2</v>
      </c>
      <c r="P138" s="128">
        <f t="shared" si="30"/>
        <v>0.2</v>
      </c>
      <c r="Q138" s="128">
        <f t="shared" si="31"/>
        <v>0.2</v>
      </c>
      <c r="R138" s="128">
        <f t="shared" si="32"/>
        <v>0.2</v>
      </c>
      <c r="S138" s="127">
        <v>0.2</v>
      </c>
      <c r="T138" s="104"/>
      <c r="U138" s="127"/>
      <c r="V138" s="127"/>
      <c r="W138" s="127"/>
      <c r="X138" s="127"/>
      <c r="Y138" s="127"/>
      <c r="Z138" s="127"/>
      <c r="AB138" s="127"/>
      <c r="AC138" s="127"/>
      <c r="AD138" s="6">
        <v>0.2</v>
      </c>
      <c r="AF138" s="5" t="s">
        <v>94</v>
      </c>
      <c r="AG138" s="6">
        <v>0.2</v>
      </c>
      <c r="AH138" s="6">
        <v>0.2</v>
      </c>
      <c r="AI138" s="6">
        <v>0.2</v>
      </c>
      <c r="AJ138" s="6">
        <v>0.2</v>
      </c>
      <c r="AK138" s="6">
        <v>0.2</v>
      </c>
      <c r="AL138" s="6">
        <v>0.2</v>
      </c>
    </row>
    <row r="139" spans="3:38">
      <c r="C139" s="5" t="s">
        <v>113</v>
      </c>
      <c r="D139" s="104">
        <v>0.35</v>
      </c>
      <c r="E139" s="104">
        <v>0.35</v>
      </c>
      <c r="F139" s="104">
        <v>0.35</v>
      </c>
      <c r="G139" s="104">
        <v>0.35</v>
      </c>
      <c r="H139" s="104">
        <v>0.35</v>
      </c>
      <c r="I139" s="104">
        <v>0.35</v>
      </c>
      <c r="J139" s="104">
        <v>0.35</v>
      </c>
      <c r="K139" s="104">
        <v>0.35</v>
      </c>
      <c r="L139" s="104">
        <v>0.35</v>
      </c>
      <c r="M139" s="128">
        <f t="shared" si="33"/>
        <v>0.35</v>
      </c>
      <c r="N139" s="128">
        <f t="shared" si="28"/>
        <v>0.35</v>
      </c>
      <c r="O139" s="128">
        <f t="shared" si="29"/>
        <v>0.35</v>
      </c>
      <c r="P139" s="128">
        <f t="shared" si="30"/>
        <v>0.35</v>
      </c>
      <c r="Q139" s="128">
        <f t="shared" si="31"/>
        <v>0.35</v>
      </c>
      <c r="R139" s="128">
        <f t="shared" si="32"/>
        <v>0.35</v>
      </c>
      <c r="S139" s="127">
        <v>0.35</v>
      </c>
      <c r="T139" s="104"/>
      <c r="U139" s="127"/>
      <c r="V139" s="127"/>
      <c r="W139" s="127"/>
      <c r="X139" s="127"/>
      <c r="Y139" s="127"/>
      <c r="Z139" s="127"/>
      <c r="AB139" s="127"/>
      <c r="AC139" s="127"/>
      <c r="AD139" s="6">
        <v>0.3</v>
      </c>
      <c r="AF139" s="5" t="s">
        <v>3847</v>
      </c>
      <c r="AG139" s="6">
        <v>0</v>
      </c>
      <c r="AH139" s="6">
        <v>0</v>
      </c>
      <c r="AI139" s="6">
        <v>0.3</v>
      </c>
      <c r="AJ139" s="6">
        <v>0.3</v>
      </c>
      <c r="AK139" s="6">
        <v>0.3</v>
      </c>
      <c r="AL139" s="6">
        <v>0.3</v>
      </c>
    </row>
    <row r="140" spans="3:38">
      <c r="C140" s="5" t="s">
        <v>114</v>
      </c>
      <c r="D140" s="104">
        <v>0.309</v>
      </c>
      <c r="E140" s="104">
        <v>0.309</v>
      </c>
      <c r="F140" s="104">
        <v>0.309</v>
      </c>
      <c r="G140" s="104">
        <v>0.309</v>
      </c>
      <c r="H140" s="104">
        <v>0.25750000000000001</v>
      </c>
      <c r="I140" s="104">
        <v>0.25750000000000001</v>
      </c>
      <c r="J140" s="104">
        <v>0.25750000000000001</v>
      </c>
      <c r="K140" s="104">
        <v>0.25750000000000001</v>
      </c>
      <c r="L140" s="104">
        <v>0.25750000000000001</v>
      </c>
      <c r="M140" s="128">
        <f t="shared" si="33"/>
        <v>0.25750000000000001</v>
      </c>
      <c r="N140" s="128">
        <f t="shared" si="28"/>
        <v>0.25750000000000001</v>
      </c>
      <c r="O140" s="128">
        <f t="shared" si="29"/>
        <v>0.25</v>
      </c>
      <c r="P140" s="128">
        <f t="shared" si="30"/>
        <v>0.25</v>
      </c>
      <c r="Q140" s="128">
        <f t="shared" si="31"/>
        <v>0.25</v>
      </c>
      <c r="R140" s="128">
        <f t="shared" si="32"/>
        <v>0.24</v>
      </c>
      <c r="S140" s="127">
        <v>0.25750000000000001</v>
      </c>
      <c r="T140" s="104"/>
      <c r="U140" s="127"/>
      <c r="V140" s="127"/>
      <c r="W140" s="127"/>
      <c r="X140" s="127"/>
      <c r="Y140" s="127"/>
      <c r="Z140" s="127"/>
      <c r="AB140" s="127"/>
      <c r="AC140" s="127"/>
      <c r="AD140" s="6">
        <v>0.15</v>
      </c>
      <c r="AF140" s="5" t="s">
        <v>444</v>
      </c>
      <c r="AG140" s="6">
        <v>0.15</v>
      </c>
      <c r="AH140" s="6">
        <v>0.15</v>
      </c>
      <c r="AI140" s="6">
        <v>0.15</v>
      </c>
      <c r="AJ140" s="6">
        <v>0.15</v>
      </c>
      <c r="AK140" s="6">
        <v>0.15</v>
      </c>
      <c r="AL140" s="6">
        <v>0.15</v>
      </c>
    </row>
    <row r="141" spans="3:38">
      <c r="C141" s="5" t="s">
        <v>454</v>
      </c>
      <c r="D141" s="104">
        <v>0.30820000000000003</v>
      </c>
      <c r="E141" s="104">
        <v>0.30559999999999998</v>
      </c>
      <c r="F141" s="104">
        <v>0.28649999999999998</v>
      </c>
      <c r="G141" s="104">
        <v>0.28749999999999998</v>
      </c>
      <c r="H141" s="104">
        <v>0.2838</v>
      </c>
      <c r="I141" s="104">
        <v>0.28550000000000003</v>
      </c>
      <c r="J141" s="104">
        <v>0.29020000000000001</v>
      </c>
      <c r="K141" s="104">
        <v>0.28289999999999998</v>
      </c>
      <c r="L141" s="104">
        <v>0.27850000000000003</v>
      </c>
      <c r="M141" s="128">
        <f t="shared" si="33"/>
        <v>0.28139999999999998</v>
      </c>
      <c r="N141" s="128">
        <f t="shared" si="28"/>
        <v>0.28029999999999999</v>
      </c>
      <c r="O141" s="128">
        <f t="shared" si="29"/>
        <v>0.28210000000000002</v>
      </c>
      <c r="P141" s="128">
        <f t="shared" si="30"/>
        <v>0.28260000000000002</v>
      </c>
      <c r="Q141" s="128">
        <f t="shared" si="31"/>
        <v>0.2823</v>
      </c>
      <c r="R141" s="128">
        <f t="shared" si="32"/>
        <v>0.28249999999999997</v>
      </c>
      <c r="S141" s="127">
        <v>0.27850000000000003</v>
      </c>
      <c r="T141" s="104"/>
      <c r="U141" s="127"/>
      <c r="V141" s="127"/>
      <c r="W141" s="127"/>
      <c r="X141" s="127"/>
      <c r="Y141" s="127"/>
      <c r="Z141" s="127"/>
      <c r="AB141" s="127"/>
      <c r="AC141" s="127"/>
      <c r="AD141" s="6">
        <v>0.3</v>
      </c>
      <c r="AF141" s="5" t="s">
        <v>445</v>
      </c>
      <c r="AG141" s="6">
        <v>0.3</v>
      </c>
      <c r="AH141" s="6">
        <v>0.3</v>
      </c>
      <c r="AI141" s="6">
        <v>0.3</v>
      </c>
      <c r="AJ141" s="6">
        <v>0.3</v>
      </c>
      <c r="AK141" s="6">
        <v>0.3</v>
      </c>
      <c r="AL141" s="6">
        <v>0.3</v>
      </c>
    </row>
    <row r="142" spans="3:38">
      <c r="C142" s="5" t="s">
        <v>455</v>
      </c>
      <c r="D142" s="104">
        <v>0.29969999999999997</v>
      </c>
      <c r="E142" s="104">
        <v>0.29270000000000002</v>
      </c>
      <c r="F142" s="104">
        <v>0.28839999999999999</v>
      </c>
      <c r="G142" s="104">
        <v>0.28820000000000001</v>
      </c>
      <c r="H142" s="104">
        <v>0.2828</v>
      </c>
      <c r="I142" s="104">
        <v>0.2928</v>
      </c>
      <c r="J142" s="104">
        <v>0.28670000000000001</v>
      </c>
      <c r="K142" s="104">
        <v>0.28350000000000003</v>
      </c>
      <c r="L142" s="104">
        <v>0.2762</v>
      </c>
      <c r="M142" s="128">
        <f t="shared" si="33"/>
        <v>0.27610000000000001</v>
      </c>
      <c r="N142" s="128">
        <f t="shared" si="28"/>
        <v>0.27710000000000001</v>
      </c>
      <c r="O142" s="128">
        <f t="shared" si="29"/>
        <v>0.28289999999999998</v>
      </c>
      <c r="P142" s="128">
        <f t="shared" si="30"/>
        <v>0.28110000000000002</v>
      </c>
      <c r="Q142" s="128">
        <f t="shared" si="31"/>
        <v>0.27360000000000001</v>
      </c>
      <c r="R142" s="128">
        <f t="shared" si="32"/>
        <v>0.27329999999999999</v>
      </c>
      <c r="S142" s="127">
        <v>0.2762</v>
      </c>
      <c r="T142" s="104"/>
      <c r="U142" s="127"/>
      <c r="V142" s="127"/>
      <c r="W142" s="127"/>
      <c r="X142" s="127"/>
      <c r="Y142" s="127"/>
      <c r="Z142" s="127"/>
      <c r="AB142" s="127"/>
      <c r="AC142" s="127"/>
      <c r="AD142" s="6">
        <v>0.17</v>
      </c>
      <c r="AF142" s="5" t="s">
        <v>95</v>
      </c>
      <c r="AG142" s="6">
        <v>0.17</v>
      </c>
      <c r="AH142" s="6">
        <v>0.17</v>
      </c>
      <c r="AI142" s="6">
        <v>0.17</v>
      </c>
      <c r="AJ142" s="6">
        <v>0.17</v>
      </c>
      <c r="AK142" s="6">
        <v>0.17</v>
      </c>
      <c r="AL142" s="6">
        <v>0.17</v>
      </c>
    </row>
    <row r="143" spans="3:38">
      <c r="C143" s="5" t="s">
        <v>456</v>
      </c>
      <c r="D143" s="104">
        <v>0.28989999999999999</v>
      </c>
      <c r="E143" s="104">
        <v>0.28460000000000002</v>
      </c>
      <c r="F143" s="104">
        <v>0.27989999999999998</v>
      </c>
      <c r="G143" s="104">
        <v>0.25730000000000003</v>
      </c>
      <c r="H143" s="104">
        <v>0.23960000000000001</v>
      </c>
      <c r="I143" s="104">
        <v>0.23100000000000001</v>
      </c>
      <c r="J143" s="104">
        <v>0.22889999999999999</v>
      </c>
      <c r="K143" s="104">
        <v>0.2205</v>
      </c>
      <c r="L143" s="104">
        <v>0.21909999999999999</v>
      </c>
      <c r="M143" s="128">
        <f t="shared" si="33"/>
        <v>0.2198</v>
      </c>
      <c r="N143" s="128">
        <f t="shared" si="28"/>
        <v>0.21410000000000001</v>
      </c>
      <c r="O143" s="128">
        <f t="shared" si="29"/>
        <v>0.21079999999999999</v>
      </c>
      <c r="P143" s="128">
        <f t="shared" si="30"/>
        <v>0.21210000000000001</v>
      </c>
      <c r="Q143" s="128">
        <f t="shared" si="31"/>
        <v>0.21179999999999999</v>
      </c>
      <c r="R143" s="128">
        <f t="shared" si="32"/>
        <v>0.21129999999999999</v>
      </c>
      <c r="S143" s="127">
        <v>0.21909999999999999</v>
      </c>
      <c r="T143" s="104"/>
      <c r="U143" s="127"/>
      <c r="V143" s="127"/>
      <c r="W143" s="127"/>
      <c r="X143" s="127"/>
      <c r="Y143" s="127"/>
      <c r="Z143" s="127"/>
      <c r="AB143" s="127"/>
      <c r="AC143" s="127"/>
      <c r="AD143" s="6">
        <v>0.35</v>
      </c>
      <c r="AF143" s="5" t="s">
        <v>446</v>
      </c>
      <c r="AG143" s="6">
        <v>0.34499999999999997</v>
      </c>
      <c r="AH143" s="6">
        <v>0.34499999999999997</v>
      </c>
      <c r="AI143" s="6">
        <v>0.34499999999999997</v>
      </c>
      <c r="AJ143" s="6">
        <v>0.35</v>
      </c>
      <c r="AK143" s="6">
        <v>0.35</v>
      </c>
      <c r="AL143" s="6">
        <v>0.35</v>
      </c>
    </row>
    <row r="144" spans="3:38">
      <c r="C144" s="5" t="s">
        <v>457</v>
      </c>
      <c r="D144" s="104">
        <v>0.23699999999999999</v>
      </c>
      <c r="E144" s="104">
        <v>0.22989999999999999</v>
      </c>
      <c r="F144" s="104">
        <v>0.2195</v>
      </c>
      <c r="G144" s="104">
        <v>0.21640000000000001</v>
      </c>
      <c r="H144" s="104">
        <v>0.21460000000000001</v>
      </c>
      <c r="I144" s="104">
        <v>0.20809999999999998</v>
      </c>
      <c r="J144" s="104">
        <v>0.20420000000000002</v>
      </c>
      <c r="K144" s="104">
        <v>0.20600000000000002</v>
      </c>
      <c r="L144" s="104">
        <v>0.1968</v>
      </c>
      <c r="M144" s="128">
        <f t="shared" si="33"/>
        <v>0.20050000000000001</v>
      </c>
      <c r="N144" s="128">
        <f t="shared" si="28"/>
        <v>0.19969999999999999</v>
      </c>
      <c r="O144" s="128">
        <f t="shared" si="29"/>
        <v>0.1953</v>
      </c>
      <c r="P144" s="128">
        <f t="shared" si="30"/>
        <v>0.1948</v>
      </c>
      <c r="Q144" s="128">
        <f t="shared" si="31"/>
        <v>0.19259999999999999</v>
      </c>
      <c r="R144" s="128">
        <f t="shared" si="32"/>
        <v>0.19120000000000001</v>
      </c>
      <c r="S144" s="127">
        <v>0.1968</v>
      </c>
      <c r="T144" s="104"/>
      <c r="U144" s="127"/>
      <c r="V144" s="127"/>
      <c r="W144" s="127"/>
      <c r="X144" s="127"/>
      <c r="Y144" s="127"/>
      <c r="Z144" s="127"/>
      <c r="AB144" s="127"/>
      <c r="AC144" s="127"/>
      <c r="AD144" s="6">
        <v>0.21</v>
      </c>
      <c r="AF144" s="5" t="s">
        <v>447</v>
      </c>
      <c r="AG144" s="6">
        <v>0.22</v>
      </c>
      <c r="AH144" s="6">
        <v>0.22</v>
      </c>
      <c r="AI144" s="6">
        <v>0.21</v>
      </c>
      <c r="AJ144" s="6">
        <v>0.21</v>
      </c>
      <c r="AK144" s="6">
        <v>0.21</v>
      </c>
      <c r="AL144" s="6">
        <v>0.21</v>
      </c>
    </row>
    <row r="145" spans="3:38">
      <c r="C145" s="5" t="s">
        <v>458</v>
      </c>
      <c r="D145" s="104">
        <v>0.30599999999999999</v>
      </c>
      <c r="E145" s="104">
        <v>0.30199999999999999</v>
      </c>
      <c r="F145" s="104">
        <v>0.29600000000000004</v>
      </c>
      <c r="G145" s="104">
        <v>0.29199999999999998</v>
      </c>
      <c r="H145" s="104">
        <v>0.28999999999999998</v>
      </c>
      <c r="I145" s="104">
        <v>0.28600000000000003</v>
      </c>
      <c r="J145" s="104">
        <v>0.28600000000000003</v>
      </c>
      <c r="K145" s="104">
        <v>0.27</v>
      </c>
      <c r="L145" s="104">
        <v>0.27</v>
      </c>
      <c r="M145" s="128">
        <f t="shared" si="33"/>
        <v>0.27</v>
      </c>
      <c r="N145" s="128">
        <f t="shared" si="28"/>
        <v>0.27</v>
      </c>
      <c r="O145" s="128">
        <f t="shared" si="29"/>
        <v>0.2843</v>
      </c>
      <c r="P145" s="128">
        <f t="shared" si="30"/>
        <v>0.2843</v>
      </c>
      <c r="Q145" s="128">
        <f t="shared" si="31"/>
        <v>0.2843</v>
      </c>
      <c r="R145" s="128">
        <f t="shared" si="32"/>
        <v>0.2843</v>
      </c>
      <c r="S145" s="127">
        <v>0.27</v>
      </c>
      <c r="T145" s="104"/>
      <c r="U145" s="127"/>
      <c r="V145" s="127"/>
      <c r="W145" s="127"/>
      <c r="X145" s="127"/>
      <c r="Y145" s="127"/>
      <c r="Z145" s="127"/>
      <c r="AB145" s="127"/>
      <c r="AC145" s="127"/>
      <c r="AD145" s="6">
        <v>0.19</v>
      </c>
      <c r="AF145" s="5" t="s">
        <v>96</v>
      </c>
      <c r="AG145" s="6">
        <v>0.17</v>
      </c>
      <c r="AH145" s="6">
        <v>0.17</v>
      </c>
      <c r="AI145" s="6">
        <v>0.19</v>
      </c>
      <c r="AJ145" s="6">
        <v>0.19</v>
      </c>
      <c r="AK145" s="6">
        <v>0.19</v>
      </c>
      <c r="AL145" s="6">
        <v>0.19</v>
      </c>
    </row>
    <row r="146" spans="3:38">
      <c r="C146" s="5" t="s">
        <v>459</v>
      </c>
      <c r="D146" s="104">
        <v>0.38049999999999995</v>
      </c>
      <c r="E146" s="104">
        <v>0.38049999999999995</v>
      </c>
      <c r="F146" s="104">
        <v>0.36749999999999999</v>
      </c>
      <c r="G146" s="104">
        <v>0.36499999999999999</v>
      </c>
      <c r="H146" s="104">
        <v>0.35499999999999998</v>
      </c>
      <c r="I146" s="104">
        <v>0.34</v>
      </c>
      <c r="J146" s="104">
        <v>0.33</v>
      </c>
      <c r="K146" s="104">
        <v>0.33</v>
      </c>
      <c r="L146" s="104">
        <v>0.33250000000000002</v>
      </c>
      <c r="M146" s="128">
        <f t="shared" si="33"/>
        <v>0.33250000000000002</v>
      </c>
      <c r="N146" s="128">
        <f t="shared" si="28"/>
        <v>0.33250000000000002</v>
      </c>
      <c r="O146" s="128">
        <f t="shared" si="29"/>
        <v>0.33250000000000002</v>
      </c>
      <c r="P146" s="128">
        <f t="shared" si="30"/>
        <v>0.26750000000000002</v>
      </c>
      <c r="Q146" s="128">
        <f t="shared" si="31"/>
        <v>0.26750000000000002</v>
      </c>
      <c r="R146" s="128">
        <f t="shared" si="32"/>
        <v>0.26750000000000002</v>
      </c>
      <c r="S146" s="127">
        <v>0.33250000000000002</v>
      </c>
      <c r="T146" s="104"/>
      <c r="U146" s="127"/>
      <c r="V146" s="127"/>
      <c r="W146" s="127"/>
      <c r="X146" s="127"/>
      <c r="Y146" s="127"/>
      <c r="Z146" s="127"/>
      <c r="AB146" s="127"/>
      <c r="AC146" s="127"/>
      <c r="AD146" s="6">
        <v>0.3</v>
      </c>
      <c r="AF146" s="5" t="s">
        <v>3848</v>
      </c>
      <c r="AG146" s="6">
        <v>0</v>
      </c>
      <c r="AH146" s="6">
        <v>0</v>
      </c>
      <c r="AI146" s="6">
        <v>0.3</v>
      </c>
      <c r="AJ146" s="6">
        <v>0.3</v>
      </c>
      <c r="AK146" s="6">
        <v>0.3</v>
      </c>
      <c r="AL146" s="6">
        <v>0.3</v>
      </c>
    </row>
    <row r="147" spans="3:38">
      <c r="C147" s="5" t="s">
        <v>460</v>
      </c>
      <c r="D147" s="104">
        <v>0.29070000000000001</v>
      </c>
      <c r="E147" s="104">
        <v>0.28300000000000003</v>
      </c>
      <c r="F147" s="104">
        <v>0.27960000000000002</v>
      </c>
      <c r="G147" s="104">
        <v>0.27960000000000002</v>
      </c>
      <c r="H147" s="104">
        <v>0.2752</v>
      </c>
      <c r="I147" s="104">
        <v>0.2883</v>
      </c>
      <c r="J147" s="104">
        <v>0.28300000000000003</v>
      </c>
      <c r="K147" s="104">
        <v>0.27960000000000002</v>
      </c>
      <c r="L147" s="104">
        <v>0.27149999999999996</v>
      </c>
      <c r="M147" s="128">
        <f t="shared" si="33"/>
        <v>0.27160000000000001</v>
      </c>
      <c r="N147" s="128">
        <f t="shared" si="28"/>
        <v>0.27289999999999998</v>
      </c>
      <c r="O147" s="128">
        <f t="shared" si="29"/>
        <v>0.27979999999999999</v>
      </c>
      <c r="P147" s="128">
        <f t="shared" si="30"/>
        <v>0.28199999999999997</v>
      </c>
      <c r="Q147" s="128">
        <f t="shared" si="31"/>
        <v>0.27389999999999998</v>
      </c>
      <c r="R147" s="128">
        <f t="shared" si="32"/>
        <v>0.27360000000000001</v>
      </c>
      <c r="S147" s="127">
        <v>0.27149999999999996</v>
      </c>
      <c r="T147" s="104"/>
      <c r="U147" s="127"/>
      <c r="V147" s="127"/>
      <c r="W147" s="127"/>
      <c r="X147" s="127"/>
      <c r="Y147" s="127"/>
      <c r="Z147" s="127"/>
      <c r="AB147" s="127"/>
      <c r="AC147" s="127"/>
      <c r="AD147" s="6">
        <v>0.28000000000000003</v>
      </c>
      <c r="AF147" s="5" t="s">
        <v>97</v>
      </c>
      <c r="AG147" s="6">
        <v>0.28000000000000003</v>
      </c>
      <c r="AH147" s="6">
        <v>0.28000000000000003</v>
      </c>
      <c r="AI147" s="6">
        <v>0.28000000000000003</v>
      </c>
      <c r="AJ147" s="6">
        <v>0.28000000000000003</v>
      </c>
      <c r="AK147" s="6">
        <v>0.28000000000000003</v>
      </c>
      <c r="AL147" s="6">
        <v>0.28000000000000003</v>
      </c>
    </row>
    <row r="148" spans="3:38">
      <c r="C148" s="5" t="s">
        <v>461</v>
      </c>
      <c r="D148" s="104">
        <v>0.24829999999999999</v>
      </c>
      <c r="E148" s="104">
        <v>0.2397</v>
      </c>
      <c r="F148" s="104">
        <v>0.23170000000000002</v>
      </c>
      <c r="G148" s="104">
        <v>0.2311</v>
      </c>
      <c r="H148" s="104">
        <v>0.2293</v>
      </c>
      <c r="I148" s="104">
        <v>0.22699999999999998</v>
      </c>
      <c r="J148" s="104">
        <v>0.22510000000000002</v>
      </c>
      <c r="K148" s="104">
        <v>0.22750000000000001</v>
      </c>
      <c r="L148" s="104">
        <v>0.21340000000000001</v>
      </c>
      <c r="M148" s="128">
        <f t="shared" si="33"/>
        <v>0.2215</v>
      </c>
      <c r="N148" s="128">
        <f t="shared" si="28"/>
        <v>0.22090000000000001</v>
      </c>
      <c r="O148" s="128">
        <f t="shared" si="29"/>
        <v>0.21329999999999999</v>
      </c>
      <c r="P148" s="128">
        <f t="shared" si="30"/>
        <v>0.21290000000000001</v>
      </c>
      <c r="Q148" s="128">
        <f t="shared" si="31"/>
        <v>0.20979999999999999</v>
      </c>
      <c r="R148" s="128">
        <f t="shared" si="32"/>
        <v>0.2087</v>
      </c>
      <c r="S148" s="127">
        <v>0.21340000000000001</v>
      </c>
      <c r="T148" s="104"/>
      <c r="U148" s="127"/>
      <c r="V148" s="127"/>
      <c r="W148" s="127"/>
      <c r="X148" s="127"/>
      <c r="Y148" s="127"/>
      <c r="Z148" s="127"/>
      <c r="AB148" s="127"/>
      <c r="AC148" s="127"/>
      <c r="AD148" s="6">
        <v>0.25</v>
      </c>
      <c r="AF148" s="5" t="s">
        <v>98</v>
      </c>
      <c r="AG148" s="6">
        <v>0.28000000000000003</v>
      </c>
      <c r="AH148" s="6">
        <v>0.25</v>
      </c>
      <c r="AI148" s="6">
        <v>0.25</v>
      </c>
      <c r="AJ148" s="6">
        <v>0.25</v>
      </c>
      <c r="AK148" s="6">
        <v>0.25</v>
      </c>
      <c r="AL148" s="6">
        <v>0.25</v>
      </c>
    </row>
    <row r="149" spans="3:38">
      <c r="C149" s="5" t="s">
        <v>462</v>
      </c>
      <c r="D149" s="104">
        <v>0.2767</v>
      </c>
      <c r="E149" s="104">
        <v>0.27</v>
      </c>
      <c r="F149" s="104">
        <v>0.25989999999999996</v>
      </c>
      <c r="G149" s="104">
        <v>0.25640000000000002</v>
      </c>
      <c r="H149" s="104">
        <v>0.25700000000000001</v>
      </c>
      <c r="I149" s="104">
        <v>0.254</v>
      </c>
      <c r="J149" s="104">
        <v>0.2515</v>
      </c>
      <c r="K149" s="104">
        <v>0.25319999999999998</v>
      </c>
      <c r="L149" s="104">
        <v>0.24109999999999998</v>
      </c>
      <c r="M149" s="128">
        <f t="shared" si="33"/>
        <v>0.2477</v>
      </c>
      <c r="N149" s="128">
        <f t="shared" si="28"/>
        <v>0.24690000000000001</v>
      </c>
      <c r="O149" s="128">
        <f t="shared" si="29"/>
        <v>0.23949999999999999</v>
      </c>
      <c r="P149" s="128">
        <f t="shared" si="30"/>
        <v>0.23530000000000001</v>
      </c>
      <c r="Q149" s="128">
        <f t="shared" si="31"/>
        <v>0.23230000000000001</v>
      </c>
      <c r="R149" s="128">
        <f t="shared" si="32"/>
        <v>0.23050000000000001</v>
      </c>
      <c r="S149" s="127">
        <v>0.24109999999999998</v>
      </c>
      <c r="T149" s="104"/>
      <c r="U149" s="127"/>
      <c r="V149" s="127"/>
      <c r="W149" s="127"/>
      <c r="X149" s="127"/>
      <c r="Y149" s="127"/>
      <c r="Z149" s="127"/>
      <c r="AB149" s="127"/>
      <c r="AC149" s="127"/>
      <c r="AD149" s="6">
        <v>0.28000000000000003</v>
      </c>
      <c r="AF149" s="5" t="s">
        <v>99</v>
      </c>
      <c r="AG149" s="6">
        <v>0.28000000000000003</v>
      </c>
      <c r="AH149" s="6">
        <v>0.15</v>
      </c>
      <c r="AI149" s="6">
        <v>0.28000000000000003</v>
      </c>
      <c r="AJ149" s="6">
        <v>0.28000000000000003</v>
      </c>
      <c r="AK149" s="6">
        <v>0.28000000000000003</v>
      </c>
      <c r="AL149" s="6">
        <v>0.28000000000000003</v>
      </c>
    </row>
    <row r="150" spans="3:38">
      <c r="C150" s="5" t="s">
        <v>463</v>
      </c>
      <c r="D150" s="104">
        <v>0.27500000000000002</v>
      </c>
      <c r="E150" s="104">
        <v>0.26950000000000002</v>
      </c>
      <c r="F150" s="104">
        <v>0.26100000000000001</v>
      </c>
      <c r="G150" s="104">
        <v>0.25379999999999997</v>
      </c>
      <c r="H150" s="104">
        <v>0.24690000000000001</v>
      </c>
      <c r="I150" s="104">
        <v>0.245</v>
      </c>
      <c r="J150" s="104">
        <v>0.24399999999999999</v>
      </c>
      <c r="K150" s="104">
        <v>0.23710000000000001</v>
      </c>
      <c r="L150" s="104">
        <v>0.23569999999999999</v>
      </c>
      <c r="M150" s="128">
        <f t="shared" si="33"/>
        <v>0.23769999999999999</v>
      </c>
      <c r="N150" s="128">
        <f t="shared" si="28"/>
        <v>0.23619999999999999</v>
      </c>
      <c r="O150" s="128">
        <f t="shared" si="29"/>
        <v>0.24060000000000001</v>
      </c>
      <c r="P150" s="128">
        <f t="shared" si="30"/>
        <v>0.24049999999999999</v>
      </c>
      <c r="Q150" s="128">
        <f t="shared" si="31"/>
        <v>0.23810000000000001</v>
      </c>
      <c r="R150" s="128">
        <f t="shared" si="32"/>
        <v>0.2379</v>
      </c>
      <c r="S150" s="127">
        <v>0.23569999999999999</v>
      </c>
      <c r="T150" s="104"/>
      <c r="U150" s="127"/>
      <c r="V150" s="127"/>
      <c r="W150" s="127"/>
      <c r="X150" s="127"/>
      <c r="Y150" s="127"/>
      <c r="Z150" s="127"/>
      <c r="AB150" s="127"/>
      <c r="AC150" s="127"/>
      <c r="AD150" s="6">
        <v>0.35</v>
      </c>
      <c r="AF150" s="5" t="s">
        <v>3849</v>
      </c>
      <c r="AG150" s="6">
        <v>0.245</v>
      </c>
      <c r="AH150" s="6">
        <v>0.34499999999999997</v>
      </c>
      <c r="AI150" s="6">
        <v>0.34499999999999997</v>
      </c>
      <c r="AJ150" s="6">
        <v>0.35</v>
      </c>
      <c r="AK150" s="6">
        <v>0.35</v>
      </c>
      <c r="AL150" s="6">
        <v>0.35</v>
      </c>
    </row>
    <row r="151" spans="3:38">
      <c r="C151" s="5" t="s">
        <v>462</v>
      </c>
      <c r="D151" s="104">
        <v>0.2767</v>
      </c>
      <c r="E151" s="104">
        <v>0.27</v>
      </c>
      <c r="F151" s="104">
        <v>0.25989999999999996</v>
      </c>
      <c r="G151" s="104">
        <v>0.25640000000000002</v>
      </c>
      <c r="H151" s="104">
        <v>0.25700000000000001</v>
      </c>
      <c r="I151" s="104">
        <v>0.254</v>
      </c>
      <c r="J151" s="104">
        <v>0.2515</v>
      </c>
      <c r="K151" s="104">
        <v>0.25319999999999998</v>
      </c>
      <c r="L151" s="104">
        <v>0.24109999999999998</v>
      </c>
      <c r="M151" s="128">
        <f t="shared" si="33"/>
        <v>0.2477</v>
      </c>
      <c r="N151" s="128">
        <f t="shared" si="28"/>
        <v>0.24690000000000001</v>
      </c>
      <c r="O151" s="128">
        <f t="shared" si="29"/>
        <v>0.23949999999999999</v>
      </c>
      <c r="P151" s="128">
        <f t="shared" si="30"/>
        <v>0.23530000000000001</v>
      </c>
      <c r="Q151" s="128">
        <f t="shared" si="31"/>
        <v>0.23230000000000001</v>
      </c>
      <c r="R151" s="128">
        <f t="shared" si="32"/>
        <v>0.23050000000000001</v>
      </c>
      <c r="S151" s="127">
        <v>0.24109999999999998</v>
      </c>
      <c r="T151" s="104"/>
      <c r="U151" s="127"/>
      <c r="V151" s="127"/>
      <c r="W151" s="127"/>
      <c r="X151" s="127"/>
      <c r="Y151" s="127"/>
      <c r="Z151" s="127"/>
      <c r="AB151" s="127"/>
      <c r="AC151" s="127"/>
      <c r="AD151" s="6">
        <v>0.35</v>
      </c>
      <c r="AF151" s="5" t="s">
        <v>100</v>
      </c>
      <c r="AG151" s="6">
        <v>0.35</v>
      </c>
      <c r="AH151" s="6">
        <v>0.35</v>
      </c>
      <c r="AI151" s="6">
        <v>0.35</v>
      </c>
      <c r="AJ151" s="6">
        <v>0.35</v>
      </c>
      <c r="AK151" s="6">
        <v>0.35</v>
      </c>
      <c r="AL151" s="6">
        <v>0.35</v>
      </c>
    </row>
    <row r="152" spans="3:38">
      <c r="C152" s="5" t="s">
        <v>463</v>
      </c>
      <c r="D152" s="104">
        <v>0.27500000000000002</v>
      </c>
      <c r="E152" s="104">
        <v>0.26950000000000002</v>
      </c>
      <c r="F152" s="104">
        <v>0.26100000000000001</v>
      </c>
      <c r="G152" s="104">
        <v>0.25379999999999997</v>
      </c>
      <c r="H152" s="104">
        <v>0.24690000000000001</v>
      </c>
      <c r="I152" s="104">
        <v>0.245</v>
      </c>
      <c r="J152" s="104">
        <v>0.24399999999999999</v>
      </c>
      <c r="K152" s="104">
        <v>0.23710000000000001</v>
      </c>
      <c r="L152" s="104">
        <v>0.23569999999999999</v>
      </c>
      <c r="M152" s="128">
        <f t="shared" si="33"/>
        <v>0.23769999999999999</v>
      </c>
      <c r="N152" s="128">
        <f t="shared" si="28"/>
        <v>0.23619999999999999</v>
      </c>
      <c r="O152" s="128">
        <f t="shared" si="29"/>
        <v>0.24060000000000001</v>
      </c>
      <c r="P152" s="128">
        <f t="shared" si="30"/>
        <v>0.24049999999999999</v>
      </c>
      <c r="Q152" s="128">
        <f t="shared" si="31"/>
        <v>0.23810000000000001</v>
      </c>
      <c r="R152" s="128">
        <f t="shared" si="32"/>
        <v>0.2379</v>
      </c>
      <c r="S152" s="127">
        <v>0.23569999999999999</v>
      </c>
      <c r="T152" s="104"/>
      <c r="U152" s="127"/>
      <c r="V152" s="127"/>
      <c r="W152" s="127"/>
      <c r="X152" s="127"/>
      <c r="Y152" s="127"/>
      <c r="Z152" s="127"/>
      <c r="AB152" s="127"/>
      <c r="AC152" s="127"/>
      <c r="AD152" s="6">
        <v>0.36</v>
      </c>
      <c r="AF152" s="5" t="s">
        <v>448</v>
      </c>
      <c r="AG152" s="6">
        <v>0.34499999999999997</v>
      </c>
      <c r="AH152" s="6">
        <v>0.34499999999999997</v>
      </c>
      <c r="AI152" s="6">
        <v>0.36</v>
      </c>
      <c r="AJ152" s="6">
        <v>0.36</v>
      </c>
      <c r="AK152" s="6">
        <v>0.36</v>
      </c>
      <c r="AL152" s="6">
        <v>0.36</v>
      </c>
    </row>
    <row r="153" spans="3:38">
      <c r="AD153" s="6">
        <v>0.27500000000000002</v>
      </c>
      <c r="AF153" s="5" t="s">
        <v>3850</v>
      </c>
      <c r="AG153" s="6">
        <v>0</v>
      </c>
      <c r="AH153" s="6">
        <v>0</v>
      </c>
      <c r="AI153" s="6">
        <v>0.27500000000000002</v>
      </c>
      <c r="AJ153" s="6">
        <v>0.28000000000000003</v>
      </c>
      <c r="AK153" s="6">
        <v>0.27500000000000002</v>
      </c>
      <c r="AL153" s="6">
        <v>0.27500000000000002</v>
      </c>
    </row>
    <row r="154" spans="3:38">
      <c r="AD154" s="6">
        <v>0.214</v>
      </c>
      <c r="AF154" s="5" t="s">
        <v>101</v>
      </c>
      <c r="AG154" s="6">
        <v>0.22</v>
      </c>
      <c r="AH154" s="6">
        <v>0.22</v>
      </c>
      <c r="AI154" s="6">
        <v>0.22</v>
      </c>
      <c r="AJ154" s="6">
        <v>0.22</v>
      </c>
      <c r="AK154" s="6">
        <v>0.214</v>
      </c>
      <c r="AL154" s="6">
        <v>0.214</v>
      </c>
    </row>
    <row r="155" spans="3:38">
      <c r="AD155" s="6">
        <v>0.1484</v>
      </c>
      <c r="AF155" s="5" t="s">
        <v>102</v>
      </c>
      <c r="AG155" s="6">
        <v>0.1792</v>
      </c>
      <c r="AH155" s="6">
        <v>0.1792</v>
      </c>
      <c r="AI155" s="6">
        <v>0.1777</v>
      </c>
      <c r="AJ155" s="6">
        <v>0.18</v>
      </c>
      <c r="AK155" s="6">
        <v>0.18</v>
      </c>
      <c r="AL155" s="6">
        <v>0.1484</v>
      </c>
    </row>
    <row r="156" spans="3:38">
      <c r="AD156" s="6">
        <v>0.28000000000000003</v>
      </c>
      <c r="AF156" s="5" t="s">
        <v>3851</v>
      </c>
      <c r="AG156" s="6">
        <v>0.22</v>
      </c>
      <c r="AH156" s="6">
        <v>0.22</v>
      </c>
      <c r="AI156" s="6">
        <v>0.28000000000000003</v>
      </c>
      <c r="AJ156" s="6">
        <v>0.28000000000000003</v>
      </c>
      <c r="AK156" s="6">
        <v>0.28000000000000003</v>
      </c>
      <c r="AL156" s="6">
        <v>0.28000000000000003</v>
      </c>
    </row>
    <row r="157" spans="3:38">
      <c r="AD157" s="6">
        <v>0.2</v>
      </c>
      <c r="AF157" s="5" t="s">
        <v>103</v>
      </c>
      <c r="AG157" s="6">
        <v>0.17</v>
      </c>
      <c r="AH157" s="6">
        <v>0.17</v>
      </c>
      <c r="AI157" s="6">
        <v>0.17</v>
      </c>
      <c r="AJ157" s="6">
        <v>0.2</v>
      </c>
      <c r="AK157" s="6">
        <v>0.2</v>
      </c>
      <c r="AL157" s="6">
        <v>0.2</v>
      </c>
    </row>
    <row r="158" spans="3:38">
      <c r="AD158" s="6">
        <v>0.3</v>
      </c>
      <c r="AF158" s="5" t="s">
        <v>450</v>
      </c>
      <c r="AG158" s="6">
        <v>0.3</v>
      </c>
      <c r="AH158" s="6">
        <v>0.3</v>
      </c>
      <c r="AI158" s="6">
        <v>0.3</v>
      </c>
      <c r="AJ158" s="6">
        <v>0.3</v>
      </c>
      <c r="AK158" s="6">
        <v>0.3</v>
      </c>
      <c r="AL158" s="6">
        <v>0.3</v>
      </c>
    </row>
    <row r="159" spans="3:38">
      <c r="AD159" s="6">
        <v>0.2</v>
      </c>
      <c r="AF159" s="5" t="s">
        <v>104</v>
      </c>
      <c r="AG159" s="6">
        <v>0.2</v>
      </c>
      <c r="AH159" s="6">
        <v>0.2</v>
      </c>
      <c r="AI159" s="6">
        <v>0.2</v>
      </c>
      <c r="AJ159" s="6">
        <v>0.2</v>
      </c>
      <c r="AK159" s="6">
        <v>0.2</v>
      </c>
      <c r="AL159" s="6">
        <v>0.2</v>
      </c>
    </row>
    <row r="160" spans="3:38">
      <c r="AD160" s="6">
        <v>0.3</v>
      </c>
      <c r="AF160" s="5" t="s">
        <v>451</v>
      </c>
      <c r="AG160" s="6">
        <v>0.25</v>
      </c>
      <c r="AH160" s="6">
        <v>0.25</v>
      </c>
      <c r="AI160" s="6">
        <v>0.25</v>
      </c>
      <c r="AJ160" s="6">
        <v>0.25</v>
      </c>
      <c r="AK160" s="6">
        <v>0.25</v>
      </c>
      <c r="AL160" s="6">
        <v>0.3</v>
      </c>
    </row>
    <row r="161" spans="30:38">
      <c r="AD161" s="6">
        <v>0.25</v>
      </c>
      <c r="AF161" s="5" t="s">
        <v>105</v>
      </c>
      <c r="AG161" s="6">
        <v>0.25</v>
      </c>
      <c r="AH161" s="6">
        <v>0.25</v>
      </c>
      <c r="AI161" s="6">
        <v>0.25</v>
      </c>
      <c r="AJ161" s="6">
        <v>0.25</v>
      </c>
      <c r="AK161" s="6">
        <v>0.25</v>
      </c>
      <c r="AL161" s="6">
        <v>0.25</v>
      </c>
    </row>
    <row r="162" spans="30:38">
      <c r="AD162" s="6">
        <v>0.22</v>
      </c>
      <c r="AF162" s="5" t="s">
        <v>106</v>
      </c>
      <c r="AG162" s="6">
        <v>0.2</v>
      </c>
      <c r="AH162" s="6">
        <v>0.2</v>
      </c>
      <c r="AI162" s="6">
        <v>0.2</v>
      </c>
      <c r="AJ162" s="6">
        <v>0.22</v>
      </c>
      <c r="AK162" s="6">
        <v>0.22</v>
      </c>
      <c r="AL162" s="6">
        <v>0.22</v>
      </c>
    </row>
    <row r="163" spans="30:38">
      <c r="AD163" s="6">
        <v>0.2</v>
      </c>
      <c r="AF163" s="5" t="s">
        <v>3852</v>
      </c>
      <c r="AG163" s="6">
        <v>0</v>
      </c>
      <c r="AH163" s="6">
        <v>0</v>
      </c>
      <c r="AI163" s="6">
        <v>0.2</v>
      </c>
      <c r="AJ163" s="6">
        <v>0.2</v>
      </c>
      <c r="AK163" s="6">
        <v>0.2</v>
      </c>
      <c r="AL163" s="6">
        <v>0.2</v>
      </c>
    </row>
    <row r="164" spans="30:38">
      <c r="AD164" s="6">
        <v>0</v>
      </c>
      <c r="AF164" s="5" t="s">
        <v>3853</v>
      </c>
      <c r="AG164" s="6">
        <v>0</v>
      </c>
      <c r="AH164" s="6">
        <v>0</v>
      </c>
      <c r="AI164" s="6">
        <v>0</v>
      </c>
      <c r="AJ164" s="6">
        <v>0</v>
      </c>
      <c r="AK164" s="6">
        <v>0</v>
      </c>
      <c r="AL164" s="6">
        <v>0</v>
      </c>
    </row>
    <row r="165" spans="30:38">
      <c r="AD165" s="6">
        <v>0.3</v>
      </c>
      <c r="AF165" s="5" t="s">
        <v>452</v>
      </c>
      <c r="AG165" s="6">
        <v>0.3</v>
      </c>
      <c r="AH165" s="6">
        <v>0.3</v>
      </c>
      <c r="AI165" s="6">
        <v>0.3</v>
      </c>
      <c r="AJ165" s="6">
        <v>0.3</v>
      </c>
      <c r="AK165" s="6">
        <v>0.3</v>
      </c>
      <c r="AL165" s="6">
        <v>0.3</v>
      </c>
    </row>
    <row r="166" spans="30:38">
      <c r="AD166" s="6">
        <v>0.18</v>
      </c>
      <c r="AF166" s="5" t="s">
        <v>107</v>
      </c>
      <c r="AG166" s="6">
        <v>0.18</v>
      </c>
      <c r="AH166" s="6">
        <v>0.18</v>
      </c>
      <c r="AI166" s="6">
        <v>0.18</v>
      </c>
      <c r="AJ166" s="6">
        <v>0.18</v>
      </c>
      <c r="AK166" s="6">
        <v>0.18</v>
      </c>
      <c r="AL166" s="6">
        <v>0.18</v>
      </c>
    </row>
    <row r="167" spans="30:38">
      <c r="AD167" s="6">
        <v>0.55000000000000004</v>
      </c>
      <c r="AF167" s="5" t="s">
        <v>108</v>
      </c>
      <c r="AG167" s="6">
        <v>0.55000000000000004</v>
      </c>
      <c r="AH167" s="6">
        <v>0.55000000000000004</v>
      </c>
      <c r="AI167" s="6">
        <v>0.55000000000000004</v>
      </c>
      <c r="AJ167" s="6">
        <v>0.55000000000000004</v>
      </c>
      <c r="AK167" s="6">
        <v>0.55000000000000004</v>
      </c>
      <c r="AL167" s="6">
        <v>0.55000000000000004</v>
      </c>
    </row>
    <row r="168" spans="30:38">
      <c r="AD168" s="6">
        <v>0.19</v>
      </c>
      <c r="AF168" s="5" t="s">
        <v>3854</v>
      </c>
      <c r="AG168" s="6">
        <v>0.2</v>
      </c>
      <c r="AH168" s="6">
        <v>0.2</v>
      </c>
      <c r="AI168" s="6">
        <v>0.19</v>
      </c>
      <c r="AJ168" s="6">
        <v>0.19</v>
      </c>
      <c r="AK168" s="6">
        <v>0.19</v>
      </c>
      <c r="AL168" s="6">
        <v>0.19</v>
      </c>
    </row>
    <row r="169" spans="30:38">
      <c r="AD169" s="6">
        <v>0.27</v>
      </c>
      <c r="AF169" s="5" t="s">
        <v>115</v>
      </c>
      <c r="AG169" s="6">
        <v>0.4</v>
      </c>
      <c r="AH169" s="6">
        <v>0.4</v>
      </c>
      <c r="AI169" s="6">
        <v>0.4</v>
      </c>
      <c r="AJ169" s="6">
        <v>0.27</v>
      </c>
      <c r="AK169" s="6">
        <v>0.27</v>
      </c>
      <c r="AL169" s="6">
        <v>0.27</v>
      </c>
    </row>
    <row r="170" spans="30:38">
      <c r="AD170" s="6">
        <v>0.25</v>
      </c>
      <c r="AF170" s="5" t="s">
        <v>109</v>
      </c>
      <c r="AG170" s="6">
        <v>0.25</v>
      </c>
      <c r="AH170" s="6">
        <v>0.25</v>
      </c>
      <c r="AI170" s="6">
        <v>0.25</v>
      </c>
      <c r="AJ170" s="6">
        <v>0.25</v>
      </c>
      <c r="AK170" s="6">
        <v>0.25</v>
      </c>
      <c r="AL170" s="6">
        <v>0.25</v>
      </c>
    </row>
    <row r="171" spans="30:38">
      <c r="AD171" s="6">
        <v>7.4999999999999997E-2</v>
      </c>
      <c r="AF171" s="5" t="s">
        <v>3855</v>
      </c>
      <c r="AG171" s="6">
        <v>0</v>
      </c>
      <c r="AH171" s="6">
        <v>7.4999999999999997E-2</v>
      </c>
      <c r="AI171" s="6">
        <v>7.4999999999999997E-2</v>
      </c>
      <c r="AJ171" s="6">
        <v>7.4999999999999997E-2</v>
      </c>
      <c r="AK171" s="6">
        <v>7.4999999999999997E-2</v>
      </c>
      <c r="AL171" s="6">
        <v>7.4999999999999997E-2</v>
      </c>
    </row>
    <row r="172" spans="30:38">
      <c r="AD172" s="6">
        <v>0</v>
      </c>
      <c r="AF172" s="5" t="s">
        <v>453</v>
      </c>
      <c r="AG172" s="6">
        <v>0</v>
      </c>
      <c r="AH172" s="6">
        <v>0</v>
      </c>
      <c r="AI172" s="6">
        <v>0.34</v>
      </c>
      <c r="AJ172" s="6">
        <v>0</v>
      </c>
      <c r="AK172" s="6">
        <v>0</v>
      </c>
      <c r="AL172" s="6">
        <v>0</v>
      </c>
    </row>
    <row r="173" spans="30:38">
      <c r="AD173" s="6">
        <v>0.34</v>
      </c>
      <c r="AF173" s="5" t="s">
        <v>110</v>
      </c>
      <c r="AG173" s="6">
        <v>0.34</v>
      </c>
      <c r="AH173" s="6">
        <v>0.34</v>
      </c>
      <c r="AI173" s="6">
        <v>0.34</v>
      </c>
      <c r="AJ173" s="6">
        <v>0.34</v>
      </c>
      <c r="AK173" s="6">
        <v>0.34</v>
      </c>
      <c r="AL173" s="6">
        <v>0.34</v>
      </c>
    </row>
    <row r="174" spans="30:38">
      <c r="AD174" s="6">
        <v>0.2</v>
      </c>
      <c r="AF174" s="5" t="s">
        <v>111</v>
      </c>
      <c r="AG174" s="6">
        <v>0.22</v>
      </c>
      <c r="AH174" s="6">
        <v>0.22</v>
      </c>
      <c r="AI174" s="6">
        <v>0.2</v>
      </c>
      <c r="AJ174" s="6">
        <v>0.2</v>
      </c>
      <c r="AK174" s="6">
        <v>0.2</v>
      </c>
      <c r="AL174" s="6">
        <v>0.2</v>
      </c>
    </row>
    <row r="175" spans="30:38">
      <c r="AD175" s="6">
        <v>0.2</v>
      </c>
      <c r="AF175" s="5" t="s">
        <v>112</v>
      </c>
      <c r="AG175" s="6">
        <v>0.2</v>
      </c>
      <c r="AH175" s="6">
        <v>0.2</v>
      </c>
      <c r="AI175" s="6">
        <v>0.2</v>
      </c>
      <c r="AJ175" s="6">
        <v>0.2</v>
      </c>
      <c r="AK175" s="6">
        <v>0.2</v>
      </c>
      <c r="AL175" s="6">
        <v>0.2</v>
      </c>
    </row>
    <row r="176" spans="30:38">
      <c r="AD176" s="6">
        <v>0.35</v>
      </c>
      <c r="AF176" s="5" t="s">
        <v>113</v>
      </c>
      <c r="AG176" s="6">
        <v>0.35</v>
      </c>
      <c r="AH176" s="6">
        <v>0.35</v>
      </c>
      <c r="AI176" s="6">
        <v>0.35</v>
      </c>
      <c r="AJ176" s="6">
        <v>0.35</v>
      </c>
      <c r="AK176" s="6">
        <v>0.35</v>
      </c>
      <c r="AL176" s="6">
        <v>0.35</v>
      </c>
    </row>
    <row r="177" spans="30:38">
      <c r="AD177" s="6">
        <v>0.24</v>
      </c>
      <c r="AF177" s="5" t="s">
        <v>114</v>
      </c>
      <c r="AG177" s="6">
        <v>0.25750000000000001</v>
      </c>
      <c r="AH177" s="6">
        <v>0.25750000000000001</v>
      </c>
      <c r="AI177" s="6">
        <v>0.25</v>
      </c>
      <c r="AJ177" s="6">
        <v>0.25</v>
      </c>
      <c r="AK177" s="6">
        <v>0.25</v>
      </c>
      <c r="AL177" s="6">
        <v>0.24</v>
      </c>
    </row>
    <row r="178" spans="30:38">
      <c r="AD178" s="6">
        <v>0.28249999999999997</v>
      </c>
      <c r="AF178" s="5" t="s">
        <v>454</v>
      </c>
      <c r="AG178" s="6">
        <v>0.28139999999999998</v>
      </c>
      <c r="AH178" s="6">
        <v>0.28029999999999999</v>
      </c>
      <c r="AI178" s="6">
        <v>0.28210000000000002</v>
      </c>
      <c r="AJ178" s="6">
        <v>0.28260000000000002</v>
      </c>
      <c r="AK178" s="6">
        <v>0.2823</v>
      </c>
      <c r="AL178" s="6">
        <v>0.28249999999999997</v>
      </c>
    </row>
    <row r="179" spans="30:38">
      <c r="AD179" s="6">
        <v>0.27329999999999999</v>
      </c>
      <c r="AF179" s="5" t="s">
        <v>455</v>
      </c>
      <c r="AG179" s="6">
        <v>0.27610000000000001</v>
      </c>
      <c r="AH179" s="6">
        <v>0.27710000000000001</v>
      </c>
      <c r="AI179" s="6">
        <v>0.28289999999999998</v>
      </c>
      <c r="AJ179" s="6">
        <v>0.28110000000000002</v>
      </c>
      <c r="AK179" s="6">
        <v>0.27360000000000001</v>
      </c>
      <c r="AL179" s="6">
        <v>0.27329999999999999</v>
      </c>
    </row>
    <row r="180" spans="30:38">
      <c r="AD180" s="6">
        <v>0.21129999999999999</v>
      </c>
      <c r="AF180" s="5" t="s">
        <v>456</v>
      </c>
      <c r="AG180" s="6">
        <v>0.2198</v>
      </c>
      <c r="AH180" s="6">
        <v>0.21410000000000001</v>
      </c>
      <c r="AI180" s="6">
        <v>0.21079999999999999</v>
      </c>
      <c r="AJ180" s="6">
        <v>0.21210000000000001</v>
      </c>
      <c r="AK180" s="6">
        <v>0.21179999999999999</v>
      </c>
      <c r="AL180" s="6">
        <v>0.21129999999999999</v>
      </c>
    </row>
    <row r="181" spans="30:38">
      <c r="AD181" s="6">
        <v>0.2087</v>
      </c>
      <c r="AF181" s="5" t="s">
        <v>461</v>
      </c>
      <c r="AG181" s="6">
        <v>0.2215</v>
      </c>
      <c r="AH181" s="6">
        <v>0.22090000000000001</v>
      </c>
      <c r="AI181" s="6">
        <v>0.21329999999999999</v>
      </c>
      <c r="AJ181" s="6">
        <v>0.21290000000000001</v>
      </c>
      <c r="AK181" s="6">
        <v>0.20979999999999999</v>
      </c>
      <c r="AL181" s="6">
        <v>0.2087</v>
      </c>
    </row>
    <row r="182" spans="30:38">
      <c r="AD182" s="6">
        <v>0.19120000000000001</v>
      </c>
      <c r="AF182" s="5" t="s">
        <v>457</v>
      </c>
      <c r="AG182" s="6">
        <v>0.20050000000000001</v>
      </c>
      <c r="AH182" s="6">
        <v>0.19969999999999999</v>
      </c>
      <c r="AI182" s="6">
        <v>0.1953</v>
      </c>
      <c r="AJ182" s="6">
        <v>0.1948</v>
      </c>
      <c r="AK182" s="6">
        <v>0.19259999999999999</v>
      </c>
      <c r="AL182" s="6">
        <v>0.19120000000000001</v>
      </c>
    </row>
    <row r="183" spans="30:38">
      <c r="AD183" s="6">
        <v>0.2379</v>
      </c>
      <c r="AF183" s="5" t="s">
        <v>463</v>
      </c>
      <c r="AG183" s="6">
        <v>0.23769999999999999</v>
      </c>
      <c r="AH183" s="6">
        <v>0.23619999999999999</v>
      </c>
      <c r="AI183" s="6">
        <v>0.24060000000000001</v>
      </c>
      <c r="AJ183" s="6">
        <v>0.24049999999999999</v>
      </c>
      <c r="AK183" s="6">
        <v>0.23810000000000001</v>
      </c>
      <c r="AL183" s="6">
        <v>0.2379</v>
      </c>
    </row>
    <row r="184" spans="30:38">
      <c r="AD184" s="6">
        <v>0.27360000000000001</v>
      </c>
      <c r="AF184" s="5" t="s">
        <v>460</v>
      </c>
      <c r="AG184" s="6">
        <v>0.27160000000000001</v>
      </c>
      <c r="AH184" s="6">
        <v>0.27289999999999998</v>
      </c>
      <c r="AI184" s="6">
        <v>0.27979999999999999</v>
      </c>
      <c r="AJ184" s="6">
        <v>0.28199999999999997</v>
      </c>
      <c r="AK184" s="6">
        <v>0.27389999999999998</v>
      </c>
      <c r="AL184" s="6">
        <v>0.27360000000000001</v>
      </c>
    </row>
    <row r="185" spans="30:38">
      <c r="AD185" s="6">
        <v>0.26750000000000002</v>
      </c>
      <c r="AF185" s="5" t="s">
        <v>459</v>
      </c>
      <c r="AG185" s="6">
        <v>0.33250000000000002</v>
      </c>
      <c r="AH185" s="6">
        <v>0.33250000000000002</v>
      </c>
      <c r="AI185" s="6">
        <v>0.33250000000000002</v>
      </c>
      <c r="AJ185" s="6">
        <v>0.26750000000000002</v>
      </c>
      <c r="AK185" s="6">
        <v>0.26750000000000002</v>
      </c>
      <c r="AL185" s="6">
        <v>0.26750000000000002</v>
      </c>
    </row>
    <row r="186" spans="30:38">
      <c r="AD186" s="6">
        <v>0.2843</v>
      </c>
      <c r="AF186" s="5" t="s">
        <v>458</v>
      </c>
      <c r="AG186" s="6">
        <v>0.27</v>
      </c>
      <c r="AH186" s="6">
        <v>0.27</v>
      </c>
      <c r="AI186" s="6">
        <v>0.2843</v>
      </c>
      <c r="AJ186" s="6">
        <v>0.2843</v>
      </c>
      <c r="AK186" s="6">
        <v>0.2843</v>
      </c>
      <c r="AL186" s="6">
        <v>0.2843</v>
      </c>
    </row>
    <row r="187" spans="30:38">
      <c r="AD187" s="6">
        <v>0.23050000000000001</v>
      </c>
      <c r="AF187" s="5" t="s">
        <v>462</v>
      </c>
      <c r="AG187" s="6">
        <v>0.2477</v>
      </c>
      <c r="AH187" s="6">
        <v>0.24690000000000001</v>
      </c>
      <c r="AI187" s="6">
        <v>0.23949999999999999</v>
      </c>
      <c r="AJ187" s="6">
        <v>0.23530000000000001</v>
      </c>
      <c r="AK187" s="6">
        <v>0.23230000000000001</v>
      </c>
      <c r="AL187" s="6">
        <v>0.23050000000000001</v>
      </c>
    </row>
    <row r="188" spans="30:38">
      <c r="AD188" s="6">
        <v>0.27360000000000001</v>
      </c>
      <c r="AF188" s="5" t="s">
        <v>3856</v>
      </c>
      <c r="AG188" s="6">
        <v>0.27160000000000001</v>
      </c>
      <c r="AH188" s="6">
        <v>0.27289999999999998</v>
      </c>
      <c r="AI188" s="6">
        <v>0.27979999999999999</v>
      </c>
      <c r="AJ188" s="6">
        <v>0.28199999999999997</v>
      </c>
      <c r="AK188" s="6">
        <v>0.27389999999999998</v>
      </c>
      <c r="AL188" s="6">
        <v>0.27360000000000001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Values">
    <tabColor theme="0" tint="-0.499984740745262"/>
  </sheetPr>
  <dimension ref="A1:P222"/>
  <sheetViews>
    <sheetView workbookViewId="0">
      <selection activeCell="C32" sqref="C32"/>
    </sheetView>
  </sheetViews>
  <sheetFormatPr defaultRowHeight="14.25"/>
  <cols>
    <col min="1" max="1" width="39.3984375" bestFit="1" customWidth="1"/>
    <col min="2" max="2" width="7.59765625" customWidth="1"/>
    <col min="3" max="3" width="45.59765625" bestFit="1" customWidth="1"/>
    <col min="4" max="4" width="6" bestFit="1" customWidth="1"/>
    <col min="5" max="5" width="7.86328125" style="80" customWidth="1"/>
    <col min="6" max="6" width="39.3984375" bestFit="1" customWidth="1"/>
    <col min="7" max="7" width="11.6640625" style="72" bestFit="1" customWidth="1"/>
    <col min="8" max="8" width="10.6640625" customWidth="1"/>
    <col min="9" max="9" width="24" bestFit="1" customWidth="1"/>
    <col min="10" max="10" width="8.86328125" bestFit="1" customWidth="1"/>
    <col min="11" max="11" width="18" bestFit="1" customWidth="1"/>
    <col min="12" max="16" width="8.86328125" bestFit="1" customWidth="1"/>
  </cols>
  <sheetData>
    <row r="1" spans="1:16" s="1" customFormat="1" ht="37.5" customHeight="1">
      <c r="A1" s="1" t="s">
        <v>371</v>
      </c>
      <c r="B1" s="62" t="s">
        <v>372</v>
      </c>
      <c r="C1" s="1" t="s">
        <v>373</v>
      </c>
      <c r="D1" s="1" t="s">
        <v>374</v>
      </c>
      <c r="E1" s="79" t="s">
        <v>375</v>
      </c>
      <c r="F1" s="1" t="s">
        <v>376</v>
      </c>
      <c r="G1" s="62" t="s">
        <v>412</v>
      </c>
      <c r="H1" s="62" t="s">
        <v>3</v>
      </c>
      <c r="I1" s="63" t="s">
        <v>377</v>
      </c>
      <c r="J1" s="63" t="s">
        <v>378</v>
      </c>
      <c r="K1" s="63" t="s">
        <v>379</v>
      </c>
      <c r="L1" s="63" t="s">
        <v>380</v>
      </c>
      <c r="M1" s="63" t="s">
        <v>381</v>
      </c>
      <c r="N1" s="63" t="s">
        <v>382</v>
      </c>
      <c r="O1" s="63" t="s">
        <v>383</v>
      </c>
      <c r="P1" s="63" t="s">
        <v>384</v>
      </c>
    </row>
    <row r="2" spans="1:16">
      <c r="C2" s="64" t="s">
        <v>4</v>
      </c>
      <c r="D2" s="64" t="s">
        <v>385</v>
      </c>
      <c r="E2" s="114" t="s">
        <v>386</v>
      </c>
      <c r="F2" s="64" t="s">
        <v>387</v>
      </c>
      <c r="G2" s="66">
        <f t="shared" ref="G2:G9" ca="1" si="0">WORKDAY(Effective.Date,-1)</f>
        <v>45273</v>
      </c>
      <c r="H2" s="66"/>
    </row>
    <row r="3" spans="1:16">
      <c r="C3" s="64" t="s">
        <v>10</v>
      </c>
      <c r="D3" s="64" t="s">
        <v>385</v>
      </c>
      <c r="E3" s="114" t="s">
        <v>386</v>
      </c>
      <c r="F3" t="s">
        <v>11</v>
      </c>
      <c r="G3" s="66">
        <f t="shared" ca="1" si="0"/>
        <v>45273</v>
      </c>
      <c r="H3" s="66"/>
    </row>
    <row r="4" spans="1:16">
      <c r="C4" s="64" t="s">
        <v>13</v>
      </c>
      <c r="D4" s="64" t="s">
        <v>385</v>
      </c>
      <c r="E4" s="114" t="s">
        <v>386</v>
      </c>
      <c r="F4" s="64" t="s">
        <v>388</v>
      </c>
      <c r="G4" s="66">
        <f t="shared" ca="1" si="0"/>
        <v>45273</v>
      </c>
    </row>
    <row r="5" spans="1:16">
      <c r="C5" s="64" t="s">
        <v>14</v>
      </c>
      <c r="D5" s="64" t="s">
        <v>385</v>
      </c>
      <c r="E5" s="114" t="s">
        <v>386</v>
      </c>
      <c r="F5" s="64" t="s">
        <v>389</v>
      </c>
      <c r="G5" s="66">
        <f t="shared" ca="1" si="0"/>
        <v>45273</v>
      </c>
    </row>
    <row r="6" spans="1:16">
      <c r="A6" s="64" t="s">
        <v>390</v>
      </c>
      <c r="C6" s="3" t="s">
        <v>415</v>
      </c>
      <c r="D6" s="64" t="s">
        <v>391</v>
      </c>
      <c r="E6" s="114" t="s">
        <v>386</v>
      </c>
      <c r="F6" s="64" t="s">
        <v>392</v>
      </c>
      <c r="G6" s="66">
        <f t="shared" ca="1" si="0"/>
        <v>45273</v>
      </c>
      <c r="H6" s="3" t="s">
        <v>286</v>
      </c>
    </row>
    <row r="7" spans="1:16">
      <c r="A7" s="64" t="s">
        <v>390</v>
      </c>
      <c r="C7" s="3" t="s">
        <v>416</v>
      </c>
      <c r="D7" s="64" t="s">
        <v>391</v>
      </c>
      <c r="E7" s="114" t="s">
        <v>386</v>
      </c>
      <c r="F7" s="64" t="s">
        <v>392</v>
      </c>
      <c r="G7" s="66">
        <f t="shared" ca="1" si="0"/>
        <v>45273</v>
      </c>
      <c r="H7" s="3" t="s">
        <v>393</v>
      </c>
    </row>
    <row r="8" spans="1:16">
      <c r="A8" s="64" t="s">
        <v>394</v>
      </c>
      <c r="C8" s="3" t="s">
        <v>418</v>
      </c>
      <c r="D8" s="64" t="s">
        <v>391</v>
      </c>
      <c r="E8" s="114" t="s">
        <v>386</v>
      </c>
      <c r="F8" s="64" t="s">
        <v>395</v>
      </c>
      <c r="G8" s="66">
        <f t="shared" ca="1" si="0"/>
        <v>45273</v>
      </c>
      <c r="H8" s="3" t="s">
        <v>286</v>
      </c>
    </row>
    <row r="9" spans="1:16">
      <c r="A9" s="64" t="s">
        <v>394</v>
      </c>
      <c r="C9" s="3" t="s">
        <v>417</v>
      </c>
      <c r="D9" s="64" t="s">
        <v>391</v>
      </c>
      <c r="E9" s="114" t="s">
        <v>386</v>
      </c>
      <c r="F9" s="64" t="s">
        <v>395</v>
      </c>
      <c r="G9" s="66">
        <f t="shared" ca="1" si="0"/>
        <v>45273</v>
      </c>
      <c r="H9" s="3" t="s">
        <v>393</v>
      </c>
    </row>
    <row r="10" spans="1:16">
      <c r="A10" t="str">
        <f t="shared" ref="A10:A73" si="1">C10</f>
        <v>AMORT_OF_GOODWILL</v>
      </c>
      <c r="B10" s="65">
        <v>2004</v>
      </c>
      <c r="C10" s="3" t="s">
        <v>190</v>
      </c>
      <c r="D10" s="64" t="s">
        <v>413</v>
      </c>
      <c r="E10" s="114" t="s">
        <v>386</v>
      </c>
      <c r="F10" s="64" t="s">
        <v>190</v>
      </c>
      <c r="G10" s="66" t="s">
        <v>3627</v>
      </c>
      <c r="H10" s="3" t="s">
        <v>286</v>
      </c>
    </row>
    <row r="11" spans="1:16">
      <c r="A11" t="str">
        <f t="shared" si="1"/>
        <v>ARD_ALLOW_FOR_DOUBTFUL_ACCTS_LT</v>
      </c>
      <c r="B11" s="65">
        <v>2004</v>
      </c>
      <c r="C11" t="str">
        <f t="shared" ref="C11:C74" si="2">F11</f>
        <v>ARD_ALLOW_FOR_DOUBTFUL_ACCTS_LT</v>
      </c>
      <c r="D11" s="64" t="s">
        <v>413</v>
      </c>
      <c r="E11" s="114" t="s">
        <v>386</v>
      </c>
      <c r="F11" s="64" t="s">
        <v>249</v>
      </c>
      <c r="G11" s="66" t="s">
        <v>3627</v>
      </c>
      <c r="H11" s="3" t="s">
        <v>286</v>
      </c>
    </row>
    <row r="12" spans="1:16">
      <c r="A12" t="str">
        <f t="shared" si="1"/>
        <v>ARD_AMORT_EXP</v>
      </c>
      <c r="B12" s="65">
        <v>2004</v>
      </c>
      <c r="C12" t="str">
        <f t="shared" si="2"/>
        <v>ARD_AMORT_EXP</v>
      </c>
      <c r="D12" s="64" t="s">
        <v>413</v>
      </c>
      <c r="E12" s="114" t="s">
        <v>386</v>
      </c>
      <c r="F12" s="64" t="s">
        <v>171</v>
      </c>
      <c r="G12" s="66" t="s">
        <v>3627</v>
      </c>
      <c r="H12" s="3" t="s">
        <v>286</v>
      </c>
    </row>
    <row r="13" spans="1:16">
      <c r="A13" t="str">
        <f t="shared" si="1"/>
        <v>ARD_AMORT_IMPAIR_INTANG_ASSETS</v>
      </c>
      <c r="B13" s="65">
        <v>2004</v>
      </c>
      <c r="C13" t="str">
        <f t="shared" si="2"/>
        <v>ARD_AMORT_IMPAIR_INTANG_ASSETS</v>
      </c>
      <c r="D13" s="64" t="s">
        <v>413</v>
      </c>
      <c r="E13" s="114" t="s">
        <v>386</v>
      </c>
      <c r="F13" s="64" t="s">
        <v>182</v>
      </c>
      <c r="G13" s="66" t="s">
        <v>3627</v>
      </c>
      <c r="H13" s="3" t="s">
        <v>286</v>
      </c>
    </row>
    <row r="14" spans="1:16">
      <c r="A14" t="str">
        <f t="shared" si="1"/>
        <v>ARD_AMORT_IMPAIR_OF_INTANGIBLES</v>
      </c>
      <c r="B14" s="65">
        <v>2004</v>
      </c>
      <c r="C14" t="str">
        <f t="shared" si="2"/>
        <v>ARD_AMORT_IMPAIR_OF_INTANGIBLES</v>
      </c>
      <c r="D14" s="64" t="s">
        <v>413</v>
      </c>
      <c r="E14" s="114" t="s">
        <v>386</v>
      </c>
      <c r="F14" s="64" t="s">
        <v>183</v>
      </c>
      <c r="G14" s="66" t="s">
        <v>3627</v>
      </c>
      <c r="H14" s="3" t="s">
        <v>286</v>
      </c>
    </row>
    <row r="15" spans="1:16">
      <c r="A15" t="str">
        <f t="shared" si="1"/>
        <v>ARD_AMORT_OF_INTANGIBLE_ASSETS</v>
      </c>
      <c r="B15" s="65">
        <v>2004</v>
      </c>
      <c r="C15" t="str">
        <f t="shared" si="2"/>
        <v>ARD_AMORT_OF_INTANGIBLE_ASSETS</v>
      </c>
      <c r="D15" s="64" t="s">
        <v>413</v>
      </c>
      <c r="E15" s="114" t="s">
        <v>386</v>
      </c>
      <c r="F15" s="64" t="s">
        <v>173</v>
      </c>
      <c r="G15" s="66" t="s">
        <v>3627</v>
      </c>
      <c r="H15" s="3" t="s">
        <v>286</v>
      </c>
    </row>
    <row r="16" spans="1:16">
      <c r="A16" t="str">
        <f t="shared" si="1"/>
        <v>ARD_AMORTIZATION_CF</v>
      </c>
      <c r="B16" s="65">
        <v>2004</v>
      </c>
      <c r="C16" t="str">
        <f t="shared" si="2"/>
        <v>ARD_AMORTIZATION_CF</v>
      </c>
      <c r="D16" s="64" t="s">
        <v>413</v>
      </c>
      <c r="E16" s="114" t="s">
        <v>386</v>
      </c>
      <c r="F16" s="64" t="s">
        <v>175</v>
      </c>
      <c r="G16" s="66" t="s">
        <v>3627</v>
      </c>
      <c r="H16" s="3" t="s">
        <v>286</v>
      </c>
    </row>
    <row r="17" spans="1:8">
      <c r="A17" t="str">
        <f t="shared" si="1"/>
        <v>ARD_AMORTIZATION_GOODWILL_CF</v>
      </c>
      <c r="B17" s="65">
        <v>2004</v>
      </c>
      <c r="C17" t="str">
        <f t="shared" si="2"/>
        <v>ARD_AMORTIZATION_GOODWILL_CF</v>
      </c>
      <c r="D17" s="64" t="s">
        <v>413</v>
      </c>
      <c r="E17" s="114" t="s">
        <v>386</v>
      </c>
      <c r="F17" s="64" t="s">
        <v>201</v>
      </c>
      <c r="G17" s="66" t="s">
        <v>3627</v>
      </c>
      <c r="H17" s="3" t="s">
        <v>286</v>
      </c>
    </row>
    <row r="18" spans="1:8">
      <c r="A18" t="str">
        <f t="shared" si="1"/>
        <v>ARD_AMORTIZATION_OF_GOODWILL_IS</v>
      </c>
      <c r="B18" s="65">
        <v>2004</v>
      </c>
      <c r="C18" t="str">
        <f t="shared" si="2"/>
        <v>ARD_AMORTIZATION_OF_GOODWILL_IS</v>
      </c>
      <c r="D18" s="64" t="s">
        <v>413</v>
      </c>
      <c r="E18" s="114" t="s">
        <v>386</v>
      </c>
      <c r="F18" s="64" t="s">
        <v>191</v>
      </c>
      <c r="G18" s="66" t="s">
        <v>3627</v>
      </c>
      <c r="H18" s="3" t="s">
        <v>286</v>
      </c>
    </row>
    <row r="19" spans="1:8">
      <c r="A19" t="str">
        <f t="shared" si="1"/>
        <v>ARD_AMORTIZATION_OF_INTANGIBLE</v>
      </c>
      <c r="B19" s="65">
        <v>2004</v>
      </c>
      <c r="C19" t="str">
        <f t="shared" si="2"/>
        <v>ARD_AMORTIZATION_OF_INTANGIBLE</v>
      </c>
      <c r="D19" s="64" t="s">
        <v>413</v>
      </c>
      <c r="E19" s="114" t="s">
        <v>386</v>
      </c>
      <c r="F19" s="64" t="s">
        <v>180</v>
      </c>
      <c r="G19" s="66" t="s">
        <v>3627</v>
      </c>
      <c r="H19" s="3" t="s">
        <v>286</v>
      </c>
    </row>
    <row r="20" spans="1:8">
      <c r="A20" t="str">
        <f t="shared" si="1"/>
        <v>ARD_AMORTIZATION_OF_SOFTWARE</v>
      </c>
      <c r="B20" s="65">
        <v>2004</v>
      </c>
      <c r="C20" t="str">
        <f t="shared" si="2"/>
        <v>ARD_AMORTIZATION_OF_SOFTWARE</v>
      </c>
      <c r="D20" s="64" t="s">
        <v>413</v>
      </c>
      <c r="E20" s="114" t="s">
        <v>386</v>
      </c>
      <c r="F20" s="64" t="s">
        <v>197</v>
      </c>
      <c r="G20" s="66" t="s">
        <v>3627</v>
      </c>
      <c r="H20" s="3" t="s">
        <v>286</v>
      </c>
    </row>
    <row r="21" spans="1:8">
      <c r="A21" t="str">
        <f t="shared" si="1"/>
        <v>ARD_AMORTIZATION_OF_SOFTWARE_IS</v>
      </c>
      <c r="B21" s="65">
        <v>2004</v>
      </c>
      <c r="C21" t="str">
        <f t="shared" si="2"/>
        <v>ARD_AMORTIZATION_OF_SOFTWARE_IS</v>
      </c>
      <c r="D21" s="64" t="s">
        <v>413</v>
      </c>
      <c r="E21" s="114" t="s">
        <v>386</v>
      </c>
      <c r="F21" s="64" t="s">
        <v>198</v>
      </c>
      <c r="G21" s="66" t="s">
        <v>3627</v>
      </c>
      <c r="H21" s="3" t="s">
        <v>286</v>
      </c>
    </row>
    <row r="22" spans="1:8">
      <c r="A22" t="str">
        <f t="shared" si="1"/>
        <v>ARD_AMOT_IMPAIRMENT_GOODWILL</v>
      </c>
      <c r="B22" s="65">
        <v>2004</v>
      </c>
      <c r="C22" t="str">
        <f t="shared" si="2"/>
        <v>ARD_AMOT_IMPAIRMENT_GOODWILL</v>
      </c>
      <c r="D22" s="64" t="s">
        <v>413</v>
      </c>
      <c r="E22" s="114" t="s">
        <v>386</v>
      </c>
      <c r="F22" s="64" t="s">
        <v>195</v>
      </c>
      <c r="G22" s="66" t="s">
        <v>3627</v>
      </c>
      <c r="H22" s="3" t="s">
        <v>286</v>
      </c>
    </row>
    <row r="23" spans="1:8">
      <c r="A23" t="str">
        <f t="shared" si="1"/>
        <v>ARD_ASSETS_HELD_FOR_SALE_LT</v>
      </c>
      <c r="B23" s="65">
        <v>2004</v>
      </c>
      <c r="C23" t="str">
        <f t="shared" si="2"/>
        <v>ARD_ASSETS_HELD_FOR_SALE_LT</v>
      </c>
      <c r="D23" s="64" t="s">
        <v>413</v>
      </c>
      <c r="E23" s="114" t="s">
        <v>386</v>
      </c>
      <c r="F23" s="64" t="s">
        <v>266</v>
      </c>
      <c r="G23" s="66" t="s">
        <v>3627</v>
      </c>
      <c r="H23" s="3" t="s">
        <v>286</v>
      </c>
    </row>
    <row r="24" spans="1:8">
      <c r="A24" t="str">
        <f t="shared" si="1"/>
        <v>ARD_CASH_AND_EQUIVALENTS</v>
      </c>
      <c r="B24" s="65">
        <v>2004</v>
      </c>
      <c r="C24" t="str">
        <f t="shared" si="2"/>
        <v>ARD_CASH_AND_EQUIVALENTS</v>
      </c>
      <c r="D24" s="64" t="s">
        <v>413</v>
      </c>
      <c r="E24" s="114" t="s">
        <v>386</v>
      </c>
      <c r="F24" s="64" t="s">
        <v>276</v>
      </c>
      <c r="G24" s="66" t="s">
        <v>3627</v>
      </c>
      <c r="H24" s="3" t="s">
        <v>286</v>
      </c>
    </row>
    <row r="25" spans="1:8">
      <c r="A25" t="str">
        <f t="shared" si="1"/>
        <v>ARD_CURRENT_PORTION_OF_LT_DEBT</v>
      </c>
      <c r="B25" s="65">
        <v>2004</v>
      </c>
      <c r="C25" t="str">
        <f t="shared" si="2"/>
        <v>ARD_CURRENT_PORTION_OF_LT_DEBT</v>
      </c>
      <c r="D25" s="64" t="s">
        <v>413</v>
      </c>
      <c r="E25" s="114" t="s">
        <v>386</v>
      </c>
      <c r="F25" s="64" t="s">
        <v>217</v>
      </c>
      <c r="G25" s="66" t="s">
        <v>3627</v>
      </c>
      <c r="H25" s="3" t="s">
        <v>286</v>
      </c>
    </row>
    <row r="26" spans="1:8">
      <c r="A26" t="str">
        <f t="shared" si="1"/>
        <v>ARD_DEFERRED_COSTS</v>
      </c>
      <c r="B26" s="65">
        <v>2004</v>
      </c>
      <c r="C26" t="str">
        <f t="shared" si="2"/>
        <v>ARD_DEFERRED_COSTS</v>
      </c>
      <c r="D26" s="64" t="s">
        <v>413</v>
      </c>
      <c r="E26" s="114" t="s">
        <v>386</v>
      </c>
      <c r="F26" s="64" t="s">
        <v>275</v>
      </c>
      <c r="G26" s="66" t="s">
        <v>3627</v>
      </c>
      <c r="H26" s="3" t="s">
        <v>286</v>
      </c>
    </row>
    <row r="27" spans="1:8">
      <c r="A27" t="str">
        <f t="shared" si="1"/>
        <v>ARD_DEFERRED_INC_TAX_ASSET_LT</v>
      </c>
      <c r="B27" s="65">
        <v>2004</v>
      </c>
      <c r="C27" t="str">
        <f t="shared" si="2"/>
        <v>ARD_DEFERRED_INC_TAX_ASSET_LT</v>
      </c>
      <c r="D27" s="64" t="s">
        <v>413</v>
      </c>
      <c r="E27" s="114" t="s">
        <v>386</v>
      </c>
      <c r="F27" s="64" t="s">
        <v>259</v>
      </c>
      <c r="G27" s="66" t="s">
        <v>3627</v>
      </c>
      <c r="H27" s="3" t="s">
        <v>286</v>
      </c>
    </row>
    <row r="28" spans="1:8">
      <c r="A28" t="str">
        <f t="shared" si="1"/>
        <v>ARD_DEFERRED_TAX_ASSETS_LT</v>
      </c>
      <c r="B28" s="65">
        <v>2004</v>
      </c>
      <c r="C28" t="str">
        <f t="shared" si="2"/>
        <v>ARD_DEFERRED_TAX_ASSETS_LT</v>
      </c>
      <c r="D28" s="64" t="s">
        <v>413</v>
      </c>
      <c r="E28" s="114" t="s">
        <v>386</v>
      </c>
      <c r="F28" s="64" t="s">
        <v>260</v>
      </c>
      <c r="G28" s="66" t="s">
        <v>3627</v>
      </c>
      <c r="H28" s="3" t="s">
        <v>286</v>
      </c>
    </row>
    <row r="29" spans="1:8">
      <c r="A29" t="str">
        <f t="shared" si="1"/>
        <v>ARD_DEPR_AMORT_AND_WRITE_DOWNS</v>
      </c>
      <c r="B29" s="65">
        <v>2004</v>
      </c>
      <c r="C29" t="str">
        <f t="shared" si="2"/>
        <v>ARD_DEPR_AMORT_AND_WRITE_DOWNS</v>
      </c>
      <c r="D29" s="64" t="s">
        <v>413</v>
      </c>
      <c r="E29" s="114" t="s">
        <v>386</v>
      </c>
      <c r="F29" s="64" t="s">
        <v>185</v>
      </c>
      <c r="G29" s="66" t="s">
        <v>3627</v>
      </c>
      <c r="H29" s="3" t="s">
        <v>286</v>
      </c>
    </row>
    <row r="30" spans="1:8">
      <c r="A30" t="str">
        <f t="shared" si="1"/>
        <v>ARD_DEPR_IMPAIRMENT_FIXED_ASSETS</v>
      </c>
      <c r="B30" s="65">
        <v>2004</v>
      </c>
      <c r="C30" t="str">
        <f t="shared" si="2"/>
        <v>ARD_DEPR_IMPAIRMENT_FIXED_ASSETS</v>
      </c>
      <c r="D30" s="64" t="s">
        <v>413</v>
      </c>
      <c r="E30" s="114" t="s">
        <v>386</v>
      </c>
      <c r="F30" s="64" t="s">
        <v>164</v>
      </c>
      <c r="G30" s="66" t="s">
        <v>3627</v>
      </c>
      <c r="H30" s="3" t="s">
        <v>286</v>
      </c>
    </row>
    <row r="31" spans="1:8">
      <c r="A31" t="str">
        <f t="shared" si="1"/>
        <v>ARD_DEPREC_AMORT_WRITE_DOWNS</v>
      </c>
      <c r="B31" s="65">
        <v>2004</v>
      </c>
      <c r="C31" t="str">
        <f t="shared" si="2"/>
        <v>ARD_DEPREC_AMORT_WRITE_DOWNS</v>
      </c>
      <c r="D31" s="64" t="s">
        <v>413</v>
      </c>
      <c r="E31" s="114" t="s">
        <v>386</v>
      </c>
      <c r="F31" s="64" t="s">
        <v>188</v>
      </c>
      <c r="G31" s="66" t="s">
        <v>3627</v>
      </c>
      <c r="H31" s="3" t="s">
        <v>286</v>
      </c>
    </row>
    <row r="32" spans="1:8">
      <c r="A32" t="str">
        <f t="shared" si="1"/>
        <v>ARD_DEPRECIATION_AMORT_IMPAIRMNT</v>
      </c>
      <c r="B32" s="65">
        <v>2004</v>
      </c>
      <c r="C32" t="str">
        <f t="shared" si="2"/>
        <v>ARD_DEPRECIATION_AMORT_IMPAIRMNT</v>
      </c>
      <c r="D32" s="64" t="s">
        <v>413</v>
      </c>
      <c r="E32" s="114" t="s">
        <v>386</v>
      </c>
      <c r="F32" s="64" t="s">
        <v>186</v>
      </c>
      <c r="G32" s="66" t="s">
        <v>3627</v>
      </c>
      <c r="H32" s="3" t="s">
        <v>286</v>
      </c>
    </row>
    <row r="33" spans="1:8">
      <c r="A33" t="str">
        <f t="shared" si="1"/>
        <v>ARD_DEPRECIATION_AMORTIZATION</v>
      </c>
      <c r="B33" s="65">
        <v>2004</v>
      </c>
      <c r="C33" t="str">
        <f t="shared" si="2"/>
        <v>ARD_DEPRECIATION_AMORTIZATION</v>
      </c>
      <c r="D33" s="64" t="s">
        <v>413</v>
      </c>
      <c r="E33" s="114" t="s">
        <v>386</v>
      </c>
      <c r="F33" s="64" t="s">
        <v>168</v>
      </c>
      <c r="G33" s="66" t="s">
        <v>3627</v>
      </c>
      <c r="H33" s="3" t="s">
        <v>286</v>
      </c>
    </row>
    <row r="34" spans="1:8">
      <c r="A34" t="str">
        <f t="shared" si="1"/>
        <v>ARD_DEPRECIATION_AND_AMORT_CF</v>
      </c>
      <c r="B34" s="65">
        <v>2004</v>
      </c>
      <c r="C34" t="str">
        <f t="shared" si="2"/>
        <v>ARD_DEPRECIATION_AND_AMORT_CF</v>
      </c>
      <c r="D34" s="64" t="s">
        <v>413</v>
      </c>
      <c r="E34" s="114" t="s">
        <v>386</v>
      </c>
      <c r="F34" s="64" t="s">
        <v>199</v>
      </c>
      <c r="G34" s="66" t="s">
        <v>3627</v>
      </c>
      <c r="H34" s="3" t="s">
        <v>286</v>
      </c>
    </row>
    <row r="35" spans="1:8">
      <c r="A35" t="str">
        <f t="shared" si="1"/>
        <v>ARD_DEPRECIATION_EXP</v>
      </c>
      <c r="B35" s="65">
        <v>2004</v>
      </c>
      <c r="C35" t="str">
        <f t="shared" si="2"/>
        <v>ARD_DEPRECIATION_EXP</v>
      </c>
      <c r="D35" s="64" t="s">
        <v>413</v>
      </c>
      <c r="E35" s="114" t="s">
        <v>386</v>
      </c>
      <c r="F35" s="64" t="s">
        <v>160</v>
      </c>
      <c r="G35" s="66" t="s">
        <v>3627</v>
      </c>
      <c r="H35" s="3" t="s">
        <v>286</v>
      </c>
    </row>
    <row r="36" spans="1:8">
      <c r="A36" t="str">
        <f t="shared" si="1"/>
        <v>ARD_DERIVATIVE_ASSET_LT</v>
      </c>
      <c r="B36" s="65">
        <v>2004</v>
      </c>
      <c r="C36" t="str">
        <f t="shared" si="2"/>
        <v>ARD_DERIVATIVE_ASSET_LT</v>
      </c>
      <c r="D36" s="64" t="s">
        <v>413</v>
      </c>
      <c r="E36" s="114" t="s">
        <v>386</v>
      </c>
      <c r="F36" s="64" t="s">
        <v>269</v>
      </c>
      <c r="G36" s="66" t="s">
        <v>3627</v>
      </c>
      <c r="H36" s="3" t="s">
        <v>286</v>
      </c>
    </row>
    <row r="37" spans="1:8">
      <c r="A37" t="str">
        <f t="shared" si="1"/>
        <v>ARD_EQY_INVEST_ASSOC_AFFILIATES</v>
      </c>
      <c r="B37" s="65">
        <v>2004</v>
      </c>
      <c r="C37" t="str">
        <f t="shared" si="2"/>
        <v>ARD_EQY_INVEST_ASSOC_AFFILIATES</v>
      </c>
      <c r="D37" s="64" t="s">
        <v>413</v>
      </c>
      <c r="E37" s="114" t="s">
        <v>386</v>
      </c>
      <c r="F37" s="64" t="s">
        <v>264</v>
      </c>
      <c r="G37" s="66" t="s">
        <v>3627</v>
      </c>
      <c r="H37" s="3" t="s">
        <v>286</v>
      </c>
    </row>
    <row r="38" spans="1:8">
      <c r="A38" t="str">
        <f t="shared" si="1"/>
        <v>ARD_GOODWILL_WRITTEN_OFF_AMOR_IS</v>
      </c>
      <c r="B38" s="65">
        <v>2004</v>
      </c>
      <c r="C38" t="str">
        <f t="shared" si="2"/>
        <v>ARD_GOODWILL_WRITTEN_OFF_AMOR_IS</v>
      </c>
      <c r="D38" s="64" t="s">
        <v>413</v>
      </c>
      <c r="E38" s="114" t="s">
        <v>386</v>
      </c>
      <c r="F38" s="64" t="s">
        <v>194</v>
      </c>
      <c r="G38" s="66" t="s">
        <v>3627</v>
      </c>
      <c r="H38" s="3" t="s">
        <v>286</v>
      </c>
    </row>
    <row r="39" spans="1:8">
      <c r="A39" t="str">
        <f t="shared" si="1"/>
        <v>ARD_GOODWLL</v>
      </c>
      <c r="B39" s="65">
        <v>2004</v>
      </c>
      <c r="C39" t="str">
        <f t="shared" si="2"/>
        <v>ARD_GOODWLL</v>
      </c>
      <c r="D39" s="64" t="s">
        <v>413</v>
      </c>
      <c r="E39" s="114" t="s">
        <v>386</v>
      </c>
      <c r="F39" s="64" t="s">
        <v>245</v>
      </c>
      <c r="G39" s="66" t="s">
        <v>3627</v>
      </c>
      <c r="H39" s="3" t="s">
        <v>286</v>
      </c>
    </row>
    <row r="40" spans="1:8">
      <c r="A40" t="str">
        <f t="shared" si="1"/>
        <v>ARD_INTANG_ASSETS_EXCL_GOODWILL</v>
      </c>
      <c r="B40" s="65">
        <v>2004</v>
      </c>
      <c r="C40" t="str">
        <f t="shared" si="2"/>
        <v>ARD_INTANG_ASSETS_EXCL_GOODWILL</v>
      </c>
      <c r="D40" s="64" t="s">
        <v>413</v>
      </c>
      <c r="E40" s="114" t="s">
        <v>386</v>
      </c>
      <c r="F40" s="64" t="s">
        <v>238</v>
      </c>
      <c r="G40" s="66" t="s">
        <v>3627</v>
      </c>
      <c r="H40" s="3" t="s">
        <v>286</v>
      </c>
    </row>
    <row r="41" spans="1:8">
      <c r="A41" t="str">
        <f t="shared" si="1"/>
        <v>ARD_INVESTMENT_IN_AFFILIATE_JV</v>
      </c>
      <c r="B41" s="65">
        <v>2004</v>
      </c>
      <c r="C41" t="str">
        <f t="shared" si="2"/>
        <v>ARD_INVESTMENT_IN_AFFILIATE_JV</v>
      </c>
      <c r="D41" s="64" t="s">
        <v>413</v>
      </c>
      <c r="E41" s="114" t="s">
        <v>386</v>
      </c>
      <c r="F41" s="64" t="s">
        <v>262</v>
      </c>
      <c r="G41" s="66" t="s">
        <v>3627</v>
      </c>
      <c r="H41" s="3" t="s">
        <v>286</v>
      </c>
    </row>
    <row r="42" spans="1:8">
      <c r="A42" t="str">
        <f t="shared" si="1"/>
        <v>ARD_LICENSES</v>
      </c>
      <c r="B42" s="65">
        <v>2004</v>
      </c>
      <c r="C42" t="str">
        <f t="shared" si="2"/>
        <v>ARD_LICENSES</v>
      </c>
      <c r="D42" s="64" t="s">
        <v>413</v>
      </c>
      <c r="E42" s="114" t="s">
        <v>386</v>
      </c>
      <c r="F42" s="64" t="s">
        <v>244</v>
      </c>
      <c r="G42" s="66" t="s">
        <v>3627</v>
      </c>
      <c r="H42" s="3" t="s">
        <v>286</v>
      </c>
    </row>
    <row r="43" spans="1:8">
      <c r="A43" t="str">
        <f t="shared" si="1"/>
        <v>ARD_LONG_TERM_LOANS</v>
      </c>
      <c r="B43" s="65">
        <v>2004</v>
      </c>
      <c r="C43" t="str">
        <f t="shared" si="2"/>
        <v>ARD_LONG_TERM_LOANS</v>
      </c>
      <c r="D43" s="64" t="s">
        <v>413</v>
      </c>
      <c r="E43" s="114" t="s">
        <v>386</v>
      </c>
      <c r="F43" s="64" t="s">
        <v>255</v>
      </c>
      <c r="G43" s="66" t="s">
        <v>3627</v>
      </c>
      <c r="H43" s="3" t="s">
        <v>286</v>
      </c>
    </row>
    <row r="44" spans="1:8">
      <c r="A44" t="str">
        <f t="shared" si="1"/>
        <v>ARD_LONG_TERM_LOANS_OTHER_DEBTOR</v>
      </c>
      <c r="B44" s="65">
        <v>2004</v>
      </c>
      <c r="C44" t="str">
        <f t="shared" si="2"/>
        <v>ARD_LONG_TERM_LOANS_OTHER_DEBTOR</v>
      </c>
      <c r="D44" s="64" t="s">
        <v>413</v>
      </c>
      <c r="E44" s="114" t="s">
        <v>386</v>
      </c>
      <c r="F44" s="64" t="s">
        <v>250</v>
      </c>
      <c r="G44" s="66" t="s">
        <v>3627</v>
      </c>
      <c r="H44" s="3" t="s">
        <v>286</v>
      </c>
    </row>
    <row r="45" spans="1:8">
      <c r="A45" t="str">
        <f t="shared" si="1"/>
        <v>ARD_LT_INVEST</v>
      </c>
      <c r="B45" s="65">
        <v>2004</v>
      </c>
      <c r="C45" t="str">
        <f t="shared" si="2"/>
        <v>ARD_LT_INVEST</v>
      </c>
      <c r="D45" s="64" t="s">
        <v>413</v>
      </c>
      <c r="E45" s="114" t="s">
        <v>386</v>
      </c>
      <c r="F45" s="64" t="s">
        <v>252</v>
      </c>
      <c r="G45" s="66" t="s">
        <v>3627</v>
      </c>
      <c r="H45" s="3" t="s">
        <v>286</v>
      </c>
    </row>
    <row r="46" spans="1:8">
      <c r="A46" t="str">
        <f t="shared" si="1"/>
        <v>ARD_OTHER_LT_INVESTMENTS</v>
      </c>
      <c r="B46" s="65">
        <v>2004</v>
      </c>
      <c r="C46" t="str">
        <f t="shared" si="2"/>
        <v>ARD_OTHER_LT_INVESTMENTS</v>
      </c>
      <c r="D46" s="64" t="s">
        <v>413</v>
      </c>
      <c r="E46" s="114" t="s">
        <v>386</v>
      </c>
      <c r="F46" s="64" t="s">
        <v>1726</v>
      </c>
      <c r="G46" s="66" t="s">
        <v>3627</v>
      </c>
      <c r="H46" s="3" t="s">
        <v>286</v>
      </c>
    </row>
    <row r="47" spans="1:8">
      <c r="A47" t="str">
        <f t="shared" si="1"/>
        <v>ARD_MARKETABLE_SECURITIES</v>
      </c>
      <c r="B47" s="65">
        <v>2004</v>
      </c>
      <c r="C47" t="str">
        <f t="shared" si="2"/>
        <v>ARD_MARKETABLE_SECURITIES</v>
      </c>
      <c r="D47" s="64" t="s">
        <v>413</v>
      </c>
      <c r="E47" s="114" t="s">
        <v>386</v>
      </c>
      <c r="F47" s="64" t="s">
        <v>272</v>
      </c>
      <c r="G47" s="66" t="s">
        <v>3627</v>
      </c>
      <c r="H47" s="3" t="s">
        <v>286</v>
      </c>
    </row>
    <row r="48" spans="1:8">
      <c r="A48" t="str">
        <f t="shared" si="1"/>
        <v>ARD_INVESTMENT_PROPERTY</v>
      </c>
      <c r="B48" s="65">
        <v>2004</v>
      </c>
      <c r="C48" t="str">
        <f t="shared" si="2"/>
        <v>ARD_INVESTMENT_PROPERTY</v>
      </c>
      <c r="D48" s="64" t="s">
        <v>413</v>
      </c>
      <c r="E48" s="114" t="s">
        <v>386</v>
      </c>
      <c r="F48" s="64" t="s">
        <v>1695</v>
      </c>
      <c r="G48" s="66" t="s">
        <v>3627</v>
      </c>
      <c r="H48" s="3" t="s">
        <v>286</v>
      </c>
    </row>
    <row r="49" spans="1:8">
      <c r="A49" t="str">
        <f t="shared" si="1"/>
        <v>ARD_NET_EQTY_INVEST_JV_ASSOC</v>
      </c>
      <c r="B49" s="65">
        <v>2004</v>
      </c>
      <c r="C49" t="str">
        <f t="shared" si="2"/>
        <v>ARD_NET_EQTY_INVEST_JV_ASSOC</v>
      </c>
      <c r="D49" s="64" t="s">
        <v>413</v>
      </c>
      <c r="E49" s="114" t="s">
        <v>386</v>
      </c>
      <c r="F49" s="64" t="s">
        <v>263</v>
      </c>
      <c r="G49" s="66" t="s">
        <v>3627</v>
      </c>
      <c r="H49" s="3" t="s">
        <v>286</v>
      </c>
    </row>
    <row r="50" spans="1:8">
      <c r="A50" t="str">
        <f t="shared" si="1"/>
        <v>ARD_NON_CUR_MKT_SEC</v>
      </c>
      <c r="B50" s="65">
        <v>2004</v>
      </c>
      <c r="C50" t="str">
        <f t="shared" si="2"/>
        <v>ARD_NON_CUR_MKT_SEC</v>
      </c>
      <c r="D50" s="64" t="s">
        <v>413</v>
      </c>
      <c r="E50" s="114" t="s">
        <v>386</v>
      </c>
      <c r="F50" s="64" t="s">
        <v>254</v>
      </c>
      <c r="G50" s="66" t="s">
        <v>3627</v>
      </c>
      <c r="H50" s="3" t="s">
        <v>286</v>
      </c>
    </row>
    <row r="51" spans="1:8">
      <c r="A51" t="str">
        <f t="shared" si="1"/>
        <v>ARD_OTHER_FINANCIAL_ASSETS_LT</v>
      </c>
      <c r="B51" s="65">
        <v>2004</v>
      </c>
      <c r="C51" t="str">
        <f t="shared" si="2"/>
        <v>ARD_OTHER_FINANCIAL_ASSETS_LT</v>
      </c>
      <c r="D51" s="64" t="s">
        <v>413</v>
      </c>
      <c r="E51" s="114" t="s">
        <v>386</v>
      </c>
      <c r="F51" s="64" t="s">
        <v>253</v>
      </c>
      <c r="G51" s="66" t="s">
        <v>3627</v>
      </c>
      <c r="H51" s="3" t="s">
        <v>286</v>
      </c>
    </row>
    <row r="52" spans="1:8">
      <c r="A52" t="str">
        <f t="shared" si="1"/>
        <v>ARD_OTHER_INTANGIBLE_ASSET</v>
      </c>
      <c r="B52" s="65">
        <v>2004</v>
      </c>
      <c r="C52" t="str">
        <f t="shared" si="2"/>
        <v>ARD_OTHER_INTANGIBLE_ASSET</v>
      </c>
      <c r="D52" s="64" t="s">
        <v>413</v>
      </c>
      <c r="E52" s="114" t="s">
        <v>386</v>
      </c>
      <c r="F52" s="64" t="s">
        <v>240</v>
      </c>
      <c r="G52" s="66" t="s">
        <v>3627</v>
      </c>
      <c r="H52" s="3" t="s">
        <v>286</v>
      </c>
    </row>
    <row r="53" spans="1:8">
      <c r="A53" t="str">
        <f t="shared" si="1"/>
        <v>ARD_OTHER_INVEST_OTHER_ASSETS</v>
      </c>
      <c r="B53" s="65">
        <v>2004</v>
      </c>
      <c r="C53" t="str">
        <f t="shared" si="2"/>
        <v>ARD_OTHER_INVEST_OTHER_ASSETS</v>
      </c>
      <c r="D53" s="64" t="s">
        <v>413</v>
      </c>
      <c r="E53" s="114" t="s">
        <v>386</v>
      </c>
      <c r="F53" s="64" t="s">
        <v>268</v>
      </c>
      <c r="G53" s="66" t="s">
        <v>3627</v>
      </c>
      <c r="H53" s="3" t="s">
        <v>286</v>
      </c>
    </row>
    <row r="54" spans="1:8">
      <c r="A54" t="str">
        <f t="shared" si="1"/>
        <v>ARD_OTHER_NONCURRENT_ASSET</v>
      </c>
      <c r="B54" s="65">
        <v>2004</v>
      </c>
      <c r="C54" t="str">
        <f t="shared" si="2"/>
        <v>ARD_OTHER_NONCURRENT_ASSET</v>
      </c>
      <c r="D54" s="64" t="s">
        <v>413</v>
      </c>
      <c r="E54" s="114" t="s">
        <v>386</v>
      </c>
      <c r="F54" s="64" t="s">
        <v>273</v>
      </c>
      <c r="G54" s="66" t="s">
        <v>3627</v>
      </c>
      <c r="H54" s="3" t="s">
        <v>286</v>
      </c>
    </row>
    <row r="55" spans="1:8">
      <c r="A55" t="str">
        <f t="shared" si="1"/>
        <v>ARD_OTHER_RECEIVABLES_LT</v>
      </c>
      <c r="B55" s="65">
        <v>2004</v>
      </c>
      <c r="C55" t="str">
        <f t="shared" si="2"/>
        <v>ARD_OTHER_RECEIVABLES_LT</v>
      </c>
      <c r="D55" s="64" t="s">
        <v>413</v>
      </c>
      <c r="E55" s="114" t="s">
        <v>386</v>
      </c>
      <c r="F55" s="64" t="s">
        <v>248</v>
      </c>
      <c r="G55" s="66" t="s">
        <v>3627</v>
      </c>
      <c r="H55" s="3" t="s">
        <v>286</v>
      </c>
    </row>
    <row r="56" spans="1:8">
      <c r="A56" t="str">
        <f t="shared" si="1"/>
        <v>ARD_PLANT_AND_EQUIPMENT_NET</v>
      </c>
      <c r="B56" s="65">
        <v>2004</v>
      </c>
      <c r="C56" t="str">
        <f t="shared" si="2"/>
        <v>ARD_PLANT_AND_EQUIPMENT_NET</v>
      </c>
      <c r="D56" s="64" t="s">
        <v>413</v>
      </c>
      <c r="E56" s="114" t="s">
        <v>386</v>
      </c>
      <c r="F56" s="64" t="s">
        <v>229</v>
      </c>
      <c r="G56" s="66" t="s">
        <v>3627</v>
      </c>
      <c r="H56" s="3" t="s">
        <v>286</v>
      </c>
    </row>
    <row r="57" spans="1:8">
      <c r="A57" t="str">
        <f t="shared" si="1"/>
        <v>ARD_PREPAID_PEN_POSTRETIRE_BEN</v>
      </c>
      <c r="B57" s="65">
        <v>2004</v>
      </c>
      <c r="C57" t="str">
        <f t="shared" si="2"/>
        <v>ARD_PREPAID_PEN_POSTRETIRE_BEN</v>
      </c>
      <c r="D57" s="64" t="s">
        <v>413</v>
      </c>
      <c r="E57" s="114" t="s">
        <v>386</v>
      </c>
      <c r="F57" s="64" t="s">
        <v>267</v>
      </c>
      <c r="G57" s="66" t="s">
        <v>3627</v>
      </c>
      <c r="H57" s="3" t="s">
        <v>286</v>
      </c>
    </row>
    <row r="58" spans="1:8">
      <c r="A58" t="str">
        <f t="shared" si="1"/>
        <v>ARD_PROPERTY_PLANT_EQUIP_NET</v>
      </c>
      <c r="B58" s="65">
        <v>2004</v>
      </c>
      <c r="C58" t="str">
        <f t="shared" si="2"/>
        <v>ARD_PROPERTY_PLANT_EQUIP_NET</v>
      </c>
      <c r="D58" s="64" t="s">
        <v>413</v>
      </c>
      <c r="E58" s="114" t="s">
        <v>386</v>
      </c>
      <c r="F58" s="64" t="s">
        <v>231</v>
      </c>
      <c r="G58" s="66" t="s">
        <v>3627</v>
      </c>
      <c r="H58" s="3" t="s">
        <v>286</v>
      </c>
    </row>
    <row r="59" spans="1:8">
      <c r="A59" t="str">
        <f t="shared" si="1"/>
        <v>ARD_REVENUES</v>
      </c>
      <c r="B59" s="65">
        <v>2004</v>
      </c>
      <c r="C59" t="str">
        <f t="shared" si="2"/>
        <v>ARD_REVENUES</v>
      </c>
      <c r="D59" s="64" t="s">
        <v>413</v>
      </c>
      <c r="E59" s="114" t="s">
        <v>386</v>
      </c>
      <c r="F59" s="64" t="s">
        <v>146</v>
      </c>
      <c r="G59" s="66" t="s">
        <v>3627</v>
      </c>
      <c r="H59" s="3" t="s">
        <v>286</v>
      </c>
    </row>
    <row r="60" spans="1:8">
      <c r="A60" t="str">
        <f t="shared" si="1"/>
        <v>ARD_ST_BORROW</v>
      </c>
      <c r="B60" s="65">
        <v>2004</v>
      </c>
      <c r="C60" t="str">
        <f t="shared" si="2"/>
        <v>ARD_ST_BORROW</v>
      </c>
      <c r="D60" s="64" t="s">
        <v>413</v>
      </c>
      <c r="E60" s="114" t="s">
        <v>386</v>
      </c>
      <c r="F60" s="64" t="s">
        <v>218</v>
      </c>
      <c r="G60" s="66" t="s">
        <v>3627</v>
      </c>
      <c r="H60" s="3" t="s">
        <v>286</v>
      </c>
    </row>
    <row r="61" spans="1:8">
      <c r="A61" t="str">
        <f t="shared" si="1"/>
        <v>ARD_TOT_ASSETS</v>
      </c>
      <c r="B61" s="65">
        <v>2004</v>
      </c>
      <c r="C61" t="str">
        <f t="shared" si="2"/>
        <v>ARD_TOT_ASSETS</v>
      </c>
      <c r="D61" s="64" t="s">
        <v>413</v>
      </c>
      <c r="E61" s="114" t="s">
        <v>386</v>
      </c>
      <c r="F61" s="64" t="s">
        <v>222</v>
      </c>
      <c r="G61" s="66" t="s">
        <v>3627</v>
      </c>
      <c r="H61" s="3" t="s">
        <v>286</v>
      </c>
    </row>
    <row r="62" spans="1:8">
      <c r="A62" t="str">
        <f t="shared" si="1"/>
        <v>ARD_TOTAL_CUR_ASSETS</v>
      </c>
      <c r="B62" s="65">
        <v>2004</v>
      </c>
      <c r="C62" t="str">
        <f t="shared" si="2"/>
        <v>ARD_TOTAL_CUR_ASSETS</v>
      </c>
      <c r="D62" s="64" t="s">
        <v>413</v>
      </c>
      <c r="E62" s="114" t="s">
        <v>386</v>
      </c>
      <c r="F62" s="64" t="s">
        <v>225</v>
      </c>
      <c r="G62" s="66" t="s">
        <v>3627</v>
      </c>
      <c r="H62" s="3" t="s">
        <v>286</v>
      </c>
    </row>
    <row r="63" spans="1:8">
      <c r="A63" t="str">
        <f t="shared" si="1"/>
        <v>ARD_TOTAL_CURRENT_LIABILITIES</v>
      </c>
      <c r="B63" s="65">
        <v>2004</v>
      </c>
      <c r="C63" t="str">
        <f t="shared" si="2"/>
        <v>ARD_TOTAL_CURRENT_LIABILITIES</v>
      </c>
      <c r="D63" s="64" t="s">
        <v>413</v>
      </c>
      <c r="E63" s="114" t="s">
        <v>386</v>
      </c>
      <c r="F63" s="64" t="s">
        <v>214</v>
      </c>
      <c r="G63" s="66" t="s">
        <v>3627</v>
      </c>
      <c r="H63" s="3" t="s">
        <v>286</v>
      </c>
    </row>
    <row r="64" spans="1:8">
      <c r="A64" t="str">
        <f t="shared" si="1"/>
        <v>ARD_TOTAL_INTANGIBLE_ASSET_NET</v>
      </c>
      <c r="B64" s="65">
        <v>2004</v>
      </c>
      <c r="C64" t="str">
        <f t="shared" si="2"/>
        <v>ARD_TOTAL_INTANGIBLE_ASSET_NET</v>
      </c>
      <c r="D64" s="64" t="s">
        <v>413</v>
      </c>
      <c r="E64" s="114" t="s">
        <v>386</v>
      </c>
      <c r="F64" s="64" t="s">
        <v>236</v>
      </c>
      <c r="G64" s="66" t="s">
        <v>3627</v>
      </c>
      <c r="H64" s="3" t="s">
        <v>286</v>
      </c>
    </row>
    <row r="65" spans="1:8">
      <c r="A65" t="str">
        <f t="shared" si="1"/>
        <v>ARD_TRADE_DEBTORS_RECEIVABLES_LT</v>
      </c>
      <c r="B65" s="65">
        <v>2004</v>
      </c>
      <c r="C65" t="str">
        <f t="shared" si="2"/>
        <v>ARD_TRADE_DEBTORS_RECEIVABLES_LT</v>
      </c>
      <c r="D65" s="64" t="s">
        <v>413</v>
      </c>
      <c r="E65" s="114" t="s">
        <v>386</v>
      </c>
      <c r="F65" s="64" t="s">
        <v>1713</v>
      </c>
      <c r="G65" s="66" t="s">
        <v>3627</v>
      </c>
      <c r="H65" s="3" t="s">
        <v>286</v>
      </c>
    </row>
    <row r="66" spans="1:8">
      <c r="A66" t="str">
        <f t="shared" si="1"/>
        <v>ARDJ_DEP_INC_STA</v>
      </c>
      <c r="B66" s="65">
        <v>2004</v>
      </c>
      <c r="C66" t="str">
        <f t="shared" si="2"/>
        <v>ARDJ_DEP_INC_STA</v>
      </c>
      <c r="D66" s="64" t="s">
        <v>413</v>
      </c>
      <c r="E66" s="114" t="s">
        <v>386</v>
      </c>
      <c r="F66" s="64" t="s">
        <v>162</v>
      </c>
      <c r="G66" s="66" t="s">
        <v>3627</v>
      </c>
      <c r="H66" s="3" t="s">
        <v>286</v>
      </c>
    </row>
    <row r="67" spans="1:8">
      <c r="A67" t="str">
        <f t="shared" si="1"/>
        <v>ARDR_AMORT_EXP</v>
      </c>
      <c r="B67" s="65">
        <v>2004</v>
      </c>
      <c r="C67" t="str">
        <f t="shared" si="2"/>
        <v>ARDR_AMORT_EXP</v>
      </c>
      <c r="D67" s="64" t="s">
        <v>413</v>
      </c>
      <c r="E67" s="114" t="s">
        <v>386</v>
      </c>
      <c r="F67" s="64" t="s">
        <v>172</v>
      </c>
      <c r="G67" s="66" t="s">
        <v>3627</v>
      </c>
      <c r="H67" s="3" t="s">
        <v>286</v>
      </c>
    </row>
    <row r="68" spans="1:8">
      <c r="A68" t="str">
        <f t="shared" si="1"/>
        <v>ARDR_AMORT_IMPAIR_OF_INTANGIBLES</v>
      </c>
      <c r="B68" s="65">
        <v>2004</v>
      </c>
      <c r="C68" t="str">
        <f t="shared" si="2"/>
        <v>ARDR_AMORT_IMPAIR_OF_INTANGIBLES</v>
      </c>
      <c r="D68" s="64" t="s">
        <v>413</v>
      </c>
      <c r="E68" s="114" t="s">
        <v>386</v>
      </c>
      <c r="F68" s="64" t="s">
        <v>184</v>
      </c>
      <c r="G68" s="66" t="s">
        <v>3627</v>
      </c>
      <c r="H68" s="3" t="s">
        <v>286</v>
      </c>
    </row>
    <row r="69" spans="1:8">
      <c r="A69" t="str">
        <f t="shared" si="1"/>
        <v>ARDR_AMORT_OF_INTANGIBLE_ASSETS</v>
      </c>
      <c r="B69" s="65">
        <v>2004</v>
      </c>
      <c r="C69" t="str">
        <f t="shared" si="2"/>
        <v>ARDR_AMORT_OF_INTANGIBLE_ASSETS</v>
      </c>
      <c r="D69" s="64" t="s">
        <v>413</v>
      </c>
      <c r="E69" s="114" t="s">
        <v>386</v>
      </c>
      <c r="F69" s="64" t="s">
        <v>174</v>
      </c>
      <c r="G69" s="66" t="s">
        <v>3627</v>
      </c>
      <c r="H69" s="3" t="s">
        <v>286</v>
      </c>
    </row>
    <row r="70" spans="1:8">
      <c r="A70" t="str">
        <f t="shared" si="1"/>
        <v>ARDR_AMORTIZATION_CF</v>
      </c>
      <c r="B70" s="65">
        <v>2004</v>
      </c>
      <c r="C70" t="str">
        <f t="shared" si="2"/>
        <v>ARDR_AMORTIZATION_CF</v>
      </c>
      <c r="D70" s="64" t="s">
        <v>413</v>
      </c>
      <c r="E70" s="114" t="s">
        <v>386</v>
      </c>
      <c r="F70" s="64" t="s">
        <v>202</v>
      </c>
      <c r="G70" s="66" t="s">
        <v>3627</v>
      </c>
      <c r="H70" s="3" t="s">
        <v>286</v>
      </c>
    </row>
    <row r="71" spans="1:8">
      <c r="A71" t="str">
        <f t="shared" si="1"/>
        <v>ARDR_AMORTIZATION_GOODWILL</v>
      </c>
      <c r="B71" s="65">
        <v>2004</v>
      </c>
      <c r="C71" t="str">
        <f t="shared" si="2"/>
        <v>ARDR_AMORTIZATION_GOODWILL</v>
      </c>
      <c r="D71" s="64" t="s">
        <v>413</v>
      </c>
      <c r="E71" s="114" t="s">
        <v>386</v>
      </c>
      <c r="F71" s="64" t="s">
        <v>193</v>
      </c>
      <c r="G71" s="66" t="s">
        <v>3627</v>
      </c>
      <c r="H71" s="3" t="s">
        <v>286</v>
      </c>
    </row>
    <row r="72" spans="1:8">
      <c r="A72" t="str">
        <f t="shared" si="1"/>
        <v>ARD_PURCH_CAPITAL_COMP_SOFTWARE</v>
      </c>
      <c r="B72" s="65">
        <v>2004</v>
      </c>
      <c r="C72" t="str">
        <f t="shared" si="2"/>
        <v>ARD_PURCH_CAPITAL_COMP_SOFTWARE</v>
      </c>
      <c r="D72" s="64" t="s">
        <v>413</v>
      </c>
      <c r="E72" s="114" t="s">
        <v>386</v>
      </c>
      <c r="F72" s="64" t="s">
        <v>1561</v>
      </c>
      <c r="G72" s="66" t="s">
        <v>3627</v>
      </c>
      <c r="H72" s="3" t="s">
        <v>286</v>
      </c>
    </row>
    <row r="73" spans="1:8">
      <c r="A73" t="str">
        <f t="shared" si="1"/>
        <v>ARDR_AMORTIZATION_OF_INTANGIBLE</v>
      </c>
      <c r="B73" s="65">
        <v>2004</v>
      </c>
      <c r="C73" t="str">
        <f t="shared" si="2"/>
        <v>ARDR_AMORTIZATION_OF_INTANGIBLE</v>
      </c>
      <c r="D73" s="64" t="s">
        <v>413</v>
      </c>
      <c r="E73" s="114" t="s">
        <v>386</v>
      </c>
      <c r="F73" s="64" t="s">
        <v>181</v>
      </c>
      <c r="G73" s="66" t="s">
        <v>3627</v>
      </c>
      <c r="H73" s="3" t="s">
        <v>286</v>
      </c>
    </row>
    <row r="74" spans="1:8">
      <c r="A74" t="str">
        <f t="shared" ref="A74:A137" si="3">C74</f>
        <v>ARDR_AMOT_IMPAIRMENT_GOODWILL</v>
      </c>
      <c r="B74" s="65">
        <v>2004</v>
      </c>
      <c r="C74" t="str">
        <f t="shared" si="2"/>
        <v>ARDR_AMOT_IMPAIRMENT_GOODWILL</v>
      </c>
      <c r="D74" s="64" t="s">
        <v>413</v>
      </c>
      <c r="E74" s="114" t="s">
        <v>386</v>
      </c>
      <c r="F74" s="64" t="s">
        <v>196</v>
      </c>
      <c r="G74" s="66" t="s">
        <v>3627</v>
      </c>
      <c r="H74" s="3" t="s">
        <v>286</v>
      </c>
    </row>
    <row r="75" spans="1:8">
      <c r="A75" t="str">
        <f t="shared" si="3"/>
        <v>ARDR_CASH_AND_EQUIVALENTS</v>
      </c>
      <c r="B75" s="65">
        <v>2004</v>
      </c>
      <c r="C75" t="str">
        <f t="shared" ref="C75:C138" si="4">F75</f>
        <v>ARDR_CASH_AND_EQUIVALENTS</v>
      </c>
      <c r="D75" s="64" t="s">
        <v>413</v>
      </c>
      <c r="E75" s="114" t="s">
        <v>386</v>
      </c>
      <c r="F75" s="64" t="s">
        <v>277</v>
      </c>
      <c r="G75" s="66" t="s">
        <v>3627</v>
      </c>
      <c r="H75" s="3" t="s">
        <v>286</v>
      </c>
    </row>
    <row r="76" spans="1:8">
      <c r="A76" t="str">
        <f t="shared" si="3"/>
        <v>ARDR_DEPR_AMORT_IMPAIRMNT</v>
      </c>
      <c r="B76" s="65">
        <v>2004</v>
      </c>
      <c r="C76" t="str">
        <f t="shared" si="4"/>
        <v>ARDR_DEPR_AMORT_IMPAIRMNT</v>
      </c>
      <c r="D76" s="64" t="s">
        <v>413</v>
      </c>
      <c r="E76" s="114" t="s">
        <v>386</v>
      </c>
      <c r="F76" s="64" t="s">
        <v>187</v>
      </c>
      <c r="G76" s="66" t="s">
        <v>3627</v>
      </c>
      <c r="H76" s="3" t="s">
        <v>286</v>
      </c>
    </row>
    <row r="77" spans="1:8">
      <c r="A77" t="str">
        <f t="shared" si="3"/>
        <v>ARDR_DEPREC_AMORT_WRITE_DOWNS</v>
      </c>
      <c r="B77" s="65">
        <v>2004</v>
      </c>
      <c r="C77" t="str">
        <f t="shared" si="4"/>
        <v>ARDR_DEPREC_AMORT_WRITE_DOWNS</v>
      </c>
      <c r="D77" s="64" t="s">
        <v>413</v>
      </c>
      <c r="E77" s="114" t="s">
        <v>386</v>
      </c>
      <c r="F77" s="64" t="s">
        <v>189</v>
      </c>
      <c r="G77" s="66" t="s">
        <v>3627</v>
      </c>
      <c r="H77" s="3" t="s">
        <v>286</v>
      </c>
    </row>
    <row r="78" spans="1:8">
      <c r="A78" t="str">
        <f t="shared" si="3"/>
        <v>ARDR_DEPRECIATION_AMORTIZATION</v>
      </c>
      <c r="B78" s="65">
        <v>2004</v>
      </c>
      <c r="C78" t="str">
        <f t="shared" si="4"/>
        <v>ARDR_DEPRECIATION_AMORTIZATION</v>
      </c>
      <c r="D78" s="64" t="s">
        <v>413</v>
      </c>
      <c r="E78" s="114" t="s">
        <v>386</v>
      </c>
      <c r="F78" s="64" t="s">
        <v>169</v>
      </c>
      <c r="G78" s="66" t="s">
        <v>3627</v>
      </c>
      <c r="H78" s="3" t="s">
        <v>286</v>
      </c>
    </row>
    <row r="79" spans="1:8">
      <c r="A79" t="str">
        <f t="shared" si="3"/>
        <v>ARDR_DEPRECIATION_AND_AMORT_CF</v>
      </c>
      <c r="B79" s="65">
        <v>2004</v>
      </c>
      <c r="C79" t="str">
        <f t="shared" si="4"/>
        <v>ARDR_DEPRECIATION_AND_AMORT_CF</v>
      </c>
      <c r="D79" s="64" t="s">
        <v>413</v>
      </c>
      <c r="E79" s="114" t="s">
        <v>386</v>
      </c>
      <c r="F79" s="64" t="s">
        <v>200</v>
      </c>
      <c r="G79" s="66" t="s">
        <v>3627</v>
      </c>
      <c r="H79" s="3" t="s">
        <v>286</v>
      </c>
    </row>
    <row r="80" spans="1:8">
      <c r="A80" t="str">
        <f t="shared" si="3"/>
        <v>ARDR_INVEST_UNCONSOL_SUBSID</v>
      </c>
      <c r="B80" s="65">
        <v>2004</v>
      </c>
      <c r="C80" t="str">
        <f t="shared" si="4"/>
        <v>ARDR_INVEST_UNCONSOL_SUBSID</v>
      </c>
      <c r="D80" s="64" t="s">
        <v>413</v>
      </c>
      <c r="E80" s="114" t="s">
        <v>386</v>
      </c>
      <c r="F80" s="64" t="s">
        <v>257</v>
      </c>
      <c r="G80" s="66" t="s">
        <v>3627</v>
      </c>
      <c r="H80" s="3" t="s">
        <v>286</v>
      </c>
    </row>
    <row r="81" spans="1:8">
      <c r="A81" t="str">
        <f t="shared" si="3"/>
        <v>ARDR_OTHER_INTANGIBLE_ASSET</v>
      </c>
      <c r="B81" s="65">
        <v>2004</v>
      </c>
      <c r="C81" t="str">
        <f t="shared" si="4"/>
        <v>ARDR_OTHER_INTANGIBLE_ASSET</v>
      </c>
      <c r="D81" s="64" t="s">
        <v>413</v>
      </c>
      <c r="E81" s="114" t="s">
        <v>386</v>
      </c>
      <c r="F81" s="64" t="s">
        <v>241</v>
      </c>
      <c r="G81" s="66" t="s">
        <v>3627</v>
      </c>
      <c r="H81" s="3" t="s">
        <v>286</v>
      </c>
    </row>
    <row r="82" spans="1:8">
      <c r="A82" t="str">
        <f t="shared" si="3"/>
        <v>ARDR_OTHER_INTANGIBLES_NET</v>
      </c>
      <c r="B82" s="65">
        <v>2004</v>
      </c>
      <c r="C82" t="str">
        <f t="shared" si="4"/>
        <v>ARDR_OTHER_INTANGIBLES_NET</v>
      </c>
      <c r="D82" s="64" t="s">
        <v>413</v>
      </c>
      <c r="E82" s="114" t="s">
        <v>386</v>
      </c>
      <c r="F82" s="64" t="s">
        <v>242</v>
      </c>
      <c r="G82" s="66" t="s">
        <v>3627</v>
      </c>
      <c r="H82" s="3" t="s">
        <v>286</v>
      </c>
    </row>
    <row r="83" spans="1:8">
      <c r="A83" t="str">
        <f t="shared" si="3"/>
        <v>ARDR_OTHER_LT_INVESTMENTS</v>
      </c>
      <c r="B83" s="65">
        <v>2004</v>
      </c>
      <c r="C83" t="str">
        <f t="shared" si="4"/>
        <v>ARDR_OTHER_LT_INVESTMENTS</v>
      </c>
      <c r="D83" s="64" t="s">
        <v>413</v>
      </c>
      <c r="E83" s="114" t="s">
        <v>386</v>
      </c>
      <c r="F83" s="64" t="s">
        <v>256</v>
      </c>
      <c r="G83" s="66" t="s">
        <v>3627</v>
      </c>
      <c r="H83" s="3" t="s">
        <v>286</v>
      </c>
    </row>
    <row r="84" spans="1:8">
      <c r="A84" t="str">
        <f t="shared" si="3"/>
        <v>ARDR_PROPERTY_PLANT_EQUIP_NET</v>
      </c>
      <c r="B84" s="65">
        <v>2004</v>
      </c>
      <c r="C84" t="str">
        <f t="shared" si="4"/>
        <v>ARDR_PROPERTY_PLANT_EQUIP_NET</v>
      </c>
      <c r="D84" s="64" t="s">
        <v>413</v>
      </c>
      <c r="E84" s="114" t="s">
        <v>386</v>
      </c>
      <c r="F84" s="64" t="s">
        <v>232</v>
      </c>
      <c r="G84" s="66" t="s">
        <v>3627</v>
      </c>
      <c r="H84" s="3" t="s">
        <v>286</v>
      </c>
    </row>
    <row r="85" spans="1:8">
      <c r="A85" t="str">
        <f t="shared" si="3"/>
        <v>BS_CASH_NEAR_CASH_ITEM</v>
      </c>
      <c r="B85" s="65">
        <v>2004</v>
      </c>
      <c r="C85" t="str">
        <f t="shared" si="4"/>
        <v>BS_CASH_NEAR_CASH_ITEM</v>
      </c>
      <c r="D85" s="64" t="s">
        <v>413</v>
      </c>
      <c r="E85" s="114" t="s">
        <v>386</v>
      </c>
      <c r="F85" s="64" t="s">
        <v>278</v>
      </c>
      <c r="G85" s="66" t="s">
        <v>3627</v>
      </c>
      <c r="H85" s="3" t="s">
        <v>286</v>
      </c>
    </row>
    <row r="86" spans="1:8">
      <c r="A86" t="str">
        <f t="shared" si="3"/>
        <v>BS_CUR_ASSET_REPORT</v>
      </c>
      <c r="B86" s="65">
        <v>2004</v>
      </c>
      <c r="C86" t="str">
        <f t="shared" si="4"/>
        <v>BS_CUR_ASSET_REPORT</v>
      </c>
      <c r="D86" s="64" t="s">
        <v>413</v>
      </c>
      <c r="E86" s="114" t="s">
        <v>386</v>
      </c>
      <c r="F86" s="64" t="s">
        <v>224</v>
      </c>
      <c r="G86" s="66" t="s">
        <v>3627</v>
      </c>
      <c r="H86" s="3" t="s">
        <v>286</v>
      </c>
    </row>
    <row r="87" spans="1:8">
      <c r="A87" t="str">
        <f t="shared" si="3"/>
        <v>BS_CUR_LIAB</v>
      </c>
      <c r="B87" s="65">
        <v>2004</v>
      </c>
      <c r="C87" t="str">
        <f t="shared" si="4"/>
        <v>BS_CUR_LIAB</v>
      </c>
      <c r="D87" s="64" t="s">
        <v>413</v>
      </c>
      <c r="E87" s="114" t="s">
        <v>386</v>
      </c>
      <c r="F87" s="64" t="s">
        <v>213</v>
      </c>
      <c r="G87" s="66" t="s">
        <v>3627</v>
      </c>
      <c r="H87" s="3" t="s">
        <v>286</v>
      </c>
    </row>
    <row r="88" spans="1:8">
      <c r="A88" t="str">
        <f t="shared" si="3"/>
        <v>BS_DISCLOSED_INTANGIBLES</v>
      </c>
      <c r="B88" s="65">
        <v>2004</v>
      </c>
      <c r="C88" t="str">
        <f t="shared" si="4"/>
        <v>BS_DISCLOSED_INTANGIBLES</v>
      </c>
      <c r="D88" s="64" t="s">
        <v>413</v>
      </c>
      <c r="E88" s="114" t="s">
        <v>386</v>
      </c>
      <c r="F88" s="64" t="s">
        <v>234</v>
      </c>
      <c r="G88" s="66" t="s">
        <v>3627</v>
      </c>
      <c r="H88" s="3" t="s">
        <v>286</v>
      </c>
    </row>
    <row r="89" spans="1:8">
      <c r="A89" t="str">
        <f t="shared" si="3"/>
        <v>BS_GOODWILL</v>
      </c>
      <c r="B89" s="65">
        <v>2004</v>
      </c>
      <c r="C89" t="str">
        <f t="shared" si="4"/>
        <v>BS_GOODWILL</v>
      </c>
      <c r="D89" s="64" t="s">
        <v>413</v>
      </c>
      <c r="E89" s="114" t="s">
        <v>386</v>
      </c>
      <c r="F89" s="64" t="s">
        <v>246</v>
      </c>
      <c r="G89" s="66" t="s">
        <v>3627</v>
      </c>
      <c r="H89" s="3" t="s">
        <v>286</v>
      </c>
    </row>
    <row r="90" spans="1:8">
      <c r="A90" t="str">
        <f t="shared" si="3"/>
        <v>BS_NET_FIX_ASSET</v>
      </c>
      <c r="B90" s="65">
        <v>2004</v>
      </c>
      <c r="C90" t="str">
        <f t="shared" si="4"/>
        <v>BS_NET_FIX_ASSET</v>
      </c>
      <c r="D90" s="64" t="s">
        <v>413</v>
      </c>
      <c r="E90" s="114" t="s">
        <v>386</v>
      </c>
      <c r="F90" s="64" t="s">
        <v>228</v>
      </c>
      <c r="G90" s="66" t="s">
        <v>3627</v>
      </c>
      <c r="H90" s="3" t="s">
        <v>286</v>
      </c>
    </row>
    <row r="91" spans="1:8">
      <c r="A91" t="str">
        <f t="shared" si="3"/>
        <v>BS_ST_BORROW</v>
      </c>
      <c r="B91" s="65">
        <v>2004</v>
      </c>
      <c r="C91" t="str">
        <f t="shared" si="4"/>
        <v>BS_ST_BORROW</v>
      </c>
      <c r="D91" s="64" t="s">
        <v>413</v>
      </c>
      <c r="E91" s="114" t="s">
        <v>386</v>
      </c>
      <c r="F91" s="64" t="s">
        <v>216</v>
      </c>
      <c r="G91" s="66" t="s">
        <v>3627</v>
      </c>
      <c r="H91" s="3" t="s">
        <v>286</v>
      </c>
    </row>
    <row r="92" spans="1:8">
      <c r="A92" t="str">
        <f t="shared" si="3"/>
        <v>BS_ST_DEBT</v>
      </c>
      <c r="B92" s="65">
        <v>2004</v>
      </c>
      <c r="C92" t="str">
        <f t="shared" si="4"/>
        <v>BS_ST_DEBT</v>
      </c>
      <c r="D92" s="64" t="s">
        <v>413</v>
      </c>
      <c r="E92" s="114" t="s">
        <v>386</v>
      </c>
      <c r="F92" s="64" t="s">
        <v>219</v>
      </c>
      <c r="G92" s="66" t="s">
        <v>3627</v>
      </c>
      <c r="H92" s="3" t="s">
        <v>286</v>
      </c>
    </row>
    <row r="93" spans="1:8">
      <c r="A93" t="str">
        <f t="shared" si="3"/>
        <v>BS_TOT_ASSET</v>
      </c>
      <c r="B93" s="65">
        <v>2004</v>
      </c>
      <c r="C93" t="str">
        <f t="shared" si="4"/>
        <v>BS_TOT_ASSET</v>
      </c>
      <c r="D93" s="64" t="s">
        <v>413</v>
      </c>
      <c r="E93" s="114" t="s">
        <v>386</v>
      </c>
      <c r="F93" s="64" t="s">
        <v>221</v>
      </c>
      <c r="G93" s="66" t="s">
        <v>3627</v>
      </c>
      <c r="H93" s="3" t="s">
        <v>286</v>
      </c>
    </row>
    <row r="94" spans="1:8">
      <c r="A94" t="str">
        <f t="shared" si="3"/>
        <v>CF_CAP_EXPEND_INC_FIX_ASSET</v>
      </c>
      <c r="B94" s="65">
        <v>2004</v>
      </c>
      <c r="C94" t="str">
        <f t="shared" si="4"/>
        <v>CF_CAP_EXPEND_INC_FIX_ASSET</v>
      </c>
      <c r="D94" s="64" t="s">
        <v>413</v>
      </c>
      <c r="E94" s="114" t="s">
        <v>386</v>
      </c>
      <c r="F94" s="64" t="s">
        <v>281</v>
      </c>
      <c r="G94" s="66" t="s">
        <v>3627</v>
      </c>
      <c r="H94" s="3" t="s">
        <v>286</v>
      </c>
    </row>
    <row r="95" spans="1:8">
      <c r="A95" t="str">
        <f t="shared" si="3"/>
        <v>CF_CAP_EXPEND_PRPTY_ADD</v>
      </c>
      <c r="B95" s="65">
        <v>2004</v>
      </c>
      <c r="C95" t="str">
        <f t="shared" si="4"/>
        <v>CF_CAP_EXPEND_PRPTY_ADD</v>
      </c>
      <c r="D95" s="64" t="s">
        <v>413</v>
      </c>
      <c r="E95" s="114" t="s">
        <v>386</v>
      </c>
      <c r="F95" s="64" t="s">
        <v>280</v>
      </c>
      <c r="G95" s="66" t="s">
        <v>3627</v>
      </c>
      <c r="H95" s="3" t="s">
        <v>286</v>
      </c>
    </row>
    <row r="96" spans="1:8">
      <c r="A96" t="str">
        <f t="shared" si="3"/>
        <v>CF_DEPR_AMORT</v>
      </c>
      <c r="B96" s="65">
        <v>2004</v>
      </c>
      <c r="C96" t="str">
        <f t="shared" si="4"/>
        <v>CF_DEPR_AMORT</v>
      </c>
      <c r="D96" s="64" t="s">
        <v>413</v>
      </c>
      <c r="E96" s="114" t="s">
        <v>386</v>
      </c>
      <c r="F96" s="64" t="s">
        <v>170</v>
      </c>
      <c r="G96" s="66" t="s">
        <v>3627</v>
      </c>
      <c r="H96" s="3" t="s">
        <v>286</v>
      </c>
    </row>
    <row r="97" spans="1:8">
      <c r="A97" t="str">
        <f t="shared" si="3"/>
        <v>EBIT</v>
      </c>
      <c r="B97" s="65">
        <v>2004</v>
      </c>
      <c r="C97" t="str">
        <f t="shared" si="4"/>
        <v>EBIT</v>
      </c>
      <c r="D97" s="64" t="s">
        <v>413</v>
      </c>
      <c r="E97" s="114" t="s">
        <v>386</v>
      </c>
      <c r="F97" s="64" t="s">
        <v>6</v>
      </c>
      <c r="G97" s="66" t="s">
        <v>3627</v>
      </c>
      <c r="H97" s="3" t="s">
        <v>286</v>
      </c>
    </row>
    <row r="98" spans="1:8">
      <c r="A98" t="str">
        <f t="shared" si="3"/>
        <v>EBITDA</v>
      </c>
      <c r="B98" s="65">
        <v>2004</v>
      </c>
      <c r="C98" t="str">
        <f t="shared" si="4"/>
        <v>EBITDA</v>
      </c>
      <c r="D98" s="64" t="s">
        <v>413</v>
      </c>
      <c r="E98" s="114" t="s">
        <v>386</v>
      </c>
      <c r="F98" s="64" t="s">
        <v>7</v>
      </c>
      <c r="G98" s="66" t="s">
        <v>3627</v>
      </c>
      <c r="H98" s="3" t="s">
        <v>286</v>
      </c>
    </row>
    <row r="99" spans="1:8">
      <c r="A99" t="str">
        <f t="shared" si="3"/>
        <v>EBITDA_ADJUSTED</v>
      </c>
      <c r="B99" s="65">
        <v>2004</v>
      </c>
      <c r="C99" t="str">
        <f t="shared" si="4"/>
        <v>EBITDA_ADJUSTED</v>
      </c>
      <c r="D99" s="64" t="s">
        <v>413</v>
      </c>
      <c r="E99" s="114" t="s">
        <v>386</v>
      </c>
      <c r="F99" s="64" t="s">
        <v>2190</v>
      </c>
      <c r="G99" s="66" t="s">
        <v>3627</v>
      </c>
      <c r="H99" s="3" t="s">
        <v>286</v>
      </c>
    </row>
    <row r="100" spans="1:8">
      <c r="A100" t="str">
        <f t="shared" si="3"/>
        <v>IS_COMP_SALES</v>
      </c>
      <c r="B100" s="65">
        <v>2004</v>
      </c>
      <c r="C100" t="str">
        <f t="shared" si="4"/>
        <v>IS_COMP_SALES</v>
      </c>
      <c r="D100" s="64" t="s">
        <v>413</v>
      </c>
      <c r="E100" s="114" t="s">
        <v>386</v>
      </c>
      <c r="F100" s="64" t="s">
        <v>145</v>
      </c>
      <c r="G100" s="66" t="s">
        <v>3627</v>
      </c>
      <c r="H100" s="3" t="s">
        <v>286</v>
      </c>
    </row>
    <row r="101" spans="1:8">
      <c r="A101" t="str">
        <f t="shared" si="3"/>
        <v>IS_DEPR_EXP</v>
      </c>
      <c r="B101" s="65">
        <v>2004</v>
      </c>
      <c r="C101" t="str">
        <f t="shared" si="4"/>
        <v>IS_DEPR_EXP</v>
      </c>
      <c r="D101" s="64" t="s">
        <v>413</v>
      </c>
      <c r="E101" s="114" t="s">
        <v>386</v>
      </c>
      <c r="F101" s="64" t="s">
        <v>159</v>
      </c>
      <c r="G101" s="66" t="s">
        <v>3627</v>
      </c>
      <c r="H101" s="3" t="s">
        <v>286</v>
      </c>
    </row>
    <row r="102" spans="1:8">
      <c r="A102" t="str">
        <f t="shared" si="3"/>
        <v>IS_OPER_INC</v>
      </c>
      <c r="B102" s="65">
        <v>2004</v>
      </c>
      <c r="C102" t="str">
        <f t="shared" si="4"/>
        <v>IS_OPER_INC</v>
      </c>
      <c r="D102" s="64" t="s">
        <v>413</v>
      </c>
      <c r="E102" s="114" t="s">
        <v>386</v>
      </c>
      <c r="F102" s="64" t="s">
        <v>149</v>
      </c>
      <c r="G102" s="66" t="s">
        <v>3627</v>
      </c>
      <c r="H102" s="3" t="s">
        <v>286</v>
      </c>
    </row>
    <row r="103" spans="1:8">
      <c r="A103" t="str">
        <f t="shared" si="3"/>
        <v>NET DEBT</v>
      </c>
      <c r="B103" s="65">
        <v>2004</v>
      </c>
      <c r="C103" t="str">
        <f t="shared" si="4"/>
        <v>NET DEBT</v>
      </c>
      <c r="D103" s="64" t="s">
        <v>413</v>
      </c>
      <c r="E103" s="114" t="s">
        <v>386</v>
      </c>
      <c r="F103" s="64" t="s">
        <v>8</v>
      </c>
      <c r="G103" s="66" t="s">
        <v>3627</v>
      </c>
      <c r="H103" s="3" t="s">
        <v>286</v>
      </c>
    </row>
    <row r="104" spans="1:8">
      <c r="A104" t="str">
        <f t="shared" si="3"/>
        <v>SALES_REV_TURN</v>
      </c>
      <c r="B104" s="65">
        <v>2004</v>
      </c>
      <c r="C104" t="str">
        <f t="shared" si="4"/>
        <v>SALES_REV_TURN</v>
      </c>
      <c r="D104" s="64" t="s">
        <v>413</v>
      </c>
      <c r="E104" s="114" t="s">
        <v>386</v>
      </c>
      <c r="F104" s="64" t="s">
        <v>9</v>
      </c>
      <c r="G104" s="66" t="s">
        <v>3627</v>
      </c>
      <c r="H104" s="3" t="s">
        <v>286</v>
      </c>
    </row>
    <row r="105" spans="1:8">
      <c r="A105" t="str">
        <f t="shared" si="3"/>
        <v>ARD_PENSION_POSTRETIREMNT_LIAB</v>
      </c>
      <c r="B105" s="65">
        <v>2004</v>
      </c>
      <c r="C105" t="str">
        <f t="shared" si="4"/>
        <v>ARD_PENSION_POSTRETIREMNT_LIAB</v>
      </c>
      <c r="D105" s="64" t="s">
        <v>413</v>
      </c>
      <c r="E105" s="114" t="s">
        <v>386</v>
      </c>
      <c r="F105" s="64" t="s">
        <v>1777</v>
      </c>
      <c r="G105" s="66" t="s">
        <v>3627</v>
      </c>
      <c r="H105" s="3" t="s">
        <v>286</v>
      </c>
    </row>
    <row r="106" spans="1:8">
      <c r="A106" t="str">
        <f t="shared" si="3"/>
        <v>CF_ACQ_OF_FXD_&amp;_INTANGIBLES</v>
      </c>
      <c r="B106" s="65">
        <v>2004</v>
      </c>
      <c r="C106" t="str">
        <f t="shared" si="4"/>
        <v>CF_ACQ_OF_FXD_&amp;_INTANGIBLES</v>
      </c>
      <c r="D106" s="64" t="s">
        <v>413</v>
      </c>
      <c r="E106" s="114" t="s">
        <v>386</v>
      </c>
      <c r="F106" s="64" t="s">
        <v>1778</v>
      </c>
      <c r="G106" s="66" t="s">
        <v>3627</v>
      </c>
      <c r="H106" s="3" t="s">
        <v>286</v>
      </c>
    </row>
    <row r="107" spans="1:8">
      <c r="A107" t="str">
        <f t="shared" si="3"/>
        <v>CF_ACQUISITION_OF_INTANG_ASSETS</v>
      </c>
      <c r="B107" s="65">
        <v>2004</v>
      </c>
      <c r="C107" t="str">
        <f t="shared" si="4"/>
        <v>CF_ACQUISITION_OF_INTANG_ASSETS</v>
      </c>
      <c r="D107" s="64" t="s">
        <v>413</v>
      </c>
      <c r="E107" s="114" t="s">
        <v>386</v>
      </c>
      <c r="F107" s="64" t="s">
        <v>1779</v>
      </c>
      <c r="G107" s="66" t="s">
        <v>3627</v>
      </c>
      <c r="H107" s="3" t="s">
        <v>286</v>
      </c>
    </row>
    <row r="108" spans="1:8">
      <c r="A108" t="str">
        <f t="shared" si="3"/>
        <v>ARD_PURCHASE_OF_INTANGIBLES</v>
      </c>
      <c r="B108" s="65">
        <v>2004</v>
      </c>
      <c r="C108" t="str">
        <f t="shared" si="4"/>
        <v>ARD_PURCHASE_OF_INTANGIBLES</v>
      </c>
      <c r="D108" s="64" t="s">
        <v>413</v>
      </c>
      <c r="E108" s="114" t="s">
        <v>386</v>
      </c>
      <c r="F108" s="64" t="s">
        <v>1776</v>
      </c>
      <c r="G108" s="66" t="s">
        <v>3627</v>
      </c>
      <c r="H108" s="3" t="s">
        <v>286</v>
      </c>
    </row>
    <row r="109" spans="1:8">
      <c r="A109" t="str">
        <f t="shared" si="3"/>
        <v>ARDR_PURCHASE_OF_INTANGIBLES</v>
      </c>
      <c r="B109" s="65">
        <v>2004</v>
      </c>
      <c r="C109" t="str">
        <f t="shared" si="4"/>
        <v>ARDR_PURCHASE_OF_INTANGIBLES</v>
      </c>
      <c r="D109" s="64" t="s">
        <v>413</v>
      </c>
      <c r="E109" s="114" t="s">
        <v>386</v>
      </c>
      <c r="F109" s="64" t="s">
        <v>1780</v>
      </c>
      <c r="G109" s="66" t="s">
        <v>3627</v>
      </c>
      <c r="H109" s="3" t="s">
        <v>286</v>
      </c>
    </row>
    <row r="110" spans="1:8">
      <c r="A110" t="str">
        <f t="shared" si="3"/>
        <v>ARD_ADDITIONS_FIXED_INTANG_ASSET</v>
      </c>
      <c r="B110" s="65">
        <v>2004</v>
      </c>
      <c r="C110" t="str">
        <f t="shared" si="4"/>
        <v>ARD_ADDITIONS_FIXED_INTANG_ASSET</v>
      </c>
      <c r="D110" s="64" t="s">
        <v>413</v>
      </c>
      <c r="E110" s="114" t="s">
        <v>386</v>
      </c>
      <c r="F110" s="64" t="s">
        <v>1781</v>
      </c>
      <c r="G110" s="66" t="s">
        <v>3627</v>
      </c>
      <c r="H110" s="3" t="s">
        <v>286</v>
      </c>
    </row>
    <row r="111" spans="1:8">
      <c r="A111" t="str">
        <f t="shared" si="3"/>
        <v>IS_R&amp;D_GAAP</v>
      </c>
      <c r="B111" s="65">
        <v>2004</v>
      </c>
      <c r="C111" t="str">
        <f t="shared" si="4"/>
        <v>IS_R&amp;D_GAAP</v>
      </c>
      <c r="D111" s="64" t="s">
        <v>413</v>
      </c>
      <c r="E111" s="114" t="s">
        <v>386</v>
      </c>
      <c r="F111" s="64" t="s">
        <v>1782</v>
      </c>
      <c r="G111" s="66" t="s">
        <v>3627</v>
      </c>
      <c r="H111" s="3" t="s">
        <v>286</v>
      </c>
    </row>
    <row r="112" spans="1:8">
      <c r="A112" t="str">
        <f t="shared" si="3"/>
        <v>IS_OPEX_R&amp;D_GAAP</v>
      </c>
      <c r="B112" s="65">
        <v>2004</v>
      </c>
      <c r="C112" t="str">
        <f t="shared" si="4"/>
        <v>IS_OPEX_R&amp;D_GAAP</v>
      </c>
      <c r="D112" s="64" t="s">
        <v>413</v>
      </c>
      <c r="E112" s="114" t="s">
        <v>386</v>
      </c>
      <c r="F112" s="64" t="s">
        <v>1783</v>
      </c>
      <c r="G112" s="66" t="s">
        <v>3627</v>
      </c>
      <c r="H112" s="3" t="s">
        <v>286</v>
      </c>
    </row>
    <row r="113" spans="1:8">
      <c r="A113" t="str">
        <f t="shared" si="3"/>
        <v>ARD_R&amp;D_EXPENDITURES</v>
      </c>
      <c r="B113" s="65">
        <v>2004</v>
      </c>
      <c r="C113" t="str">
        <f t="shared" si="4"/>
        <v>ARD_R&amp;D_EXPENDITURES</v>
      </c>
      <c r="D113" s="64" t="s">
        <v>413</v>
      </c>
      <c r="E113" s="114" t="s">
        <v>386</v>
      </c>
      <c r="F113" s="64" t="s">
        <v>1784</v>
      </c>
      <c r="G113" s="66" t="s">
        <v>3627</v>
      </c>
      <c r="H113" s="3" t="s">
        <v>286</v>
      </c>
    </row>
    <row r="114" spans="1:8">
      <c r="A114" t="str">
        <f t="shared" si="3"/>
        <v>IS_R&amp;D_EXPENSE_NONGAAP_ADJUST</v>
      </c>
      <c r="B114" s="65">
        <v>2004</v>
      </c>
      <c r="C114" t="str">
        <f t="shared" si="4"/>
        <v>IS_R&amp;D_EXPENSE_NONGAAP_ADJUST</v>
      </c>
      <c r="D114" s="64" t="s">
        <v>413</v>
      </c>
      <c r="E114" s="114" t="s">
        <v>386</v>
      </c>
      <c r="F114" s="64" t="s">
        <v>1785</v>
      </c>
      <c r="G114" s="66" t="s">
        <v>3627</v>
      </c>
      <c r="H114" s="3" t="s">
        <v>286</v>
      </c>
    </row>
    <row r="115" spans="1:8">
      <c r="A115" t="str">
        <f t="shared" si="3"/>
        <v>ARD_ACQUIRED_IN_PROCESS_R&amp;D</v>
      </c>
      <c r="B115" s="65">
        <v>2004</v>
      </c>
      <c r="C115" t="str">
        <f t="shared" si="4"/>
        <v>ARD_ACQUIRED_IN_PROCESS_R&amp;D</v>
      </c>
      <c r="D115" s="64" t="s">
        <v>413</v>
      </c>
      <c r="E115" s="114" t="s">
        <v>386</v>
      </c>
      <c r="F115" s="64" t="s">
        <v>1786</v>
      </c>
      <c r="G115" s="66" t="s">
        <v>3627</v>
      </c>
      <c r="H115" s="3" t="s">
        <v>286</v>
      </c>
    </row>
    <row r="116" spans="1:8">
      <c r="A116" t="str">
        <f t="shared" si="3"/>
        <v>ARDR_ACQUIRED_IN_PROCESS_R&amp;D</v>
      </c>
      <c r="B116" s="65">
        <v>2004</v>
      </c>
      <c r="C116" t="str">
        <f t="shared" si="4"/>
        <v>ARDR_ACQUIRED_IN_PROCESS_R&amp;D</v>
      </c>
      <c r="D116" s="64" t="s">
        <v>413</v>
      </c>
      <c r="E116" s="114" t="s">
        <v>386</v>
      </c>
      <c r="F116" s="64" t="s">
        <v>1787</v>
      </c>
      <c r="G116" s="66" t="s">
        <v>3627</v>
      </c>
      <c r="H116" s="3" t="s">
        <v>286</v>
      </c>
    </row>
    <row r="117" spans="1:8">
      <c r="A117" t="str">
        <f t="shared" si="3"/>
        <v>ARD_R&amp;D_EXPENSES_WITHIN_SGA</v>
      </c>
      <c r="B117" s="65">
        <v>2004</v>
      </c>
      <c r="C117" t="str">
        <f t="shared" si="4"/>
        <v>ARD_R&amp;D_EXPENSES_WITHIN_SGA</v>
      </c>
      <c r="D117" s="64" t="s">
        <v>413</v>
      </c>
      <c r="E117" s="114" t="s">
        <v>386</v>
      </c>
      <c r="F117" s="64" t="s">
        <v>1788</v>
      </c>
      <c r="G117" s="66" t="s">
        <v>3627</v>
      </c>
      <c r="H117" s="3" t="s">
        <v>286</v>
      </c>
    </row>
    <row r="118" spans="1:8">
      <c r="A118" t="str">
        <f t="shared" si="3"/>
        <v>ARD_R&amp;D_EXPENSES_WITHIN_CGS</v>
      </c>
      <c r="B118" s="65">
        <v>2004</v>
      </c>
      <c r="C118" t="str">
        <f t="shared" si="4"/>
        <v>ARD_R&amp;D_EXPENSES_WITHIN_CGS</v>
      </c>
      <c r="D118" s="64" t="s">
        <v>413</v>
      </c>
      <c r="E118" s="114" t="s">
        <v>386</v>
      </c>
      <c r="F118" s="64" t="s">
        <v>1789</v>
      </c>
      <c r="G118" s="66" t="s">
        <v>3627</v>
      </c>
      <c r="H118" s="3" t="s">
        <v>286</v>
      </c>
    </row>
    <row r="119" spans="1:8">
      <c r="A119" t="str">
        <f t="shared" si="3"/>
        <v>ARDR_R&amp;D_EXPENDITURES</v>
      </c>
      <c r="B119" s="65">
        <v>2004</v>
      </c>
      <c r="C119" t="str">
        <f t="shared" si="4"/>
        <v>ARDR_R&amp;D_EXPENDITURES</v>
      </c>
      <c r="D119" s="64" t="s">
        <v>413</v>
      </c>
      <c r="E119" s="114" t="s">
        <v>386</v>
      </c>
      <c r="F119" s="64" t="s">
        <v>1790</v>
      </c>
      <c r="G119" s="66" t="s">
        <v>3627</v>
      </c>
      <c r="H119" s="3" t="s">
        <v>286</v>
      </c>
    </row>
    <row r="120" spans="1:8">
      <c r="A120" t="str">
        <f t="shared" si="3"/>
        <v>ARDR_EXPEND_INCUR_ON_R&amp;D_RECUR</v>
      </c>
      <c r="B120" s="65">
        <v>2004</v>
      </c>
      <c r="C120" t="str">
        <f t="shared" si="4"/>
        <v>ARDR_EXPEND_INCUR_ON_R&amp;D_RECUR</v>
      </c>
      <c r="D120" s="64" t="s">
        <v>413</v>
      </c>
      <c r="E120" s="114" t="s">
        <v>386</v>
      </c>
      <c r="F120" s="64" t="s">
        <v>1791</v>
      </c>
      <c r="G120" s="66" t="s">
        <v>3627</v>
      </c>
      <c r="H120" s="3" t="s">
        <v>286</v>
      </c>
    </row>
    <row r="121" spans="1:8">
      <c r="A121" t="str">
        <f t="shared" si="3"/>
        <v>ARDR_R&amp;D_EXPENSES_WITHIN_SGA</v>
      </c>
      <c r="B121" s="65">
        <v>2004</v>
      </c>
      <c r="C121" t="str">
        <f t="shared" si="4"/>
        <v>ARDR_R&amp;D_EXPENSES_WITHIN_SGA</v>
      </c>
      <c r="D121" s="64" t="s">
        <v>413</v>
      </c>
      <c r="E121" s="114" t="s">
        <v>386</v>
      </c>
      <c r="F121" s="64" t="s">
        <v>1792</v>
      </c>
      <c r="G121" s="66" t="s">
        <v>3627</v>
      </c>
      <c r="H121" s="3" t="s">
        <v>286</v>
      </c>
    </row>
    <row r="122" spans="1:8">
      <c r="A122" t="str">
        <f t="shared" si="3"/>
        <v>ARDR_R_D_EXPENSES_COG</v>
      </c>
      <c r="B122" s="65">
        <v>2004</v>
      </c>
      <c r="C122" t="str">
        <f t="shared" si="4"/>
        <v>ARDR_R_D_EXPENSES_COG</v>
      </c>
      <c r="D122" s="64" t="s">
        <v>413</v>
      </c>
      <c r="E122" s="114" t="s">
        <v>386</v>
      </c>
      <c r="F122" s="64" t="s">
        <v>1793</v>
      </c>
      <c r="G122" s="66" t="s">
        <v>3627</v>
      </c>
      <c r="H122" s="3" t="s">
        <v>286</v>
      </c>
    </row>
    <row r="123" spans="1:8">
      <c r="A123" t="str">
        <f t="shared" si="3"/>
        <v>ARDR_NON_GAAP_R&amp;D</v>
      </c>
      <c r="B123" s="65">
        <v>2004</v>
      </c>
      <c r="C123" t="str">
        <f t="shared" si="4"/>
        <v>ARDR_NON_GAAP_R&amp;D</v>
      </c>
      <c r="D123" s="64" t="s">
        <v>413</v>
      </c>
      <c r="E123" s="114" t="s">
        <v>386</v>
      </c>
      <c r="F123" s="64" t="s">
        <v>1794</v>
      </c>
      <c r="G123" s="66" t="s">
        <v>3627</v>
      </c>
      <c r="H123" s="3" t="s">
        <v>286</v>
      </c>
    </row>
    <row r="124" spans="1:8">
      <c r="A124" t="str">
        <f t="shared" si="3"/>
        <v>ARD_INVEST_SEC_AVAIL_FOR_SALE</v>
      </c>
      <c r="B124" s="65">
        <v>2004</v>
      </c>
      <c r="C124" t="str">
        <f t="shared" si="4"/>
        <v>ARD_INVEST_SEC_AVAIL_FOR_SALE</v>
      </c>
      <c r="D124" s="64" t="s">
        <v>413</v>
      </c>
      <c r="E124" s="114" t="s">
        <v>386</v>
      </c>
      <c r="F124" s="64" t="s">
        <v>1762</v>
      </c>
      <c r="G124" s="66" t="s">
        <v>3627</v>
      </c>
      <c r="H124" s="3" t="s">
        <v>286</v>
      </c>
    </row>
    <row r="125" spans="1:8">
      <c r="A125" t="str">
        <f t="shared" si="3"/>
        <v>ARDR_OTHER_LT_DEBTORS_NON_REC</v>
      </c>
      <c r="B125" s="65">
        <v>2004</v>
      </c>
      <c r="C125" t="str">
        <f t="shared" si="4"/>
        <v>ARDR_OTHER_LT_DEBTORS_NON_REC</v>
      </c>
      <c r="D125" s="64" t="s">
        <v>413</v>
      </c>
      <c r="E125" s="114" t="s">
        <v>386</v>
      </c>
      <c r="F125" s="64" t="s">
        <v>399</v>
      </c>
      <c r="G125" s="66" t="s">
        <v>3627</v>
      </c>
      <c r="H125" s="3" t="s">
        <v>286</v>
      </c>
    </row>
    <row r="126" spans="1:8">
      <c r="A126" t="str">
        <f t="shared" si="3"/>
        <v>IS_NET_NON_OPER_LOSS</v>
      </c>
      <c r="B126" s="65">
        <v>2004</v>
      </c>
      <c r="C126" t="str">
        <f t="shared" si="4"/>
        <v>IS_NET_NON_OPER_LOSS</v>
      </c>
      <c r="D126" s="64" t="s">
        <v>413</v>
      </c>
      <c r="E126" s="114" t="s">
        <v>386</v>
      </c>
      <c r="F126" s="64" t="s">
        <v>404</v>
      </c>
      <c r="G126" s="66" t="s">
        <v>3627</v>
      </c>
      <c r="H126" s="3" t="s">
        <v>286</v>
      </c>
    </row>
    <row r="127" spans="1:8">
      <c r="A127" t="str">
        <f t="shared" si="3"/>
        <v>IS_EQY_EARN_FROM_INVEST_ASSOC</v>
      </c>
      <c r="B127" s="65">
        <v>2004</v>
      </c>
      <c r="C127" t="str">
        <f t="shared" si="4"/>
        <v>IS_EQY_EARN_FROM_INVEST_ASSOC</v>
      </c>
      <c r="D127" s="64" t="s">
        <v>413</v>
      </c>
      <c r="E127" s="114" t="s">
        <v>386</v>
      </c>
      <c r="F127" s="64" t="s">
        <v>405</v>
      </c>
      <c r="G127" s="66" t="s">
        <v>3627</v>
      </c>
      <c r="H127" s="3" t="s">
        <v>286</v>
      </c>
    </row>
    <row r="128" spans="1:8">
      <c r="A128" t="str">
        <f t="shared" si="3"/>
        <v>BS_LT_INVEST</v>
      </c>
      <c r="B128" s="65">
        <v>2004</v>
      </c>
      <c r="C128" t="str">
        <f t="shared" si="4"/>
        <v>BS_LT_INVEST</v>
      </c>
      <c r="D128" s="64" t="s">
        <v>413</v>
      </c>
      <c r="E128" s="114" t="s">
        <v>386</v>
      </c>
      <c r="F128" s="64" t="s">
        <v>406</v>
      </c>
      <c r="G128" s="66" t="s">
        <v>3627</v>
      </c>
      <c r="H128" s="3" t="s">
        <v>286</v>
      </c>
    </row>
    <row r="129" spans="1:8">
      <c r="A129" t="str">
        <f t="shared" si="3"/>
        <v>ARDR_TRADE_DEBTORS_REC_LT</v>
      </c>
      <c r="B129" s="65">
        <v>2004</v>
      </c>
      <c r="C129" t="str">
        <f t="shared" si="4"/>
        <v>ARDR_TRADE_DEBTORS_REC_LT</v>
      </c>
      <c r="D129" s="64" t="s">
        <v>413</v>
      </c>
      <c r="E129" s="114" t="s">
        <v>386</v>
      </c>
      <c r="F129" s="64" t="s">
        <v>407</v>
      </c>
      <c r="G129" s="66" t="s">
        <v>3627</v>
      </c>
      <c r="H129" s="3" t="s">
        <v>286</v>
      </c>
    </row>
    <row r="130" spans="1:8">
      <c r="A130" t="str">
        <f t="shared" si="3"/>
        <v>ARDR_TRADE_DEBTORS_REC_LT</v>
      </c>
      <c r="B130" s="65">
        <v>2004</v>
      </c>
      <c r="C130" t="str">
        <f t="shared" si="4"/>
        <v>ARDR_TRADE_DEBTORS_REC_LT</v>
      </c>
      <c r="D130" s="64" t="s">
        <v>413</v>
      </c>
      <c r="E130" s="114" t="s">
        <v>386</v>
      </c>
      <c r="F130" s="64" t="s">
        <v>407</v>
      </c>
      <c r="G130" s="66" t="s">
        <v>3627</v>
      </c>
      <c r="H130" s="3" t="s">
        <v>286</v>
      </c>
    </row>
    <row r="131" spans="1:8">
      <c r="A131" t="str">
        <f t="shared" si="3"/>
        <v>ARDR_DEPOSITS_GUARANTEES</v>
      </c>
      <c r="B131" s="65">
        <v>2004</v>
      </c>
      <c r="C131" t="str">
        <f t="shared" si="4"/>
        <v>ARDR_DEPOSITS_GUARANTEES</v>
      </c>
      <c r="D131" s="64" t="s">
        <v>413</v>
      </c>
      <c r="E131" s="114" t="s">
        <v>386</v>
      </c>
      <c r="F131" s="64" t="s">
        <v>410</v>
      </c>
      <c r="G131" s="66" t="s">
        <v>3627</v>
      </c>
      <c r="H131" s="3" t="s">
        <v>286</v>
      </c>
    </row>
    <row r="132" spans="1:8">
      <c r="A132" t="str">
        <f t="shared" si="3"/>
        <v>ARDR_OTHER_RECEIVABLE_NET</v>
      </c>
      <c r="B132" s="65">
        <v>2004</v>
      </c>
      <c r="C132" t="str">
        <f t="shared" si="4"/>
        <v>ARDR_OTHER_RECEIVABLE_NET</v>
      </c>
      <c r="D132" s="64" t="s">
        <v>413</v>
      </c>
      <c r="E132" s="114" t="s">
        <v>386</v>
      </c>
      <c r="F132" s="64" t="s">
        <v>411</v>
      </c>
      <c r="G132" s="66" t="s">
        <v>3627</v>
      </c>
      <c r="H132" s="3" t="s">
        <v>286</v>
      </c>
    </row>
    <row r="133" spans="1:8">
      <c r="A133" t="str">
        <f t="shared" si="3"/>
        <v>ARD_DEFERRED_TAX_ASSETS_LT</v>
      </c>
      <c r="B133" s="65">
        <v>2004</v>
      </c>
      <c r="C133" t="str">
        <f t="shared" si="4"/>
        <v>ARD_DEFERRED_TAX_ASSETS_LT</v>
      </c>
      <c r="D133" s="64" t="s">
        <v>413</v>
      </c>
      <c r="E133" s="114" t="s">
        <v>386</v>
      </c>
      <c r="F133" s="64" t="s">
        <v>260</v>
      </c>
      <c r="G133" s="66" t="s">
        <v>3627</v>
      </c>
      <c r="H133" s="3" t="s">
        <v>286</v>
      </c>
    </row>
    <row r="134" spans="1:8">
      <c r="A134" t="str">
        <f t="shared" si="3"/>
        <v>ARD_OTHER_NONCURRENT_ASSET</v>
      </c>
      <c r="B134" s="65">
        <v>2004</v>
      </c>
      <c r="C134" t="str">
        <f t="shared" si="4"/>
        <v>ARD_OTHER_NONCURRENT_ASSET</v>
      </c>
      <c r="D134" s="64" t="s">
        <v>413</v>
      </c>
      <c r="E134" s="114" t="s">
        <v>386</v>
      </c>
      <c r="F134" s="64" t="s">
        <v>273</v>
      </c>
      <c r="G134" s="66" t="s">
        <v>3627</v>
      </c>
      <c r="H134" s="3" t="s">
        <v>286</v>
      </c>
    </row>
    <row r="135" spans="1:8">
      <c r="A135" t="str">
        <f t="shared" si="3"/>
        <v>ARD_ST_INVEST</v>
      </c>
      <c r="B135" s="65">
        <v>2004</v>
      </c>
      <c r="C135" t="str">
        <f t="shared" si="4"/>
        <v>ARD_ST_INVEST</v>
      </c>
      <c r="D135" s="64" t="s">
        <v>413</v>
      </c>
      <c r="E135" s="114" t="s">
        <v>386</v>
      </c>
      <c r="F135" s="64" t="s">
        <v>1533</v>
      </c>
      <c r="G135" s="66" t="s">
        <v>3627</v>
      </c>
      <c r="H135" s="3" t="s">
        <v>286</v>
      </c>
    </row>
    <row r="136" spans="1:8">
      <c r="A136" t="str">
        <f t="shared" si="3"/>
        <v>ARDR_OTHER_FINL_ASSETS_LT</v>
      </c>
      <c r="B136" s="65">
        <v>2004</v>
      </c>
      <c r="C136" t="str">
        <f t="shared" si="4"/>
        <v>ARDR_OTHER_FINL_ASSETS_LT</v>
      </c>
      <c r="D136" s="64" t="s">
        <v>413</v>
      </c>
      <c r="E136" s="114" t="s">
        <v>386</v>
      </c>
      <c r="F136" s="64" t="s">
        <v>2125</v>
      </c>
      <c r="G136" s="66" t="s">
        <v>3627</v>
      </c>
      <c r="H136" s="3" t="s">
        <v>286</v>
      </c>
    </row>
    <row r="137" spans="1:8">
      <c r="A137" t="str">
        <f t="shared" si="3"/>
        <v>ARDR_INVEST_SEC_AVAIL_FOR_SALE</v>
      </c>
      <c r="B137" s="65">
        <v>2004</v>
      </c>
      <c r="C137" t="str">
        <f t="shared" si="4"/>
        <v>ARDR_INVEST_SEC_AVAIL_FOR_SALE</v>
      </c>
      <c r="D137" s="64" t="s">
        <v>413</v>
      </c>
      <c r="E137" s="114" t="s">
        <v>386</v>
      </c>
      <c r="F137" s="64" t="s">
        <v>2139</v>
      </c>
      <c r="G137" s="66" t="s">
        <v>3627</v>
      </c>
      <c r="H137" s="3" t="s">
        <v>286</v>
      </c>
    </row>
    <row r="138" spans="1:8">
      <c r="A138" t="str">
        <f>C138</f>
        <v>ARDR_FINANCE_RECEIVABLES_LT</v>
      </c>
      <c r="B138" s="65">
        <v>2004</v>
      </c>
      <c r="C138" t="str">
        <f t="shared" si="4"/>
        <v>ARDR_FINANCE_RECEIVABLES_LT</v>
      </c>
      <c r="D138" s="64" t="s">
        <v>413</v>
      </c>
      <c r="E138" s="114" t="s">
        <v>386</v>
      </c>
      <c r="F138" s="64" t="s">
        <v>2140</v>
      </c>
      <c r="G138" s="66" t="s">
        <v>3627</v>
      </c>
      <c r="H138" s="3" t="s">
        <v>286</v>
      </c>
    </row>
    <row r="139" spans="1:8">
      <c r="A139" t="str">
        <f>C139</f>
        <v>CF_CASH_FROM_OPER</v>
      </c>
      <c r="B139" s="65">
        <v>2004</v>
      </c>
      <c r="C139" t="str">
        <f>F139</f>
        <v>CF_CASH_FROM_OPER</v>
      </c>
      <c r="D139" s="64" t="s">
        <v>413</v>
      </c>
      <c r="E139" s="114" t="s">
        <v>386</v>
      </c>
      <c r="F139" s="64" t="s">
        <v>2490</v>
      </c>
      <c r="G139" s="66" t="s">
        <v>3627</v>
      </c>
      <c r="H139" s="3" t="s">
        <v>286</v>
      </c>
    </row>
    <row r="140" spans="1:8">
      <c r="A140" t="str">
        <f>C140</f>
        <v>CF_FREE_CASH_FLOW_FIRM</v>
      </c>
      <c r="B140" s="65">
        <v>2004</v>
      </c>
      <c r="C140" t="str">
        <f>F140</f>
        <v>CF_FREE_CASH_FLOW_FIRM</v>
      </c>
      <c r="D140" s="64" t="s">
        <v>413</v>
      </c>
      <c r="E140" s="114" t="s">
        <v>386</v>
      </c>
      <c r="F140" s="64" t="s">
        <v>2491</v>
      </c>
      <c r="G140" s="66" t="s">
        <v>3627</v>
      </c>
      <c r="H140" s="3" t="s">
        <v>286</v>
      </c>
    </row>
    <row r="141" spans="1:8">
      <c r="A141" t="str">
        <f>C141</f>
        <v>OTHER_NON_CASH_ADJ_LESS_DETAILED</v>
      </c>
      <c r="B141" s="65">
        <v>2004</v>
      </c>
      <c r="C141" t="str">
        <f>F141</f>
        <v>OTHER_NON_CASH_ADJ_LESS_DETAILED</v>
      </c>
      <c r="D141" s="64" t="s">
        <v>413</v>
      </c>
      <c r="E141" s="114" t="s">
        <v>386</v>
      </c>
      <c r="F141" s="64" t="s">
        <v>2499</v>
      </c>
      <c r="G141" s="66" t="s">
        <v>3627</v>
      </c>
      <c r="H141" s="3" t="s">
        <v>286</v>
      </c>
    </row>
    <row r="142" spans="1:8">
      <c r="A142" t="str">
        <f>C142</f>
        <v>ARDR_STOCK_BASED_COMPENSATION</v>
      </c>
      <c r="B142" s="65">
        <v>2004</v>
      </c>
      <c r="C142" t="str">
        <f>F142</f>
        <v>ARDR_STOCK_BASED_COMPENSATION</v>
      </c>
      <c r="D142" s="64" t="s">
        <v>413</v>
      </c>
      <c r="E142" s="114" t="s">
        <v>386</v>
      </c>
      <c r="F142" s="64" t="s">
        <v>2492</v>
      </c>
      <c r="G142" s="66" t="s">
        <v>3627</v>
      </c>
      <c r="H142" s="3" t="s">
        <v>286</v>
      </c>
    </row>
    <row r="143" spans="1:8">
      <c r="A143" t="s">
        <v>2493</v>
      </c>
      <c r="B143" s="65">
        <v>2004</v>
      </c>
      <c r="C143" t="str">
        <f t="shared" ref="C143:C149" si="5">F143</f>
        <v>ARDR_OTHER_NON_CASH_ITEMS</v>
      </c>
      <c r="D143" s="64" t="s">
        <v>413</v>
      </c>
      <c r="E143" s="114" t="s">
        <v>386</v>
      </c>
      <c r="F143" s="64" t="s">
        <v>2493</v>
      </c>
      <c r="G143" s="66" t="s">
        <v>3627</v>
      </c>
      <c r="H143" s="3" t="s">
        <v>286</v>
      </c>
    </row>
    <row r="144" spans="1:8">
      <c r="A144" t="s">
        <v>2494</v>
      </c>
      <c r="B144" s="65">
        <v>2004</v>
      </c>
      <c r="C144" t="str">
        <f t="shared" si="5"/>
        <v>ARDR_CHANGE_OTHER_PROVISIONS</v>
      </c>
      <c r="D144" s="64" t="s">
        <v>413</v>
      </c>
      <c r="E144" s="114" t="s">
        <v>386</v>
      </c>
      <c r="F144" s="64" t="s">
        <v>2494</v>
      </c>
      <c r="G144" s="66" t="s">
        <v>3627</v>
      </c>
      <c r="H144" s="3" t="s">
        <v>286</v>
      </c>
    </row>
    <row r="145" spans="1:10">
      <c r="A145" t="s">
        <v>2495</v>
      </c>
      <c r="B145" s="65">
        <v>2004</v>
      </c>
      <c r="C145" t="str">
        <f t="shared" si="5"/>
        <v>ARDR_GAIN_LOSS_SALES_FIX_ASSETS</v>
      </c>
      <c r="D145" s="64" t="s">
        <v>413</v>
      </c>
      <c r="E145" s="114" t="s">
        <v>386</v>
      </c>
      <c r="F145" s="64" t="s">
        <v>2495</v>
      </c>
      <c r="G145" s="66" t="s">
        <v>3627</v>
      </c>
      <c r="H145" s="3" t="s">
        <v>286</v>
      </c>
    </row>
    <row r="146" spans="1:10">
      <c r="A146" t="s">
        <v>2496</v>
      </c>
      <c r="B146" s="65">
        <v>2004</v>
      </c>
      <c r="C146" t="str">
        <f t="shared" si="5"/>
        <v>ARD_INT_REC_FROM_INVESTING_ACT</v>
      </c>
      <c r="D146" s="64" t="s">
        <v>413</v>
      </c>
      <c r="E146" s="114" t="s">
        <v>386</v>
      </c>
      <c r="F146" s="64" t="s">
        <v>2496</v>
      </c>
      <c r="G146" s="66" t="s">
        <v>3627</v>
      </c>
      <c r="H146" s="3" t="s">
        <v>286</v>
      </c>
    </row>
    <row r="147" spans="1:10">
      <c r="A147" t="s">
        <v>2497</v>
      </c>
      <c r="B147" s="65">
        <v>2004</v>
      </c>
      <c r="C147" t="str">
        <f t="shared" si="5"/>
        <v>ARD_CASH_PAID_FOR_INTEREST</v>
      </c>
      <c r="D147" s="64" t="s">
        <v>413</v>
      </c>
      <c r="E147" s="114" t="s">
        <v>386</v>
      </c>
      <c r="F147" s="64" t="s">
        <v>2497</v>
      </c>
      <c r="G147" s="66" t="s">
        <v>3627</v>
      </c>
      <c r="H147" s="3" t="s">
        <v>286</v>
      </c>
    </row>
    <row r="148" spans="1:10">
      <c r="A148" t="s">
        <v>2498</v>
      </c>
      <c r="B148" s="65">
        <v>2004</v>
      </c>
      <c r="C148" t="str">
        <f t="shared" si="5"/>
        <v>ARD_CASH_PAID_FOR_TAXES</v>
      </c>
      <c r="D148" s="64" t="s">
        <v>413</v>
      </c>
      <c r="E148" s="114" t="s">
        <v>386</v>
      </c>
      <c r="F148" s="64" t="s">
        <v>2498</v>
      </c>
      <c r="G148" s="66" t="s">
        <v>3627</v>
      </c>
      <c r="H148" s="3" t="s">
        <v>286</v>
      </c>
    </row>
    <row r="149" spans="1:10">
      <c r="A149" t="s">
        <v>2499</v>
      </c>
      <c r="B149" s="65">
        <v>2004</v>
      </c>
      <c r="C149" t="str">
        <f t="shared" si="5"/>
        <v>OTHER_NON_CASH_ADJ_LESS_DETAILED</v>
      </c>
      <c r="D149" s="64" t="s">
        <v>413</v>
      </c>
      <c r="E149" s="114" t="s">
        <v>386</v>
      </c>
      <c r="F149" s="64" t="s">
        <v>2499</v>
      </c>
      <c r="G149" s="66" t="s">
        <v>3627</v>
      </c>
      <c r="H149" s="3" t="s">
        <v>286</v>
      </c>
    </row>
    <row r="150" spans="1:10">
      <c r="A150" s="64" t="s">
        <v>148</v>
      </c>
      <c r="B150" s="65">
        <v>2019</v>
      </c>
      <c r="C150" s="3" t="str">
        <f t="shared" ref="C150:C161" si="6">F150&amp;" ("&amp;B150&amp;"E)"</f>
        <v>BEST_EBIT (2019E)</v>
      </c>
      <c r="D150" s="64" t="s">
        <v>391</v>
      </c>
      <c r="E150" s="114" t="s">
        <v>386</v>
      </c>
      <c r="F150" s="64" t="s">
        <v>148</v>
      </c>
      <c r="G150" s="66">
        <f t="shared" ref="G150:G191" ca="1" si="7">WORKDAY(Effective.Date,-1)</f>
        <v>45273</v>
      </c>
      <c r="H150" s="3" t="s">
        <v>286</v>
      </c>
      <c r="I150" s="64" t="s">
        <v>396</v>
      </c>
      <c r="J150" s="85" t="str">
        <f t="shared" ref="J150:J161" si="8">RIGHT(B150,2)&amp;"Y"</f>
        <v>19Y</v>
      </c>
    </row>
    <row r="151" spans="1:10">
      <c r="A151" s="64" t="s">
        <v>140</v>
      </c>
      <c r="B151" s="65">
        <v>2019</v>
      </c>
      <c r="C151" s="3" t="str">
        <f t="shared" si="6"/>
        <v>BEST_EBITDA (2019E)</v>
      </c>
      <c r="D151" s="64" t="s">
        <v>391</v>
      </c>
      <c r="E151" s="114" t="s">
        <v>386</v>
      </c>
      <c r="F151" s="64" t="s">
        <v>140</v>
      </c>
      <c r="G151" s="66">
        <f t="shared" ca="1" si="7"/>
        <v>45273</v>
      </c>
      <c r="H151" s="3" t="s">
        <v>286</v>
      </c>
      <c r="I151" s="64" t="s">
        <v>396</v>
      </c>
      <c r="J151" s="85" t="str">
        <f t="shared" si="8"/>
        <v>19Y</v>
      </c>
    </row>
    <row r="152" spans="1:10">
      <c r="A152" s="64" t="s">
        <v>152</v>
      </c>
      <c r="B152" s="65">
        <v>2019</v>
      </c>
      <c r="C152" s="3" t="str">
        <f t="shared" si="6"/>
        <v>BEST_NET_DEBT (2019E)</v>
      </c>
      <c r="D152" s="64" t="s">
        <v>391</v>
      </c>
      <c r="E152" s="114" t="s">
        <v>386</v>
      </c>
      <c r="F152" s="64" t="s">
        <v>152</v>
      </c>
      <c r="G152" s="66">
        <f t="shared" ca="1" si="7"/>
        <v>45273</v>
      </c>
      <c r="H152" s="3" t="s">
        <v>286</v>
      </c>
      <c r="I152" s="64" t="s">
        <v>396</v>
      </c>
      <c r="J152" s="85" t="str">
        <f t="shared" si="8"/>
        <v>19Y</v>
      </c>
    </row>
    <row r="153" spans="1:10">
      <c r="A153" s="64" t="s">
        <v>151</v>
      </c>
      <c r="B153" s="65">
        <v>2019</v>
      </c>
      <c r="C153" s="3" t="str">
        <f t="shared" si="6"/>
        <v>BEST_OPP (2019E)</v>
      </c>
      <c r="D153" s="64" t="s">
        <v>391</v>
      </c>
      <c r="E153" s="114" t="s">
        <v>386</v>
      </c>
      <c r="F153" s="64" t="s">
        <v>151</v>
      </c>
      <c r="G153" s="66">
        <f t="shared" ca="1" si="7"/>
        <v>45273</v>
      </c>
      <c r="H153" s="3" t="s">
        <v>286</v>
      </c>
      <c r="I153" s="64" t="s">
        <v>396</v>
      </c>
      <c r="J153" s="85" t="str">
        <f t="shared" si="8"/>
        <v>19Y</v>
      </c>
    </row>
    <row r="154" spans="1:10">
      <c r="A154" s="64" t="s">
        <v>398</v>
      </c>
      <c r="B154" s="65">
        <v>2019</v>
      </c>
      <c r="C154" s="3" t="str">
        <f t="shared" si="6"/>
        <v>BEST_SALES (2019E)</v>
      </c>
      <c r="D154" s="64" t="s">
        <v>391</v>
      </c>
      <c r="E154" s="114" t="s">
        <v>386</v>
      </c>
      <c r="F154" s="64" t="s">
        <v>398</v>
      </c>
      <c r="G154" s="66">
        <f t="shared" ca="1" si="7"/>
        <v>45273</v>
      </c>
      <c r="H154" s="3" t="s">
        <v>286</v>
      </c>
      <c r="I154" s="64" t="s">
        <v>396</v>
      </c>
      <c r="J154" s="85" t="str">
        <f t="shared" si="8"/>
        <v>19Y</v>
      </c>
    </row>
    <row r="155" spans="1:10">
      <c r="A155" s="64" t="s">
        <v>397</v>
      </c>
      <c r="B155" s="65">
        <v>2019</v>
      </c>
      <c r="C155" s="3" t="str">
        <f t="shared" si="6"/>
        <v>BEST_CAPEX (2019E)</v>
      </c>
      <c r="D155" s="64" t="s">
        <v>391</v>
      </c>
      <c r="E155" s="114" t="s">
        <v>386</v>
      </c>
      <c r="F155" s="64" t="s">
        <v>397</v>
      </c>
      <c r="G155" s="66">
        <f t="shared" ca="1" si="7"/>
        <v>45273</v>
      </c>
      <c r="H155" s="3" t="s">
        <v>286</v>
      </c>
      <c r="I155" s="64" t="s">
        <v>396</v>
      </c>
      <c r="J155" s="85" t="str">
        <f t="shared" si="8"/>
        <v>19Y</v>
      </c>
    </row>
    <row r="156" spans="1:10">
      <c r="A156" s="64" t="s">
        <v>148</v>
      </c>
      <c r="B156" s="65">
        <v>2020</v>
      </c>
      <c r="C156" s="3" t="str">
        <f t="shared" si="6"/>
        <v>BEST_EBIT (2020E)</v>
      </c>
      <c r="D156" s="64" t="s">
        <v>391</v>
      </c>
      <c r="E156" s="114" t="s">
        <v>386</v>
      </c>
      <c r="F156" s="64" t="s">
        <v>148</v>
      </c>
      <c r="G156" s="66">
        <f t="shared" ca="1" si="7"/>
        <v>45273</v>
      </c>
      <c r="H156" s="3" t="s">
        <v>286</v>
      </c>
      <c r="I156" s="64" t="s">
        <v>396</v>
      </c>
      <c r="J156" s="85" t="str">
        <f t="shared" si="8"/>
        <v>20Y</v>
      </c>
    </row>
    <row r="157" spans="1:10">
      <c r="A157" s="64" t="s">
        <v>140</v>
      </c>
      <c r="B157" s="65">
        <v>2020</v>
      </c>
      <c r="C157" s="3" t="str">
        <f t="shared" si="6"/>
        <v>BEST_EBITDA (2020E)</v>
      </c>
      <c r="D157" s="64" t="s">
        <v>391</v>
      </c>
      <c r="E157" s="114" t="s">
        <v>386</v>
      </c>
      <c r="F157" s="64" t="s">
        <v>140</v>
      </c>
      <c r="G157" s="66">
        <f t="shared" ca="1" si="7"/>
        <v>45273</v>
      </c>
      <c r="H157" s="3" t="s">
        <v>286</v>
      </c>
      <c r="I157" s="64" t="s">
        <v>396</v>
      </c>
      <c r="J157" s="85" t="str">
        <f t="shared" si="8"/>
        <v>20Y</v>
      </c>
    </row>
    <row r="158" spans="1:10">
      <c r="A158" s="64" t="s">
        <v>152</v>
      </c>
      <c r="B158" s="65">
        <v>2020</v>
      </c>
      <c r="C158" s="3" t="str">
        <f t="shared" si="6"/>
        <v>BEST_NET_DEBT (2020E)</v>
      </c>
      <c r="D158" s="64" t="s">
        <v>391</v>
      </c>
      <c r="E158" s="114" t="s">
        <v>386</v>
      </c>
      <c r="F158" s="64" t="s">
        <v>152</v>
      </c>
      <c r="G158" s="66">
        <f t="shared" ca="1" si="7"/>
        <v>45273</v>
      </c>
      <c r="H158" s="3" t="s">
        <v>286</v>
      </c>
      <c r="I158" s="64" t="s">
        <v>396</v>
      </c>
      <c r="J158" s="85" t="str">
        <f t="shared" si="8"/>
        <v>20Y</v>
      </c>
    </row>
    <row r="159" spans="1:10">
      <c r="A159" s="64" t="s">
        <v>151</v>
      </c>
      <c r="B159" s="65">
        <v>2020</v>
      </c>
      <c r="C159" s="3" t="str">
        <f t="shared" si="6"/>
        <v>BEST_OPP (2020E)</v>
      </c>
      <c r="D159" s="64" t="s">
        <v>391</v>
      </c>
      <c r="E159" s="114" t="s">
        <v>386</v>
      </c>
      <c r="F159" s="64" t="s">
        <v>151</v>
      </c>
      <c r="G159" s="66">
        <f t="shared" ca="1" si="7"/>
        <v>45273</v>
      </c>
      <c r="H159" s="3" t="s">
        <v>286</v>
      </c>
      <c r="I159" s="64" t="s">
        <v>396</v>
      </c>
      <c r="J159" s="85" t="str">
        <f t="shared" si="8"/>
        <v>20Y</v>
      </c>
    </row>
    <row r="160" spans="1:10">
      <c r="A160" s="64" t="s">
        <v>398</v>
      </c>
      <c r="B160" s="65">
        <v>2020</v>
      </c>
      <c r="C160" s="3" t="str">
        <f t="shared" si="6"/>
        <v>BEST_SALES (2020E)</v>
      </c>
      <c r="D160" s="64" t="s">
        <v>391</v>
      </c>
      <c r="E160" s="114" t="s">
        <v>386</v>
      </c>
      <c r="F160" s="64" t="s">
        <v>398</v>
      </c>
      <c r="G160" s="66">
        <f t="shared" ca="1" si="7"/>
        <v>45273</v>
      </c>
      <c r="H160" s="3" t="s">
        <v>286</v>
      </c>
      <c r="I160" s="64" t="s">
        <v>396</v>
      </c>
      <c r="J160" s="85" t="str">
        <f t="shared" si="8"/>
        <v>20Y</v>
      </c>
    </row>
    <row r="161" spans="1:10">
      <c r="A161" s="64" t="s">
        <v>397</v>
      </c>
      <c r="B161" s="65">
        <v>2020</v>
      </c>
      <c r="C161" s="3" t="str">
        <f t="shared" si="6"/>
        <v>BEST_CAPEX (2020E)</v>
      </c>
      <c r="D161" s="64" t="s">
        <v>391</v>
      </c>
      <c r="E161" s="114" t="s">
        <v>386</v>
      </c>
      <c r="F161" s="64" t="s">
        <v>397</v>
      </c>
      <c r="G161" s="66">
        <f t="shared" ca="1" si="7"/>
        <v>45273</v>
      </c>
      <c r="H161" s="3" t="s">
        <v>286</v>
      </c>
      <c r="I161" s="64" t="s">
        <v>396</v>
      </c>
      <c r="J161" s="85" t="str">
        <f t="shared" si="8"/>
        <v>20Y</v>
      </c>
    </row>
    <row r="162" spans="1:10">
      <c r="A162" s="64" t="s">
        <v>148</v>
      </c>
      <c r="B162" s="65">
        <v>2021</v>
      </c>
      <c r="C162" s="3" t="str">
        <f t="shared" ref="C162:C167" si="9">F162&amp;" ("&amp;B162&amp;"E)"</f>
        <v>BEST_EBIT (2021E)</v>
      </c>
      <c r="D162" s="64" t="s">
        <v>391</v>
      </c>
      <c r="E162" s="114" t="s">
        <v>386</v>
      </c>
      <c r="F162" s="64" t="s">
        <v>148</v>
      </c>
      <c r="G162" s="66">
        <f t="shared" ca="1" si="7"/>
        <v>45273</v>
      </c>
      <c r="H162" s="3" t="s">
        <v>286</v>
      </c>
      <c r="I162" s="64" t="s">
        <v>396</v>
      </c>
      <c r="J162" s="85" t="str">
        <f t="shared" ref="J162:J167" si="10">RIGHT(B162,2)&amp;"Y"</f>
        <v>21Y</v>
      </c>
    </row>
    <row r="163" spans="1:10">
      <c r="A163" s="64" t="s">
        <v>140</v>
      </c>
      <c r="B163" s="65">
        <v>2021</v>
      </c>
      <c r="C163" s="3" t="str">
        <f t="shared" si="9"/>
        <v>BEST_EBITDA (2021E)</v>
      </c>
      <c r="D163" s="64" t="s">
        <v>391</v>
      </c>
      <c r="E163" s="114" t="s">
        <v>386</v>
      </c>
      <c r="F163" s="64" t="s">
        <v>140</v>
      </c>
      <c r="G163" s="66">
        <f t="shared" ca="1" si="7"/>
        <v>45273</v>
      </c>
      <c r="H163" s="3" t="s">
        <v>286</v>
      </c>
      <c r="I163" s="64" t="s">
        <v>396</v>
      </c>
      <c r="J163" s="85" t="str">
        <f t="shared" si="10"/>
        <v>21Y</v>
      </c>
    </row>
    <row r="164" spans="1:10">
      <c r="A164" s="64" t="s">
        <v>152</v>
      </c>
      <c r="B164" s="65">
        <v>2021</v>
      </c>
      <c r="C164" s="3" t="str">
        <f t="shared" si="9"/>
        <v>BEST_NET_DEBT (2021E)</v>
      </c>
      <c r="D164" s="64" t="s">
        <v>391</v>
      </c>
      <c r="E164" s="114" t="s">
        <v>386</v>
      </c>
      <c r="F164" s="64" t="s">
        <v>152</v>
      </c>
      <c r="G164" s="66">
        <f t="shared" ca="1" si="7"/>
        <v>45273</v>
      </c>
      <c r="H164" s="3" t="s">
        <v>286</v>
      </c>
      <c r="I164" s="64" t="s">
        <v>396</v>
      </c>
      <c r="J164" s="85" t="str">
        <f t="shared" si="10"/>
        <v>21Y</v>
      </c>
    </row>
    <row r="165" spans="1:10">
      <c r="A165" s="64" t="s">
        <v>151</v>
      </c>
      <c r="B165" s="65">
        <v>2021</v>
      </c>
      <c r="C165" s="3" t="str">
        <f t="shared" si="9"/>
        <v>BEST_OPP (2021E)</v>
      </c>
      <c r="D165" s="64" t="s">
        <v>391</v>
      </c>
      <c r="E165" s="114" t="s">
        <v>386</v>
      </c>
      <c r="F165" s="64" t="s">
        <v>151</v>
      </c>
      <c r="G165" s="66">
        <f t="shared" ca="1" si="7"/>
        <v>45273</v>
      </c>
      <c r="H165" s="3" t="s">
        <v>286</v>
      </c>
      <c r="I165" s="64" t="s">
        <v>396</v>
      </c>
      <c r="J165" s="85" t="str">
        <f t="shared" si="10"/>
        <v>21Y</v>
      </c>
    </row>
    <row r="166" spans="1:10">
      <c r="A166" s="64" t="s">
        <v>398</v>
      </c>
      <c r="B166" s="65">
        <v>2021</v>
      </c>
      <c r="C166" s="3" t="str">
        <f t="shared" si="9"/>
        <v>BEST_SALES (2021E)</v>
      </c>
      <c r="D166" s="64" t="s">
        <v>391</v>
      </c>
      <c r="E166" s="114" t="s">
        <v>386</v>
      </c>
      <c r="F166" s="64" t="s">
        <v>398</v>
      </c>
      <c r="G166" s="66">
        <f t="shared" ca="1" si="7"/>
        <v>45273</v>
      </c>
      <c r="H166" s="3" t="s">
        <v>286</v>
      </c>
      <c r="I166" s="64" t="s">
        <v>396</v>
      </c>
      <c r="J166" s="85" t="str">
        <f t="shared" si="10"/>
        <v>21Y</v>
      </c>
    </row>
    <row r="167" spans="1:10">
      <c r="A167" s="64" t="s">
        <v>397</v>
      </c>
      <c r="B167" s="65">
        <v>2021</v>
      </c>
      <c r="C167" s="3" t="str">
        <f t="shared" si="9"/>
        <v>BEST_CAPEX (2021E)</v>
      </c>
      <c r="D167" s="64" t="s">
        <v>391</v>
      </c>
      <c r="E167" s="114" t="s">
        <v>386</v>
      </c>
      <c r="F167" s="64" t="s">
        <v>397</v>
      </c>
      <c r="G167" s="66">
        <f t="shared" ca="1" si="7"/>
        <v>45273</v>
      </c>
      <c r="H167" s="3" t="s">
        <v>286</v>
      </c>
      <c r="I167" s="64" t="s">
        <v>396</v>
      </c>
      <c r="J167" s="85" t="str">
        <f t="shared" si="10"/>
        <v>21Y</v>
      </c>
    </row>
    <row r="168" spans="1:10">
      <c r="A168" s="64" t="s">
        <v>148</v>
      </c>
      <c r="B168" s="65">
        <v>2022</v>
      </c>
      <c r="C168" s="3" t="str">
        <f t="shared" ref="C168:C173" si="11">F168&amp;" ("&amp;B168&amp;"E)"</f>
        <v>BEST_EBIT (2022E)</v>
      </c>
      <c r="D168" s="64" t="s">
        <v>391</v>
      </c>
      <c r="E168" s="114" t="s">
        <v>386</v>
      </c>
      <c r="F168" s="64" t="s">
        <v>148</v>
      </c>
      <c r="G168" s="66">
        <f t="shared" ca="1" si="7"/>
        <v>45273</v>
      </c>
      <c r="H168" s="3" t="s">
        <v>286</v>
      </c>
      <c r="I168" s="64" t="s">
        <v>396</v>
      </c>
      <c r="J168" s="85" t="str">
        <f t="shared" ref="J168:J173" si="12">RIGHT(B168,2)&amp;"Y"</f>
        <v>22Y</v>
      </c>
    </row>
    <row r="169" spans="1:10">
      <c r="A169" s="64" t="s">
        <v>140</v>
      </c>
      <c r="B169" s="65">
        <v>2022</v>
      </c>
      <c r="C169" s="3" t="str">
        <f t="shared" si="11"/>
        <v>BEST_EBITDA (2022E)</v>
      </c>
      <c r="D169" s="64" t="s">
        <v>391</v>
      </c>
      <c r="E169" s="114" t="s">
        <v>386</v>
      </c>
      <c r="F169" s="64" t="s">
        <v>140</v>
      </c>
      <c r="G169" s="66">
        <f t="shared" ca="1" si="7"/>
        <v>45273</v>
      </c>
      <c r="H169" s="3" t="s">
        <v>286</v>
      </c>
      <c r="I169" s="64" t="s">
        <v>396</v>
      </c>
      <c r="J169" s="85" t="str">
        <f t="shared" si="12"/>
        <v>22Y</v>
      </c>
    </row>
    <row r="170" spans="1:10">
      <c r="A170" s="64" t="s">
        <v>152</v>
      </c>
      <c r="B170" s="65">
        <v>2022</v>
      </c>
      <c r="C170" s="3" t="str">
        <f t="shared" si="11"/>
        <v>BEST_NET_DEBT (2022E)</v>
      </c>
      <c r="D170" s="64" t="s">
        <v>391</v>
      </c>
      <c r="E170" s="114" t="s">
        <v>386</v>
      </c>
      <c r="F170" s="64" t="s">
        <v>152</v>
      </c>
      <c r="G170" s="66">
        <f t="shared" ca="1" si="7"/>
        <v>45273</v>
      </c>
      <c r="H170" s="3" t="s">
        <v>286</v>
      </c>
      <c r="I170" s="64" t="s">
        <v>396</v>
      </c>
      <c r="J170" s="85" t="str">
        <f t="shared" si="12"/>
        <v>22Y</v>
      </c>
    </row>
    <row r="171" spans="1:10">
      <c r="A171" s="64" t="s">
        <v>151</v>
      </c>
      <c r="B171" s="65">
        <v>2022</v>
      </c>
      <c r="C171" s="3" t="str">
        <f t="shared" si="11"/>
        <v>BEST_OPP (2022E)</v>
      </c>
      <c r="D171" s="64" t="s">
        <v>391</v>
      </c>
      <c r="E171" s="114" t="s">
        <v>386</v>
      </c>
      <c r="F171" s="64" t="s">
        <v>151</v>
      </c>
      <c r="G171" s="66">
        <f t="shared" ca="1" si="7"/>
        <v>45273</v>
      </c>
      <c r="H171" s="3" t="s">
        <v>286</v>
      </c>
      <c r="I171" s="64" t="s">
        <v>396</v>
      </c>
      <c r="J171" s="85" t="str">
        <f t="shared" si="12"/>
        <v>22Y</v>
      </c>
    </row>
    <row r="172" spans="1:10">
      <c r="A172" s="64" t="s">
        <v>398</v>
      </c>
      <c r="B172" s="65">
        <v>2022</v>
      </c>
      <c r="C172" s="3" t="str">
        <f t="shared" si="11"/>
        <v>BEST_SALES (2022E)</v>
      </c>
      <c r="D172" s="64" t="s">
        <v>391</v>
      </c>
      <c r="E172" s="114" t="s">
        <v>386</v>
      </c>
      <c r="F172" s="64" t="s">
        <v>398</v>
      </c>
      <c r="G172" s="66">
        <f t="shared" ca="1" si="7"/>
        <v>45273</v>
      </c>
      <c r="H172" s="3" t="s">
        <v>286</v>
      </c>
      <c r="I172" s="64" t="s">
        <v>396</v>
      </c>
      <c r="J172" s="85" t="str">
        <f t="shared" si="12"/>
        <v>22Y</v>
      </c>
    </row>
    <row r="173" spans="1:10">
      <c r="A173" s="64" t="s">
        <v>397</v>
      </c>
      <c r="B173" s="65">
        <v>2022</v>
      </c>
      <c r="C173" s="3" t="str">
        <f t="shared" si="11"/>
        <v>BEST_CAPEX (2022E)</v>
      </c>
      <c r="D173" s="64" t="s">
        <v>391</v>
      </c>
      <c r="E173" s="114" t="s">
        <v>386</v>
      </c>
      <c r="F173" s="64" t="s">
        <v>397</v>
      </c>
      <c r="G173" s="66">
        <f t="shared" ca="1" si="7"/>
        <v>45273</v>
      </c>
      <c r="H173" s="3" t="s">
        <v>286</v>
      </c>
      <c r="I173" s="64" t="s">
        <v>396</v>
      </c>
      <c r="J173" s="85" t="str">
        <f t="shared" si="12"/>
        <v>22Y</v>
      </c>
    </row>
    <row r="174" spans="1:10">
      <c r="A174" s="64" t="s">
        <v>148</v>
      </c>
      <c r="B174" s="65">
        <v>2023</v>
      </c>
      <c r="C174" s="3" t="str">
        <f t="shared" ref="C174:C179" si="13">F174&amp;" ("&amp;B174&amp;"E)"</f>
        <v>BEST_EBIT (2023E)</v>
      </c>
      <c r="D174" s="64" t="s">
        <v>391</v>
      </c>
      <c r="E174" s="114" t="s">
        <v>386</v>
      </c>
      <c r="F174" s="64" t="s">
        <v>148</v>
      </c>
      <c r="G174" s="66">
        <f t="shared" ca="1" si="7"/>
        <v>45273</v>
      </c>
      <c r="H174" s="3" t="s">
        <v>286</v>
      </c>
      <c r="I174" s="64" t="s">
        <v>396</v>
      </c>
      <c r="J174" s="85" t="str">
        <f t="shared" ref="J174:J179" si="14">RIGHT(B174,2)&amp;"Y"</f>
        <v>23Y</v>
      </c>
    </row>
    <row r="175" spans="1:10">
      <c r="A175" s="64" t="s">
        <v>140</v>
      </c>
      <c r="B175" s="65">
        <v>2023</v>
      </c>
      <c r="C175" s="3" t="str">
        <f t="shared" si="13"/>
        <v>BEST_EBITDA (2023E)</v>
      </c>
      <c r="D175" s="64" t="s">
        <v>391</v>
      </c>
      <c r="E175" s="114" t="s">
        <v>386</v>
      </c>
      <c r="F175" s="64" t="s">
        <v>140</v>
      </c>
      <c r="G175" s="66">
        <f t="shared" ca="1" si="7"/>
        <v>45273</v>
      </c>
      <c r="H175" s="3" t="s">
        <v>286</v>
      </c>
      <c r="I175" s="64" t="s">
        <v>396</v>
      </c>
      <c r="J175" s="85" t="str">
        <f t="shared" si="14"/>
        <v>23Y</v>
      </c>
    </row>
    <row r="176" spans="1:10">
      <c r="A176" s="64" t="s">
        <v>152</v>
      </c>
      <c r="B176" s="65">
        <v>2023</v>
      </c>
      <c r="C176" s="3" t="str">
        <f t="shared" si="13"/>
        <v>BEST_NET_DEBT (2023E)</v>
      </c>
      <c r="D176" s="64" t="s">
        <v>391</v>
      </c>
      <c r="E176" s="114" t="s">
        <v>386</v>
      </c>
      <c r="F176" s="64" t="s">
        <v>152</v>
      </c>
      <c r="G176" s="66">
        <f t="shared" ca="1" si="7"/>
        <v>45273</v>
      </c>
      <c r="H176" s="3" t="s">
        <v>286</v>
      </c>
      <c r="I176" s="64" t="s">
        <v>396</v>
      </c>
      <c r="J176" s="85" t="str">
        <f t="shared" si="14"/>
        <v>23Y</v>
      </c>
    </row>
    <row r="177" spans="1:10">
      <c r="A177" s="64" t="s">
        <v>151</v>
      </c>
      <c r="B177" s="65">
        <v>2023</v>
      </c>
      <c r="C177" s="3" t="str">
        <f t="shared" si="13"/>
        <v>BEST_OPP (2023E)</v>
      </c>
      <c r="D177" s="64" t="s">
        <v>391</v>
      </c>
      <c r="E177" s="114" t="s">
        <v>386</v>
      </c>
      <c r="F177" s="64" t="s">
        <v>151</v>
      </c>
      <c r="G177" s="66">
        <f t="shared" ca="1" si="7"/>
        <v>45273</v>
      </c>
      <c r="H177" s="3" t="s">
        <v>286</v>
      </c>
      <c r="I177" s="64" t="s">
        <v>396</v>
      </c>
      <c r="J177" s="85" t="str">
        <f t="shared" si="14"/>
        <v>23Y</v>
      </c>
    </row>
    <row r="178" spans="1:10">
      <c r="A178" s="64" t="s">
        <v>398</v>
      </c>
      <c r="B178" s="65">
        <v>2023</v>
      </c>
      <c r="C178" s="3" t="str">
        <f t="shared" si="13"/>
        <v>BEST_SALES (2023E)</v>
      </c>
      <c r="D178" s="64" t="s">
        <v>391</v>
      </c>
      <c r="E178" s="114" t="s">
        <v>386</v>
      </c>
      <c r="F178" s="64" t="s">
        <v>398</v>
      </c>
      <c r="G178" s="66">
        <f t="shared" ca="1" si="7"/>
        <v>45273</v>
      </c>
      <c r="H178" s="3" t="s">
        <v>286</v>
      </c>
      <c r="I178" s="64" t="s">
        <v>396</v>
      </c>
      <c r="J178" s="85" t="str">
        <f t="shared" si="14"/>
        <v>23Y</v>
      </c>
    </row>
    <row r="179" spans="1:10">
      <c r="A179" s="64" t="s">
        <v>397</v>
      </c>
      <c r="B179" s="65">
        <v>2023</v>
      </c>
      <c r="C179" s="3" t="str">
        <f t="shared" si="13"/>
        <v>BEST_CAPEX (2023E)</v>
      </c>
      <c r="D179" s="64" t="s">
        <v>391</v>
      </c>
      <c r="E179" s="114" t="s">
        <v>386</v>
      </c>
      <c r="F179" s="64" t="s">
        <v>397</v>
      </c>
      <c r="G179" s="66">
        <f t="shared" ca="1" si="7"/>
        <v>45273</v>
      </c>
      <c r="H179" s="3" t="s">
        <v>286</v>
      </c>
      <c r="I179" s="64" t="s">
        <v>396</v>
      </c>
      <c r="J179" s="85" t="str">
        <f t="shared" si="14"/>
        <v>23Y</v>
      </c>
    </row>
    <row r="180" spans="1:10">
      <c r="A180" s="64" t="s">
        <v>148</v>
      </c>
      <c r="B180" s="65">
        <v>2024</v>
      </c>
      <c r="C180" s="3" t="str">
        <f t="shared" ref="C180:C185" si="15">F180&amp;" ("&amp;B180&amp;"E)"</f>
        <v>BEST_EBIT (2024E)</v>
      </c>
      <c r="D180" s="64" t="s">
        <v>391</v>
      </c>
      <c r="E180" s="114" t="s">
        <v>386</v>
      </c>
      <c r="F180" s="64" t="s">
        <v>148</v>
      </c>
      <c r="G180" s="66">
        <f t="shared" ca="1" si="7"/>
        <v>45273</v>
      </c>
      <c r="H180" s="3" t="s">
        <v>286</v>
      </c>
      <c r="I180" s="64" t="s">
        <v>396</v>
      </c>
      <c r="J180" s="85" t="str">
        <f t="shared" ref="J180:J185" si="16">RIGHT(B180,2)&amp;"Y"</f>
        <v>24Y</v>
      </c>
    </row>
    <row r="181" spans="1:10">
      <c r="A181" s="64" t="s">
        <v>140</v>
      </c>
      <c r="B181" s="65">
        <v>2024</v>
      </c>
      <c r="C181" s="3" t="str">
        <f t="shared" si="15"/>
        <v>BEST_EBITDA (2024E)</v>
      </c>
      <c r="D181" s="64" t="s">
        <v>391</v>
      </c>
      <c r="E181" s="114" t="s">
        <v>386</v>
      </c>
      <c r="F181" s="64" t="s">
        <v>140</v>
      </c>
      <c r="G181" s="66">
        <f t="shared" ca="1" si="7"/>
        <v>45273</v>
      </c>
      <c r="H181" s="3" t="s">
        <v>286</v>
      </c>
      <c r="I181" s="64" t="s">
        <v>396</v>
      </c>
      <c r="J181" s="85" t="str">
        <f t="shared" si="16"/>
        <v>24Y</v>
      </c>
    </row>
    <row r="182" spans="1:10">
      <c r="A182" s="64" t="s">
        <v>152</v>
      </c>
      <c r="B182" s="65">
        <v>2024</v>
      </c>
      <c r="C182" s="3" t="str">
        <f t="shared" si="15"/>
        <v>BEST_NET_DEBT (2024E)</v>
      </c>
      <c r="D182" s="64" t="s">
        <v>391</v>
      </c>
      <c r="E182" s="114" t="s">
        <v>386</v>
      </c>
      <c r="F182" s="64" t="s">
        <v>152</v>
      </c>
      <c r="G182" s="66">
        <f t="shared" ca="1" si="7"/>
        <v>45273</v>
      </c>
      <c r="H182" s="3" t="s">
        <v>286</v>
      </c>
      <c r="I182" s="64" t="s">
        <v>396</v>
      </c>
      <c r="J182" s="85" t="str">
        <f t="shared" si="16"/>
        <v>24Y</v>
      </c>
    </row>
    <row r="183" spans="1:10">
      <c r="A183" s="64" t="s">
        <v>151</v>
      </c>
      <c r="B183" s="65">
        <v>2024</v>
      </c>
      <c r="C183" s="3" t="str">
        <f t="shared" si="15"/>
        <v>BEST_OPP (2024E)</v>
      </c>
      <c r="D183" s="64" t="s">
        <v>391</v>
      </c>
      <c r="E183" s="114" t="s">
        <v>386</v>
      </c>
      <c r="F183" s="64" t="s">
        <v>151</v>
      </c>
      <c r="G183" s="66">
        <f t="shared" ca="1" si="7"/>
        <v>45273</v>
      </c>
      <c r="H183" s="3" t="s">
        <v>286</v>
      </c>
      <c r="I183" s="64" t="s">
        <v>396</v>
      </c>
      <c r="J183" s="85" t="str">
        <f t="shared" si="16"/>
        <v>24Y</v>
      </c>
    </row>
    <row r="184" spans="1:10">
      <c r="A184" s="64" t="s">
        <v>398</v>
      </c>
      <c r="B184" s="65">
        <v>2024</v>
      </c>
      <c r="C184" s="3" t="str">
        <f t="shared" si="15"/>
        <v>BEST_SALES (2024E)</v>
      </c>
      <c r="D184" s="64" t="s">
        <v>391</v>
      </c>
      <c r="E184" s="114" t="s">
        <v>386</v>
      </c>
      <c r="F184" s="64" t="s">
        <v>398</v>
      </c>
      <c r="G184" s="66">
        <f t="shared" ca="1" si="7"/>
        <v>45273</v>
      </c>
      <c r="H184" s="3" t="s">
        <v>286</v>
      </c>
      <c r="I184" s="64" t="s">
        <v>396</v>
      </c>
      <c r="J184" s="85" t="str">
        <f t="shared" si="16"/>
        <v>24Y</v>
      </c>
    </row>
    <row r="185" spans="1:10">
      <c r="A185" s="64" t="s">
        <v>397</v>
      </c>
      <c r="B185" s="65">
        <v>2024</v>
      </c>
      <c r="C185" s="3" t="str">
        <f t="shared" si="15"/>
        <v>BEST_CAPEX (2024E)</v>
      </c>
      <c r="D185" s="64" t="s">
        <v>391</v>
      </c>
      <c r="E185" s="114" t="s">
        <v>386</v>
      </c>
      <c r="F185" s="64" t="s">
        <v>397</v>
      </c>
      <c r="G185" s="66">
        <f t="shared" ca="1" si="7"/>
        <v>45273</v>
      </c>
      <c r="H185" s="3" t="s">
        <v>286</v>
      </c>
      <c r="I185" s="64" t="s">
        <v>396</v>
      </c>
      <c r="J185" s="85" t="str">
        <f t="shared" si="16"/>
        <v>24Y</v>
      </c>
    </row>
    <row r="186" spans="1:10">
      <c r="A186" s="64" t="s">
        <v>148</v>
      </c>
      <c r="B186" s="65">
        <v>2025</v>
      </c>
      <c r="C186" s="3" t="str">
        <f t="shared" ref="C186:C191" si="17">F186&amp;" ("&amp;B186&amp;"E)"</f>
        <v>BEST_EBIT (2025E)</v>
      </c>
      <c r="D186" s="64" t="s">
        <v>391</v>
      </c>
      <c r="E186" s="114" t="s">
        <v>386</v>
      </c>
      <c r="F186" s="64" t="s">
        <v>148</v>
      </c>
      <c r="G186" s="66">
        <f t="shared" ca="1" si="7"/>
        <v>45273</v>
      </c>
      <c r="H186" s="3" t="s">
        <v>286</v>
      </c>
      <c r="I186" s="64" t="s">
        <v>396</v>
      </c>
      <c r="J186" s="85" t="str">
        <f t="shared" ref="J186:J191" si="18">RIGHT(B186,2)&amp;"Y"</f>
        <v>25Y</v>
      </c>
    </row>
    <row r="187" spans="1:10">
      <c r="A187" s="64" t="s">
        <v>140</v>
      </c>
      <c r="B187" s="65">
        <v>2025</v>
      </c>
      <c r="C187" s="3" t="str">
        <f t="shared" si="17"/>
        <v>BEST_EBITDA (2025E)</v>
      </c>
      <c r="D187" s="64" t="s">
        <v>391</v>
      </c>
      <c r="E187" s="114" t="s">
        <v>386</v>
      </c>
      <c r="F187" s="64" t="s">
        <v>140</v>
      </c>
      <c r="G187" s="66">
        <f t="shared" ca="1" si="7"/>
        <v>45273</v>
      </c>
      <c r="H187" s="3" t="s">
        <v>286</v>
      </c>
      <c r="I187" s="64" t="s">
        <v>396</v>
      </c>
      <c r="J187" s="85" t="str">
        <f t="shared" si="18"/>
        <v>25Y</v>
      </c>
    </row>
    <row r="188" spans="1:10">
      <c r="A188" s="64" t="s">
        <v>152</v>
      </c>
      <c r="B188" s="65">
        <v>2025</v>
      </c>
      <c r="C188" s="3" t="str">
        <f t="shared" si="17"/>
        <v>BEST_NET_DEBT (2025E)</v>
      </c>
      <c r="D188" s="64" t="s">
        <v>391</v>
      </c>
      <c r="E188" s="114" t="s">
        <v>386</v>
      </c>
      <c r="F188" s="64" t="s">
        <v>152</v>
      </c>
      <c r="G188" s="66">
        <f t="shared" ca="1" si="7"/>
        <v>45273</v>
      </c>
      <c r="H188" s="3" t="s">
        <v>286</v>
      </c>
      <c r="I188" s="64" t="s">
        <v>396</v>
      </c>
      <c r="J188" s="85" t="str">
        <f t="shared" si="18"/>
        <v>25Y</v>
      </c>
    </row>
    <row r="189" spans="1:10">
      <c r="A189" s="64" t="s">
        <v>151</v>
      </c>
      <c r="B189" s="65">
        <v>2025</v>
      </c>
      <c r="C189" s="3" t="str">
        <f t="shared" si="17"/>
        <v>BEST_OPP (2025E)</v>
      </c>
      <c r="D189" s="64" t="s">
        <v>391</v>
      </c>
      <c r="E189" s="114" t="s">
        <v>386</v>
      </c>
      <c r="F189" s="64" t="s">
        <v>151</v>
      </c>
      <c r="G189" s="66">
        <f t="shared" ca="1" si="7"/>
        <v>45273</v>
      </c>
      <c r="H189" s="3" t="s">
        <v>286</v>
      </c>
      <c r="I189" s="64" t="s">
        <v>396</v>
      </c>
      <c r="J189" s="85" t="str">
        <f t="shared" si="18"/>
        <v>25Y</v>
      </c>
    </row>
    <row r="190" spans="1:10">
      <c r="A190" s="64" t="s">
        <v>398</v>
      </c>
      <c r="B190" s="65">
        <v>2025</v>
      </c>
      <c r="C190" s="3" t="str">
        <f t="shared" si="17"/>
        <v>BEST_SALES (2025E)</v>
      </c>
      <c r="D190" s="64" t="s">
        <v>391</v>
      </c>
      <c r="E190" s="114" t="s">
        <v>386</v>
      </c>
      <c r="F190" s="64" t="s">
        <v>398</v>
      </c>
      <c r="G190" s="66">
        <f t="shared" ca="1" si="7"/>
        <v>45273</v>
      </c>
      <c r="H190" s="3" t="s">
        <v>286</v>
      </c>
      <c r="I190" s="64" t="s">
        <v>396</v>
      </c>
      <c r="J190" s="85" t="str">
        <f t="shared" si="18"/>
        <v>25Y</v>
      </c>
    </row>
    <row r="191" spans="1:10">
      <c r="A191" s="64" t="s">
        <v>397</v>
      </c>
      <c r="B191" s="65">
        <v>2025</v>
      </c>
      <c r="C191" s="3" t="str">
        <f t="shared" si="17"/>
        <v>BEST_CAPEX (2025E)</v>
      </c>
      <c r="D191" s="64" t="s">
        <v>391</v>
      </c>
      <c r="E191" s="114" t="s">
        <v>386</v>
      </c>
      <c r="F191" s="64" t="s">
        <v>397</v>
      </c>
      <c r="G191" s="66">
        <f t="shared" ca="1" si="7"/>
        <v>45273</v>
      </c>
      <c r="H191" s="3" t="s">
        <v>286</v>
      </c>
      <c r="I191" s="64" t="s">
        <v>396</v>
      </c>
      <c r="J191" s="85" t="str">
        <f t="shared" si="18"/>
        <v>25Y</v>
      </c>
    </row>
    <row r="192" spans="1:10">
      <c r="A192" t="str">
        <f>F192</f>
        <v>ARD_TOT_CASH_FLOWS_FROM_OPS</v>
      </c>
      <c r="B192" s="65">
        <v>2004</v>
      </c>
      <c r="C192" s="3" t="str">
        <f>F192</f>
        <v>ARD_TOT_CASH_FLOWS_FROM_OPS</v>
      </c>
      <c r="D192" s="64" t="s">
        <v>413</v>
      </c>
      <c r="E192" s="114" t="s">
        <v>386</v>
      </c>
      <c r="F192" s="64" t="s">
        <v>2665</v>
      </c>
      <c r="G192" s="66" t="s">
        <v>3627</v>
      </c>
      <c r="H192" s="3" t="s">
        <v>286</v>
      </c>
    </row>
    <row r="193" spans="1:8">
      <c r="A193" t="str">
        <f>F193</f>
        <v>ARD_ALLOW_FOR_DOUBTFUL_ACCTS_LT</v>
      </c>
      <c r="B193" s="65">
        <v>2004</v>
      </c>
      <c r="C193" s="3" t="str">
        <f>F193</f>
        <v>ARD_ALLOW_FOR_DOUBTFUL_ACCTS_LT</v>
      </c>
      <c r="D193" s="64" t="s">
        <v>413</v>
      </c>
      <c r="E193" s="114" t="s">
        <v>386</v>
      </c>
      <c r="F193" s="64" t="s">
        <v>249</v>
      </c>
      <c r="G193" s="66" t="s">
        <v>3627</v>
      </c>
      <c r="H193" s="3" t="s">
        <v>286</v>
      </c>
    </row>
    <row r="194" spans="1:8">
      <c r="A194" t="str">
        <f>F194</f>
        <v>ARD_AMORT_EXP</v>
      </c>
      <c r="B194" s="65">
        <v>2004</v>
      </c>
      <c r="C194" s="3" t="str">
        <f>F194</f>
        <v>ARD_AMORT_EXP</v>
      </c>
      <c r="D194" s="64" t="s">
        <v>413</v>
      </c>
      <c r="E194" s="114" t="s">
        <v>386</v>
      </c>
      <c r="F194" s="64" t="s">
        <v>171</v>
      </c>
      <c r="G194" s="66" t="s">
        <v>3627</v>
      </c>
      <c r="H194" s="3" t="s">
        <v>286</v>
      </c>
    </row>
    <row r="195" spans="1:8">
      <c r="A195" t="str">
        <f>F195</f>
        <v>ARD_AMORT_IMPAIR_INTANG_ASSETS</v>
      </c>
      <c r="B195" s="65">
        <v>2004</v>
      </c>
      <c r="C195" s="3" t="str">
        <f>F195</f>
        <v>ARD_AMORT_IMPAIR_INTANG_ASSETS</v>
      </c>
      <c r="D195" s="64" t="s">
        <v>413</v>
      </c>
      <c r="E195" s="114" t="s">
        <v>386</v>
      </c>
      <c r="F195" s="64" t="s">
        <v>182</v>
      </c>
      <c r="G195" s="66" t="s">
        <v>3627</v>
      </c>
      <c r="H195" s="3" t="s">
        <v>286</v>
      </c>
    </row>
    <row r="196" spans="1:8">
      <c r="A196" t="str">
        <f>F196</f>
        <v>ARDR_CHG_IN_ACCOUNTS_RECEIVABLE</v>
      </c>
      <c r="B196" s="65">
        <v>2004</v>
      </c>
      <c r="C196" s="3" t="str">
        <f>F196</f>
        <v>ARDR_CHG_IN_ACCOUNTS_RECEIVABLE</v>
      </c>
      <c r="D196" s="64" t="s">
        <v>413</v>
      </c>
      <c r="E196" s="114" t="s">
        <v>386</v>
      </c>
      <c r="F196" s="64" t="s">
        <v>2666</v>
      </c>
      <c r="G196" s="66" t="s">
        <v>3627</v>
      </c>
      <c r="H196" s="3" t="s">
        <v>286</v>
      </c>
    </row>
    <row r="197" spans="1:8">
      <c r="A197" t="str">
        <f t="shared" ref="A197:A214" si="19">F197</f>
        <v>ARD_CHANGE_IN_ACCOUNTS_PAYABLE</v>
      </c>
      <c r="B197" s="65">
        <v>2004</v>
      </c>
      <c r="C197" s="3" t="str">
        <f t="shared" ref="C197:C214" si="20">F197</f>
        <v>ARD_CHANGE_IN_ACCOUNTS_PAYABLE</v>
      </c>
      <c r="D197" s="64" t="s">
        <v>413</v>
      </c>
      <c r="E197" s="114" t="s">
        <v>386</v>
      </c>
      <c r="F197" s="64" t="s">
        <v>2667</v>
      </c>
      <c r="G197" s="66" t="s">
        <v>3627</v>
      </c>
      <c r="H197" s="3" t="s">
        <v>286</v>
      </c>
    </row>
    <row r="198" spans="1:8">
      <c r="A198" t="str">
        <f t="shared" si="19"/>
        <v>ARD_CHANGE_IN_INVENTORIES</v>
      </c>
      <c r="B198" s="65">
        <v>2004</v>
      </c>
      <c r="C198" s="3" t="str">
        <f t="shared" si="20"/>
        <v>ARD_CHANGE_IN_INVENTORIES</v>
      </c>
      <c r="D198" s="64" t="s">
        <v>413</v>
      </c>
      <c r="E198" s="114" t="s">
        <v>386</v>
      </c>
      <c r="F198" s="64" t="s">
        <v>2668</v>
      </c>
      <c r="G198" s="66" t="s">
        <v>3627</v>
      </c>
      <c r="H198" s="3" t="s">
        <v>286</v>
      </c>
    </row>
    <row r="199" spans="1:8">
      <c r="A199" t="str">
        <f t="shared" si="19"/>
        <v>ARD_CHANGE_IN_OTHER_CUR_ASSETS</v>
      </c>
      <c r="B199" s="65">
        <v>2004</v>
      </c>
      <c r="C199" s="3" t="str">
        <f t="shared" si="20"/>
        <v>ARD_CHANGE_IN_OTHER_CUR_ASSETS</v>
      </c>
      <c r="D199" s="64" t="s">
        <v>413</v>
      </c>
      <c r="E199" s="114" t="s">
        <v>386</v>
      </c>
      <c r="F199" s="64" t="s">
        <v>2669</v>
      </c>
      <c r="G199" s="66" t="s">
        <v>3627</v>
      </c>
      <c r="H199" s="3" t="s">
        <v>286</v>
      </c>
    </row>
    <row r="200" spans="1:8">
      <c r="A200" t="str">
        <f t="shared" si="19"/>
        <v>ARD_CHANGE_IN_PREPAID_EXP</v>
      </c>
      <c r="B200" s="65">
        <v>2004</v>
      </c>
      <c r="C200" s="3" t="str">
        <f t="shared" si="20"/>
        <v>ARD_CHANGE_IN_PREPAID_EXP</v>
      </c>
      <c r="D200" s="64" t="s">
        <v>413</v>
      </c>
      <c r="E200" s="114" t="s">
        <v>386</v>
      </c>
      <c r="F200" s="64" t="s">
        <v>2670</v>
      </c>
      <c r="G200" s="66" t="s">
        <v>3627</v>
      </c>
      <c r="H200" s="3" t="s">
        <v>286</v>
      </c>
    </row>
    <row r="201" spans="1:8">
      <c r="A201" t="str">
        <f t="shared" si="19"/>
        <v>ARD_CHG_IN_ACC_COMP_PAY_EXP</v>
      </c>
      <c r="B201" s="65">
        <v>2004</v>
      </c>
      <c r="C201" s="3" t="str">
        <f t="shared" si="20"/>
        <v>ARD_CHG_IN_ACC_COMP_PAY_EXP</v>
      </c>
      <c r="D201" s="64" t="s">
        <v>413</v>
      </c>
      <c r="E201" s="114" t="s">
        <v>386</v>
      </c>
      <c r="F201" s="64" t="s">
        <v>2671</v>
      </c>
      <c r="G201" s="66" t="s">
        <v>3627</v>
      </c>
      <c r="H201" s="3" t="s">
        <v>286</v>
      </c>
    </row>
    <row r="202" spans="1:8">
      <c r="A202" t="str">
        <f t="shared" si="19"/>
        <v>ARD_CHG_IN_ACCOUNTS_RECEIVABLE</v>
      </c>
      <c r="B202" s="65">
        <v>2004</v>
      </c>
      <c r="C202" s="3" t="str">
        <f t="shared" si="20"/>
        <v>ARD_CHG_IN_ACCOUNTS_RECEIVABLE</v>
      </c>
      <c r="D202" s="64" t="s">
        <v>413</v>
      </c>
      <c r="E202" s="114" t="s">
        <v>386</v>
      </c>
      <c r="F202" s="64" t="s">
        <v>2672</v>
      </c>
      <c r="G202" s="66" t="s">
        <v>3627</v>
      </c>
      <c r="H202" s="3" t="s">
        <v>286</v>
      </c>
    </row>
    <row r="203" spans="1:8">
      <c r="A203" t="str">
        <f t="shared" si="19"/>
        <v>ARD_CHG_IN_OTHER_CURRENT_LIAB</v>
      </c>
      <c r="B203" s="65">
        <v>2004</v>
      </c>
      <c r="C203" s="3" t="str">
        <f t="shared" si="20"/>
        <v>ARD_CHG_IN_OTHER_CURRENT_LIAB</v>
      </c>
      <c r="D203" s="64" t="s">
        <v>413</v>
      </c>
      <c r="E203" s="114" t="s">
        <v>386</v>
      </c>
      <c r="F203" s="64" t="s">
        <v>2673</v>
      </c>
      <c r="G203" s="66" t="s">
        <v>3627</v>
      </c>
      <c r="H203" s="3" t="s">
        <v>286</v>
      </c>
    </row>
    <row r="204" spans="1:8">
      <c r="A204" t="str">
        <f t="shared" si="19"/>
        <v>ARD_CHNG_TRADE_PAY_OTH_CUR_LIAB</v>
      </c>
      <c r="B204" s="65">
        <v>2004</v>
      </c>
      <c r="C204" s="3" t="str">
        <f t="shared" si="20"/>
        <v>ARD_CHNG_TRADE_PAY_OTH_CUR_LIAB</v>
      </c>
      <c r="D204" s="64" t="s">
        <v>413</v>
      </c>
      <c r="E204" s="114" t="s">
        <v>386</v>
      </c>
      <c r="F204" s="64" t="s">
        <v>2674</v>
      </c>
      <c r="G204" s="66" t="s">
        <v>3627</v>
      </c>
      <c r="H204" s="3" t="s">
        <v>286</v>
      </c>
    </row>
    <row r="205" spans="1:8">
      <c r="A205" t="str">
        <f t="shared" si="19"/>
        <v>ARD_INCR_DECR_IN_TRADE_OTHER_REC</v>
      </c>
      <c r="B205" s="65">
        <v>2004</v>
      </c>
      <c r="C205" s="3" t="str">
        <f t="shared" si="20"/>
        <v>ARD_INCR_DECR_IN_TRADE_OTHER_REC</v>
      </c>
      <c r="D205" s="64" t="s">
        <v>413</v>
      </c>
      <c r="E205" s="114" t="s">
        <v>386</v>
      </c>
      <c r="F205" s="64" t="s">
        <v>2675</v>
      </c>
      <c r="G205" s="66" t="s">
        <v>3627</v>
      </c>
      <c r="H205" s="3" t="s">
        <v>286</v>
      </c>
    </row>
    <row r="206" spans="1:8">
      <c r="A206" t="str">
        <f t="shared" si="19"/>
        <v>ARDR_CHANGE_IN_INVENTORIES</v>
      </c>
      <c r="B206" s="65">
        <v>2004</v>
      </c>
      <c r="C206" s="3" t="str">
        <f t="shared" si="20"/>
        <v>ARDR_CHANGE_IN_INVENTORIES</v>
      </c>
      <c r="D206" s="64" t="s">
        <v>413</v>
      </c>
      <c r="E206" s="114" t="s">
        <v>386</v>
      </c>
      <c r="F206" s="64" t="s">
        <v>2676</v>
      </c>
      <c r="G206" s="66" t="s">
        <v>3627</v>
      </c>
      <c r="H206" s="3" t="s">
        <v>286</v>
      </c>
    </row>
    <row r="207" spans="1:8">
      <c r="A207" t="str">
        <f t="shared" si="19"/>
        <v>ARDR_CHG_IN_INC_TAX_PAYABLE_REC</v>
      </c>
      <c r="B207" s="65">
        <v>2004</v>
      </c>
      <c r="C207" s="3" t="str">
        <f t="shared" si="20"/>
        <v>ARDR_CHG_IN_INC_TAX_PAYABLE_REC</v>
      </c>
      <c r="D207" s="64" t="s">
        <v>413</v>
      </c>
      <c r="E207" s="114" t="s">
        <v>386</v>
      </c>
      <c r="F207" s="64" t="s">
        <v>2677</v>
      </c>
      <c r="G207" s="66" t="s">
        <v>3627</v>
      </c>
      <c r="H207" s="3" t="s">
        <v>286</v>
      </c>
    </row>
    <row r="208" spans="1:8">
      <c r="A208" t="str">
        <f t="shared" si="19"/>
        <v>ARDR_CHNG_TRADE_PAY_OTH_CUR_LIAB</v>
      </c>
      <c r="B208" s="65">
        <v>2004</v>
      </c>
      <c r="C208" s="3" t="str">
        <f t="shared" si="20"/>
        <v>ARDR_CHNG_TRADE_PAY_OTH_CUR_LIAB</v>
      </c>
      <c r="D208" s="64" t="s">
        <v>413</v>
      </c>
      <c r="E208" s="114" t="s">
        <v>386</v>
      </c>
      <c r="F208" s="64" t="s">
        <v>2678</v>
      </c>
      <c r="G208" s="66" t="s">
        <v>3627</v>
      </c>
      <c r="H208" s="3" t="s">
        <v>286</v>
      </c>
    </row>
    <row r="209" spans="1:8">
      <c r="A209" t="str">
        <f t="shared" si="19"/>
        <v>ARDR_INCR_DECR_IN_PROVISIONS</v>
      </c>
      <c r="B209" s="65">
        <v>2004</v>
      </c>
      <c r="C209" s="3" t="str">
        <f t="shared" si="20"/>
        <v>ARDR_INCR_DECR_IN_PROVISIONS</v>
      </c>
      <c r="D209" s="64" t="s">
        <v>413</v>
      </c>
      <c r="E209" s="114" t="s">
        <v>386</v>
      </c>
      <c r="F209" s="64" t="s">
        <v>2679</v>
      </c>
      <c r="G209" s="66" t="s">
        <v>3627</v>
      </c>
      <c r="H209" s="3" t="s">
        <v>286</v>
      </c>
    </row>
    <row r="210" spans="1:8">
      <c r="A210" t="str">
        <f t="shared" si="19"/>
        <v>ARDR_INCR_DECR_IN_TRADE_OTH_REC</v>
      </c>
      <c r="B210" s="65">
        <v>2004</v>
      </c>
      <c r="C210" s="3" t="str">
        <f t="shared" si="20"/>
        <v>ARDR_INCR_DECR_IN_TRADE_OTH_REC</v>
      </c>
      <c r="D210" s="64" t="s">
        <v>413</v>
      </c>
      <c r="E210" s="114" t="s">
        <v>386</v>
      </c>
      <c r="F210" s="64" t="s">
        <v>2680</v>
      </c>
      <c r="G210" s="66" t="s">
        <v>3627</v>
      </c>
      <c r="H210" s="3" t="s">
        <v>286</v>
      </c>
    </row>
    <row r="211" spans="1:8">
      <c r="A211" t="str">
        <f t="shared" si="19"/>
        <v>CF_ACCT_RCV_UNBILLED_REV</v>
      </c>
      <c r="B211" s="65">
        <v>2004</v>
      </c>
      <c r="C211" s="3" t="str">
        <f t="shared" si="20"/>
        <v>CF_ACCT_RCV_UNBILLED_REV</v>
      </c>
      <c r="D211" s="64" t="s">
        <v>413</v>
      </c>
      <c r="E211" s="114" t="s">
        <v>386</v>
      </c>
      <c r="F211" s="64" t="s">
        <v>2681</v>
      </c>
      <c r="G211" s="66" t="s">
        <v>3627</v>
      </c>
      <c r="H211" s="3" t="s">
        <v>286</v>
      </c>
    </row>
    <row r="212" spans="1:8">
      <c r="A212" t="str">
        <f t="shared" si="19"/>
        <v>CF_CHANGE_IN_INVENTORIES</v>
      </c>
      <c r="B212" s="65">
        <v>2004</v>
      </c>
      <c r="C212" s="3" t="str">
        <f t="shared" si="20"/>
        <v>CF_CHANGE_IN_INVENTORIES</v>
      </c>
      <c r="D212" s="64" t="s">
        <v>413</v>
      </c>
      <c r="E212" s="114" t="s">
        <v>386</v>
      </c>
      <c r="F212" s="64" t="s">
        <v>2682</v>
      </c>
      <c r="G212" s="66" t="s">
        <v>3627</v>
      </c>
      <c r="H212" s="3" t="s">
        <v>286</v>
      </c>
    </row>
    <row r="213" spans="1:8">
      <c r="A213" t="str">
        <f t="shared" si="19"/>
        <v>CF_INC_DEC_IN_OT_OP_AST_LIAB</v>
      </c>
      <c r="B213" s="65">
        <v>2004</v>
      </c>
      <c r="C213" s="3" t="str">
        <f t="shared" si="20"/>
        <v>CF_INC_DEC_IN_OT_OP_AST_LIAB</v>
      </c>
      <c r="D213" s="64" t="s">
        <v>413</v>
      </c>
      <c r="E213" s="114" t="s">
        <v>386</v>
      </c>
      <c r="F213" s="64" t="s">
        <v>2683</v>
      </c>
      <c r="G213" s="66" t="s">
        <v>3627</v>
      </c>
      <c r="H213" s="3" t="s">
        <v>286</v>
      </c>
    </row>
    <row r="214" spans="1:8">
      <c r="A214" t="str">
        <f t="shared" si="19"/>
        <v>INC_DEC_IN_OT_OP_AST_LIAB_DETAIL</v>
      </c>
      <c r="B214" s="65">
        <v>2004</v>
      </c>
      <c r="C214" s="3" t="str">
        <f t="shared" si="20"/>
        <v>INC_DEC_IN_OT_OP_AST_LIAB_DETAIL</v>
      </c>
      <c r="D214" s="64" t="s">
        <v>413</v>
      </c>
      <c r="E214" s="114" t="s">
        <v>386</v>
      </c>
      <c r="F214" s="64" t="s">
        <v>2684</v>
      </c>
      <c r="G214" s="66" t="s">
        <v>3627</v>
      </c>
      <c r="H214" s="3" t="s">
        <v>286</v>
      </c>
    </row>
    <row r="215" spans="1:8">
      <c r="A215" t="str">
        <f t="shared" ref="A215:A222" si="21">F215</f>
        <v>CF_CHANGE_IN_ACCOUNTS_PAYABLE</v>
      </c>
      <c r="B215" s="65">
        <v>2004</v>
      </c>
      <c r="C215" s="3" t="str">
        <f t="shared" ref="C215:C222" si="22">F215</f>
        <v>CF_CHANGE_IN_ACCOUNTS_PAYABLE</v>
      </c>
      <c r="D215" s="64" t="s">
        <v>413</v>
      </c>
      <c r="E215" s="114" t="s">
        <v>386</v>
      </c>
      <c r="F215" s="64" t="s">
        <v>2985</v>
      </c>
      <c r="G215" s="66" t="s">
        <v>3627</v>
      </c>
      <c r="H215" s="3" t="s">
        <v>286</v>
      </c>
    </row>
    <row r="216" spans="1:8">
      <c r="A216" t="str">
        <f t="shared" si="21"/>
        <v>ARD_CHANGE_IN_ACCOUNTS_PAYABLE</v>
      </c>
      <c r="B216" s="65">
        <v>2004</v>
      </c>
      <c r="C216" s="3" t="str">
        <f t="shared" si="22"/>
        <v>ARD_CHANGE_IN_ACCOUNTS_PAYABLE</v>
      </c>
      <c r="D216" s="64" t="s">
        <v>413</v>
      </c>
      <c r="E216" s="114" t="s">
        <v>386</v>
      </c>
      <c r="F216" s="64" t="s">
        <v>2667</v>
      </c>
      <c r="G216" s="66" t="s">
        <v>3627</v>
      </c>
      <c r="H216" s="3" t="s">
        <v>286</v>
      </c>
    </row>
    <row r="217" spans="1:8">
      <c r="A217" t="str">
        <f t="shared" si="21"/>
        <v>CF_CHNG_NON_CASH_WORK_CAP</v>
      </c>
      <c r="B217" s="65">
        <v>2004</v>
      </c>
      <c r="C217" s="3" t="str">
        <f t="shared" si="22"/>
        <v>CF_CHNG_NON_CASH_WORK_CAP</v>
      </c>
      <c r="D217" s="64" t="s">
        <v>413</v>
      </c>
      <c r="E217" s="114" t="s">
        <v>386</v>
      </c>
      <c r="F217" s="64" t="s">
        <v>2990</v>
      </c>
      <c r="G217" s="66" t="s">
        <v>3627</v>
      </c>
      <c r="H217" s="3" t="s">
        <v>286</v>
      </c>
    </row>
    <row r="218" spans="1:8">
      <c r="A218" t="str">
        <f t="shared" si="21"/>
        <v>ARD_NET_CHG_IN_WORKING_CAPITAL</v>
      </c>
      <c r="B218" s="65">
        <v>2004</v>
      </c>
      <c r="C218" s="3" t="str">
        <f t="shared" si="22"/>
        <v>ARD_NET_CHG_IN_WORKING_CAPITAL</v>
      </c>
      <c r="D218" s="64" t="s">
        <v>413</v>
      </c>
      <c r="E218" s="114" t="s">
        <v>386</v>
      </c>
      <c r="F218" s="64" t="s">
        <v>3022</v>
      </c>
      <c r="G218" s="66" t="s">
        <v>3627</v>
      </c>
      <c r="H218" s="3" t="s">
        <v>286</v>
      </c>
    </row>
    <row r="219" spans="1:8">
      <c r="A219" t="str">
        <f t="shared" si="21"/>
        <v>ARD_STOCK_BASED_COMPENSATION</v>
      </c>
      <c r="B219" s="65">
        <v>2004</v>
      </c>
      <c r="C219" s="3" t="str">
        <f t="shared" si="22"/>
        <v>ARD_STOCK_BASED_COMPENSATION</v>
      </c>
      <c r="D219" s="64" t="s">
        <v>413</v>
      </c>
      <c r="E219" s="114" t="s">
        <v>386</v>
      </c>
      <c r="F219" s="64" t="s">
        <v>3023</v>
      </c>
      <c r="G219" s="66" t="s">
        <v>3627</v>
      </c>
      <c r="H219" s="3" t="s">
        <v>286</v>
      </c>
    </row>
    <row r="220" spans="1:8">
      <c r="A220" t="str">
        <f t="shared" si="21"/>
        <v>CF_CASH_PAID_FOR_TAX</v>
      </c>
      <c r="B220" s="65">
        <v>2004</v>
      </c>
      <c r="C220" s="3" t="str">
        <f t="shared" si="22"/>
        <v>CF_CASH_PAID_FOR_TAX</v>
      </c>
      <c r="D220" s="64" t="s">
        <v>413</v>
      </c>
      <c r="E220" s="114" t="s">
        <v>386</v>
      </c>
      <c r="F220" s="64" t="s">
        <v>3063</v>
      </c>
      <c r="G220" s="66" t="s">
        <v>3627</v>
      </c>
      <c r="H220" s="3" t="s">
        <v>286</v>
      </c>
    </row>
    <row r="221" spans="1:8">
      <c r="A221" t="str">
        <f t="shared" si="21"/>
        <v>CF_ACT_CASH_PAID_FOR_INT_DEBT</v>
      </c>
      <c r="B221" s="65">
        <v>2004</v>
      </c>
      <c r="C221" s="3" t="str">
        <f t="shared" si="22"/>
        <v>CF_ACT_CASH_PAID_FOR_INT_DEBT</v>
      </c>
      <c r="D221" s="64" t="s">
        <v>413</v>
      </c>
      <c r="E221" s="114" t="s">
        <v>386</v>
      </c>
      <c r="F221" s="64" t="s">
        <v>3064</v>
      </c>
      <c r="G221" s="66" t="s">
        <v>3627</v>
      </c>
      <c r="H221" s="3" t="s">
        <v>286</v>
      </c>
    </row>
    <row r="222" spans="1:8">
      <c r="A222" t="str">
        <f t="shared" si="21"/>
        <v>ARD_GAIN_LOSS_SALES_FIXED_ASSETS</v>
      </c>
      <c r="B222" s="65">
        <v>2004</v>
      </c>
      <c r="C222" s="3" t="str">
        <f t="shared" si="22"/>
        <v>ARD_GAIN_LOSS_SALES_FIXED_ASSETS</v>
      </c>
      <c r="D222" s="64" t="s">
        <v>413</v>
      </c>
      <c r="E222" s="114" t="s">
        <v>386</v>
      </c>
      <c r="F222" s="64" t="s">
        <v>3065</v>
      </c>
      <c r="G222" s="66" t="s">
        <v>3627</v>
      </c>
      <c r="H222" s="3" t="s">
        <v>286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Output">
    <tabColor theme="0" tint="-0.499984740745262"/>
  </sheetPr>
  <dimension ref="B1:DQC9"/>
  <sheetViews>
    <sheetView workbookViewId="0">
      <selection activeCell="B2" sqref="B2"/>
    </sheetView>
  </sheetViews>
  <sheetFormatPr defaultRowHeight="14.25"/>
  <cols>
    <col min="1" max="1" width="15.6640625" bestFit="1" customWidth="1"/>
    <col min="2" max="2" width="19.1328125" bestFit="1" customWidth="1"/>
    <col min="3" max="3" width="29" bestFit="1" customWidth="1"/>
    <col min="4" max="4" width="14.3984375" bestFit="1" customWidth="1"/>
    <col min="5" max="8" width="11.265625" customWidth="1"/>
    <col min="9" max="12" width="10.1328125" customWidth="1"/>
    <col min="13" max="13" width="9.3984375" bestFit="1" customWidth="1"/>
    <col min="16" max="19" width="9.3984375" bestFit="1" customWidth="1"/>
    <col min="29" max="30" width="9.265625" bestFit="1" customWidth="1"/>
    <col min="31" max="35" width="9.3984375" bestFit="1" customWidth="1"/>
    <col min="36" max="37" width="9.265625" bestFit="1" customWidth="1"/>
    <col min="56" max="60" width="9.265625" bestFit="1" customWidth="1"/>
    <col min="61" max="69" width="9.3984375" bestFit="1" customWidth="1"/>
    <col min="70" max="70" width="9.265625" bestFit="1" customWidth="1"/>
    <col min="71" max="71" width="9.3984375" bestFit="1" customWidth="1"/>
    <col min="72" max="78" width="9.265625" bestFit="1" customWidth="1"/>
    <col min="83" max="84" width="9.265625" bestFit="1" customWidth="1"/>
    <col min="91" max="91" width="9.265625" bestFit="1" customWidth="1"/>
    <col min="92" max="92" width="9.3984375" bestFit="1" customWidth="1"/>
    <col min="93" max="109" width="9.265625" bestFit="1" customWidth="1"/>
    <col min="137" max="138" width="9.265625" bestFit="1" customWidth="1"/>
    <col min="139" max="139" width="9.59765625" bestFit="1" customWidth="1"/>
    <col min="140" max="141" width="9.265625" bestFit="1" customWidth="1"/>
    <col min="142" max="144" width="9.59765625" bestFit="1" customWidth="1"/>
    <col min="145" max="150" width="9.265625" bestFit="1" customWidth="1"/>
    <col min="151" max="153" width="9.3984375" bestFit="1" customWidth="1"/>
    <col min="154" max="159" width="9.265625" bestFit="1" customWidth="1"/>
    <col min="161" max="163" width="9.265625" bestFit="1" customWidth="1"/>
    <col min="164" max="168" width="9.3984375" bestFit="1" customWidth="1"/>
    <col min="169" max="180" width="9.265625" bestFit="1" customWidth="1"/>
    <col min="181" max="181" width="9.3984375" bestFit="1" customWidth="1"/>
    <col min="182" max="189" width="9.265625" bestFit="1" customWidth="1"/>
    <col min="191" max="192" width="9.265625" bestFit="1" customWidth="1"/>
    <col min="193" max="198" width="9.3984375" bestFit="1" customWidth="1"/>
    <col min="199" max="203" width="9.265625" bestFit="1" customWidth="1"/>
    <col min="204" max="205" width="9.59765625" bestFit="1" customWidth="1"/>
    <col min="206" max="207" width="9.265625" bestFit="1" customWidth="1"/>
    <col min="211" max="212" width="9.265625" bestFit="1" customWidth="1"/>
    <col min="213" max="218" width="9.3984375" bestFit="1" customWidth="1"/>
    <col min="219" max="220" width="9.265625" bestFit="1" customWidth="1"/>
    <col min="221" max="228" width="9.3984375" bestFit="1" customWidth="1"/>
    <col min="229" max="232" width="9.265625" bestFit="1" customWidth="1"/>
    <col min="233" max="235" width="9.3984375" bestFit="1" customWidth="1"/>
    <col min="236" max="237" width="9.59765625" bestFit="1" customWidth="1"/>
    <col min="238" max="238" width="10.59765625" bestFit="1" customWidth="1"/>
    <col min="239" max="239" width="9.59765625" bestFit="1" customWidth="1"/>
    <col min="240" max="242" width="10.59765625" bestFit="1" customWidth="1"/>
    <col min="243" max="243" width="9.3984375" bestFit="1" customWidth="1"/>
    <col min="244" max="245" width="9.265625" bestFit="1" customWidth="1"/>
    <col min="246" max="249" width="9.3984375" bestFit="1" customWidth="1"/>
    <col min="250" max="250" width="9.265625" bestFit="1" customWidth="1"/>
    <col min="251" max="253" width="9.3984375" bestFit="1" customWidth="1"/>
    <col min="254" max="254" width="9.59765625" bestFit="1" customWidth="1"/>
    <col min="255" max="257" width="10.59765625" bestFit="1" customWidth="1"/>
    <col min="258" max="261" width="11.59765625" bestFit="1" customWidth="1"/>
    <col min="262" max="262" width="9.3984375" bestFit="1" customWidth="1"/>
    <col min="263" max="268" width="9.265625" bestFit="1" customWidth="1"/>
    <col min="272" max="272" width="9.265625" bestFit="1" customWidth="1"/>
    <col min="273" max="273" width="9.3984375" bestFit="1" customWidth="1"/>
    <col min="274" max="279" width="9.59765625" bestFit="1" customWidth="1"/>
    <col min="280" max="284" width="9.265625" bestFit="1" customWidth="1"/>
    <col min="285" max="288" width="10.1328125" bestFit="1" customWidth="1"/>
    <col min="289" max="289" width="9.265625" bestFit="1" customWidth="1"/>
    <col min="290" max="297" width="9.59765625" bestFit="1" customWidth="1"/>
    <col min="299" max="299" width="9.265625" bestFit="1" customWidth="1"/>
    <col min="300" max="306" width="9.59765625" bestFit="1" customWidth="1"/>
    <col min="307" max="310" width="9.265625" bestFit="1" customWidth="1"/>
    <col min="321" max="325" width="9.265625" bestFit="1" customWidth="1"/>
    <col min="326" max="328" width="9.3984375" bestFit="1" customWidth="1"/>
    <col min="329" max="330" width="9.265625" bestFit="1" customWidth="1"/>
    <col min="331" max="334" width="9.3984375" bestFit="1" customWidth="1"/>
    <col min="335" max="335" width="10.59765625" bestFit="1" customWidth="1"/>
    <col min="336" max="337" width="9.59765625" bestFit="1" customWidth="1"/>
    <col min="338" max="338" width="9.3984375" bestFit="1" customWidth="1"/>
    <col min="339" max="341" width="9.265625" bestFit="1" customWidth="1"/>
    <col min="342" max="342" width="10.59765625" bestFit="1" customWidth="1"/>
    <col min="343" max="343" width="9.3984375" bestFit="1" customWidth="1"/>
    <col min="344" max="352" width="9.265625" bestFit="1" customWidth="1"/>
    <col min="353" max="355" width="9.59765625" bestFit="1" customWidth="1"/>
    <col min="356" max="361" width="9.265625" bestFit="1" customWidth="1"/>
    <col min="362" max="363" width="9.3984375" bestFit="1" customWidth="1"/>
    <col min="364" max="365" width="9.265625" bestFit="1" customWidth="1"/>
    <col min="366" max="367" width="9.3984375" bestFit="1" customWidth="1"/>
    <col min="368" max="369" width="9.265625" bestFit="1" customWidth="1"/>
    <col min="371" max="372" width="9.3984375" bestFit="1" customWidth="1"/>
    <col min="373" max="374" width="9.59765625" bestFit="1" customWidth="1"/>
    <col min="375" max="378" width="9.3984375" bestFit="1" customWidth="1"/>
    <col min="379" max="379" width="9.265625" bestFit="1" customWidth="1"/>
    <col min="381" max="388" width="9.265625" bestFit="1" customWidth="1"/>
    <col min="389" max="389" width="9.3984375" bestFit="1" customWidth="1"/>
    <col min="390" max="390" width="9.265625" bestFit="1" customWidth="1"/>
    <col min="391" max="398" width="9.3984375" bestFit="1" customWidth="1"/>
    <col min="399" max="400" width="9.265625" bestFit="1" customWidth="1"/>
    <col min="401" max="402" width="9.3984375" bestFit="1" customWidth="1"/>
    <col min="403" max="404" width="9.265625" bestFit="1" customWidth="1"/>
    <col min="405" max="405" width="9.3984375" bestFit="1" customWidth="1"/>
    <col min="406" max="410" width="9.265625" bestFit="1" customWidth="1"/>
    <col min="411" max="414" width="9.3984375" bestFit="1" customWidth="1"/>
    <col min="415" max="424" width="9.265625" bestFit="1" customWidth="1"/>
    <col min="425" max="426" width="10.59765625" bestFit="1" customWidth="1"/>
    <col min="427" max="432" width="11.59765625" bestFit="1" customWidth="1"/>
    <col min="433" max="433" width="9.59765625" bestFit="1" customWidth="1"/>
    <col min="434" max="441" width="10.59765625" bestFit="1" customWidth="1"/>
    <col min="442" max="442" width="9.59765625" bestFit="1" customWidth="1"/>
    <col min="443" max="443" width="10.59765625" bestFit="1" customWidth="1"/>
    <col min="444" max="450" width="11.59765625" bestFit="1" customWidth="1"/>
    <col min="451" max="451" width="9.3984375" bestFit="1" customWidth="1"/>
    <col min="452" max="459" width="11.59765625" bestFit="1" customWidth="1"/>
    <col min="460" max="460" width="9.59765625" bestFit="1" customWidth="1"/>
    <col min="461" max="468" width="11.59765625" bestFit="1" customWidth="1"/>
    <col min="469" max="469" width="9.59765625" bestFit="1" customWidth="1"/>
    <col min="470" max="477" width="11.59765625" bestFit="1" customWidth="1"/>
    <col min="478" max="478" width="10.265625" bestFit="1" customWidth="1"/>
    <col min="479" max="480" width="9.59765625" bestFit="1" customWidth="1"/>
    <col min="481" max="481" width="10.59765625" bestFit="1" customWidth="1"/>
    <col min="482" max="487" width="9.59765625" bestFit="1" customWidth="1"/>
    <col min="488" max="489" width="9.265625" bestFit="1" customWidth="1"/>
    <col min="491" max="491" width="9.265625" bestFit="1" customWidth="1"/>
    <col min="492" max="497" width="10.1328125" bestFit="1" customWidth="1"/>
    <col min="498" max="498" width="10.265625" bestFit="1" customWidth="1"/>
    <col min="499" max="499" width="9.3984375" bestFit="1" customWidth="1"/>
    <col min="500" max="500" width="9.265625" bestFit="1" customWidth="1"/>
    <col min="501" max="504" width="10.265625" bestFit="1" customWidth="1"/>
    <col min="505" max="508" width="10.1328125" bestFit="1" customWidth="1"/>
    <col min="509" max="509" width="9.265625" bestFit="1" customWidth="1"/>
    <col min="511" max="514" width="10.1328125" bestFit="1" customWidth="1"/>
    <col min="515" max="518" width="10.265625" bestFit="1" customWidth="1"/>
    <col min="519" max="519" width="9.3984375" bestFit="1" customWidth="1"/>
    <col min="520" max="520" width="9.265625" bestFit="1" customWidth="1"/>
    <col min="521" max="523" width="10.265625" bestFit="1" customWidth="1"/>
    <col min="524" max="528" width="10.1328125" bestFit="1" customWidth="1"/>
    <col min="529" max="529" width="9.265625" bestFit="1" customWidth="1"/>
    <col min="531" max="532" width="9.265625" bestFit="1" customWidth="1"/>
    <col min="533" max="533" width="9.3984375" bestFit="1" customWidth="1"/>
    <col min="534" max="539" width="9.265625" bestFit="1" customWidth="1"/>
    <col min="548" max="551" width="9.265625" bestFit="1" customWidth="1"/>
    <col min="553" max="558" width="9.3984375" bestFit="1" customWidth="1"/>
    <col min="569" max="570" width="9.265625" bestFit="1" customWidth="1"/>
    <col min="571" max="576" width="9.3984375" bestFit="1" customWidth="1"/>
    <col min="577" max="579" width="9.265625" bestFit="1" customWidth="1"/>
    <col min="591" max="591" width="9.265625" bestFit="1" customWidth="1"/>
    <col min="598" max="598" width="9.265625" bestFit="1" customWidth="1"/>
    <col min="600" max="603" width="9.265625" bestFit="1" customWidth="1"/>
    <col min="607" max="609" width="9.265625" bestFit="1" customWidth="1"/>
    <col min="611" max="611" width="9.265625" bestFit="1" customWidth="1"/>
    <col min="613" max="618" width="9.265625" bestFit="1" customWidth="1"/>
    <col min="623" max="626" width="9.265625" bestFit="1" customWidth="1"/>
    <col min="627" max="627" width="9.59765625" bestFit="1" customWidth="1"/>
    <col min="628" max="630" width="9.265625" bestFit="1" customWidth="1"/>
    <col min="631" max="631" width="9.3984375" bestFit="1" customWidth="1"/>
    <col min="632" max="638" width="9.265625" bestFit="1" customWidth="1"/>
    <col min="650" max="659" width="9.59765625" bestFit="1" customWidth="1"/>
    <col min="660" max="660" width="10.59765625" bestFit="1" customWidth="1"/>
    <col min="661" max="662" width="9.59765625" bestFit="1" customWidth="1"/>
    <col min="663" max="663" width="10.59765625" bestFit="1" customWidth="1"/>
    <col min="664" max="664" width="9.59765625" bestFit="1" customWidth="1"/>
    <col min="665" max="666" width="10.59765625" bestFit="1" customWidth="1"/>
    <col min="667" max="667" width="9.3984375" bestFit="1" customWidth="1"/>
    <col min="668" max="675" width="11.59765625" bestFit="1" customWidth="1"/>
    <col min="676" max="676" width="9.59765625" bestFit="1" customWidth="1"/>
    <col min="677" max="684" width="11.59765625" bestFit="1" customWidth="1"/>
    <col min="685" max="703" width="9.59765625" bestFit="1" customWidth="1"/>
    <col min="704" max="705" width="10.59765625" bestFit="1" customWidth="1"/>
    <col min="706" max="711" width="11.59765625" bestFit="1" customWidth="1"/>
    <col min="712" max="712" width="9.59765625" bestFit="1" customWidth="1"/>
    <col min="713" max="713" width="10.59765625" bestFit="1" customWidth="1"/>
    <col min="714" max="720" width="11.59765625" bestFit="1" customWidth="1"/>
    <col min="721" max="721" width="9.3984375" bestFit="1" customWidth="1"/>
    <col min="722" max="729" width="9.265625" bestFit="1" customWidth="1"/>
    <col min="731" max="738" width="11.59765625" bestFit="1" customWidth="1"/>
    <col min="739" max="739" width="9.59765625" bestFit="1" customWidth="1"/>
    <col min="741" max="748" width="10.1328125" bestFit="1" customWidth="1"/>
    <col min="749" max="756" width="11.265625" bestFit="1" customWidth="1"/>
    <col min="757" max="758" width="10.265625" bestFit="1" customWidth="1"/>
    <col min="759" max="759" width="9.59765625" bestFit="1" customWidth="1"/>
    <col min="760" max="760" width="10.59765625" bestFit="1" customWidth="1"/>
    <col min="761" max="761" width="9.59765625" bestFit="1" customWidth="1"/>
    <col min="762" max="765" width="10.59765625" bestFit="1" customWidth="1"/>
    <col min="766" max="766" width="9.3984375" bestFit="1" customWidth="1"/>
    <col min="767" max="770" width="10.59765625" bestFit="1" customWidth="1"/>
    <col min="771" max="771" width="11.59765625" bestFit="1" customWidth="1"/>
    <col min="772" max="772" width="10.59765625" bestFit="1" customWidth="1"/>
    <col min="773" max="773" width="11.59765625" bestFit="1" customWidth="1"/>
    <col min="774" max="774" width="10.59765625" bestFit="1" customWidth="1"/>
    <col min="775" max="775" width="9.3984375" bestFit="1" customWidth="1"/>
    <col min="776" max="779" width="10.59765625" bestFit="1" customWidth="1"/>
    <col min="780" max="780" width="11.59765625" bestFit="1" customWidth="1"/>
    <col min="781" max="781" width="10.59765625" bestFit="1" customWidth="1"/>
    <col min="782" max="783" width="11.59765625" bestFit="1" customWidth="1"/>
    <col min="784" max="784" width="10.265625" bestFit="1" customWidth="1"/>
    <col min="785" max="787" width="10.59765625" bestFit="1" customWidth="1"/>
    <col min="788" max="791" width="11.59765625" bestFit="1" customWidth="1"/>
    <col min="792" max="792" width="10.59765625" bestFit="1" customWidth="1"/>
    <col min="793" max="795" width="10.265625" bestFit="1" customWidth="1"/>
    <col min="796" max="796" width="10.59765625" bestFit="1" customWidth="1"/>
    <col min="797" max="797" width="10.265625" bestFit="1" customWidth="1"/>
    <col min="798" max="801" width="10.59765625" bestFit="1" customWidth="1"/>
    <col min="802" max="802" width="9.265625" bestFit="1" customWidth="1"/>
    <col min="803" max="806" width="10.59765625" bestFit="1" customWidth="1"/>
    <col min="807" max="807" width="11.59765625" bestFit="1" customWidth="1"/>
    <col min="808" max="808" width="10.59765625" bestFit="1" customWidth="1"/>
    <col min="809" max="809" width="11.59765625" bestFit="1" customWidth="1"/>
    <col min="810" max="810" width="10.59765625" bestFit="1" customWidth="1"/>
    <col min="811" max="811" width="10.265625" bestFit="1" customWidth="1"/>
    <col min="812" max="815" width="10.59765625" bestFit="1" customWidth="1"/>
    <col min="816" max="819" width="11.59765625" bestFit="1" customWidth="1"/>
    <col min="820" max="820" width="9.59765625" bestFit="1" customWidth="1"/>
    <col min="821" max="828" width="11.59765625" bestFit="1" customWidth="1"/>
    <col min="829" max="829" width="9.59765625" bestFit="1" customWidth="1"/>
    <col min="831" max="832" width="9.86328125" bestFit="1" customWidth="1"/>
    <col min="833" max="838" width="10" bestFit="1" customWidth="1"/>
    <col min="839" max="839" width="11.265625" bestFit="1" customWidth="1"/>
    <col min="840" max="840" width="10.265625" bestFit="1" customWidth="1"/>
    <col min="841" max="841" width="11.265625" bestFit="1" customWidth="1"/>
    <col min="842" max="842" width="10.265625" bestFit="1" customWidth="1"/>
    <col min="843" max="843" width="10.59765625" bestFit="1" customWidth="1"/>
    <col min="844" max="846" width="11.265625" bestFit="1" customWidth="1"/>
    <col min="847" max="849" width="9.3984375" bestFit="1" customWidth="1"/>
    <col min="850" max="850" width="9.265625" bestFit="1" customWidth="1"/>
    <col min="851" max="851" width="10.265625" bestFit="1" customWidth="1"/>
    <col min="852" max="852" width="11.265625" bestFit="1" customWidth="1"/>
    <col min="853" max="854" width="10.59765625" bestFit="1" customWidth="1"/>
    <col min="855" max="855" width="10.265625" bestFit="1" customWidth="1"/>
    <col min="856" max="856" width="9.3984375" bestFit="1" customWidth="1"/>
    <col min="857" max="857" width="10.265625" bestFit="1" customWidth="1"/>
    <col min="858" max="859" width="9.59765625" bestFit="1" customWidth="1"/>
    <col min="860" max="860" width="9.265625" bestFit="1" customWidth="1"/>
    <col min="861" max="861" width="9.59765625" bestFit="1" customWidth="1"/>
    <col min="862" max="864" width="10.59765625" bestFit="1" customWidth="1"/>
    <col min="865" max="865" width="10.265625" bestFit="1" customWidth="1"/>
    <col min="866" max="866" width="9.3984375" bestFit="1" customWidth="1"/>
    <col min="867" max="867" width="10.265625" bestFit="1" customWidth="1"/>
    <col min="868" max="868" width="10.1328125" bestFit="1" customWidth="1"/>
    <col min="869" max="870" width="9.265625" bestFit="1" customWidth="1"/>
    <col min="871" max="871" width="9.3984375" bestFit="1" customWidth="1"/>
    <col min="872" max="873" width="9.265625" bestFit="1" customWidth="1"/>
    <col min="874" max="877" width="10.1328125" bestFit="1" customWidth="1"/>
    <col min="878" max="879" width="9.265625" bestFit="1" customWidth="1"/>
    <col min="881" max="881" width="9.265625" bestFit="1" customWidth="1"/>
    <col min="882" max="882" width="9.59765625" bestFit="1" customWidth="1"/>
    <col min="883" max="889" width="9.265625" bestFit="1" customWidth="1"/>
    <col min="891" max="891" width="9.59765625" bestFit="1" customWidth="1"/>
    <col min="892" max="892" width="9.265625" bestFit="1" customWidth="1"/>
    <col min="893" max="897" width="12.265625" bestFit="1" customWidth="1"/>
    <col min="898" max="902" width="9.59765625" bestFit="1" customWidth="1"/>
    <col min="903" max="907" width="11.59765625" bestFit="1" customWidth="1"/>
    <col min="908" max="909" width="10.59765625" bestFit="1" customWidth="1"/>
    <col min="910" max="910" width="11.265625" bestFit="1" customWidth="1"/>
    <col min="911" max="912" width="12.265625" bestFit="1" customWidth="1"/>
    <col min="913" max="913" width="10.59765625" bestFit="1" customWidth="1"/>
    <col min="914" max="922" width="11.59765625" bestFit="1" customWidth="1"/>
    <col min="924" max="929" width="9.265625" bestFit="1" customWidth="1"/>
    <col min="931" max="931" width="9.86328125" bestFit="1" customWidth="1"/>
    <col min="932" max="932" width="9.265625" bestFit="1" customWidth="1"/>
    <col min="933" max="933" width="9.86328125" bestFit="1" customWidth="1"/>
    <col min="934" max="935" width="9.265625" bestFit="1" customWidth="1"/>
    <col min="936" max="938" width="9.86328125" bestFit="1" customWidth="1"/>
    <col min="939" max="939" width="9.265625" bestFit="1" customWidth="1"/>
    <col min="941" max="944" width="9.265625" bestFit="1" customWidth="1"/>
    <col min="945" max="945" width="9.86328125" bestFit="1" customWidth="1"/>
    <col min="946" max="949" width="9.265625" bestFit="1" customWidth="1"/>
    <col min="951" max="959" width="9.265625" bestFit="1" customWidth="1"/>
    <col min="961" max="962" width="9.265625" bestFit="1" customWidth="1"/>
    <col min="965" max="966" width="9.265625" bestFit="1" customWidth="1"/>
    <col min="978" max="978" width="9.265625" bestFit="1" customWidth="1"/>
    <col min="988" max="988" width="9.265625" bestFit="1" customWidth="1"/>
    <col min="991" max="995" width="10.86328125" bestFit="1" customWidth="1"/>
    <col min="996" max="1000" width="9.265625" bestFit="1" customWidth="1"/>
    <col min="1001" max="1005" width="10.1328125" bestFit="1" customWidth="1"/>
    <col min="1006" max="1007" width="9.265625" bestFit="1" customWidth="1"/>
    <col min="1008" max="1008" width="9.86328125" bestFit="1" customWidth="1"/>
    <col min="1009" max="1010" width="10.86328125" bestFit="1" customWidth="1"/>
    <col min="1011" max="1011" width="9.265625" bestFit="1" customWidth="1"/>
    <col min="1012" max="1020" width="10.1328125" bestFit="1" customWidth="1"/>
  </cols>
  <sheetData>
    <row r="1" spans="2:3149" s="1" customFormat="1" ht="71.25">
      <c r="B1" s="1" t="s">
        <v>414</v>
      </c>
      <c r="C1" s="1" t="s">
        <v>4</v>
      </c>
      <c r="D1" s="1" t="s">
        <v>10</v>
      </c>
      <c r="E1" s="1" t="s">
        <v>13</v>
      </c>
      <c r="F1" s="1" t="s">
        <v>14</v>
      </c>
      <c r="G1" s="1" t="s">
        <v>415</v>
      </c>
      <c r="H1" s="1" t="s">
        <v>416</v>
      </c>
      <c r="I1" s="1" t="s">
        <v>418</v>
      </c>
      <c r="J1" s="1" t="s">
        <v>417</v>
      </c>
      <c r="K1" s="1" t="s">
        <v>464</v>
      </c>
      <c r="L1" s="1" t="s">
        <v>465</v>
      </c>
      <c r="M1" s="1" t="s">
        <v>466</v>
      </c>
      <c r="N1" s="1" t="s">
        <v>467</v>
      </c>
      <c r="O1" s="1" t="s">
        <v>468</v>
      </c>
      <c r="P1" s="1" t="s">
        <v>469</v>
      </c>
      <c r="Q1" s="1" t="s">
        <v>470</v>
      </c>
      <c r="R1" s="1" t="s">
        <v>471</v>
      </c>
      <c r="S1" s="1" t="s">
        <v>472</v>
      </c>
      <c r="T1" s="1" t="s">
        <v>473</v>
      </c>
      <c r="U1" s="1" t="s">
        <v>474</v>
      </c>
      <c r="V1" s="1" t="s">
        <v>1596</v>
      </c>
      <c r="W1" s="1" t="s">
        <v>2004</v>
      </c>
      <c r="X1" s="1" t="s">
        <v>2223</v>
      </c>
      <c r="Y1" s="1" t="s">
        <v>2224</v>
      </c>
      <c r="Z1" s="1" t="s">
        <v>3116</v>
      </c>
      <c r="AA1" s="1" t="s">
        <v>3117</v>
      </c>
      <c r="AB1" s="1" t="s">
        <v>3118</v>
      </c>
      <c r="AC1" s="1" t="s">
        <v>3630</v>
      </c>
      <c r="AD1" t="s">
        <v>475</v>
      </c>
      <c r="AE1" t="s">
        <v>476</v>
      </c>
      <c r="AF1" t="s">
        <v>477</v>
      </c>
      <c r="AG1" t="s">
        <v>478</v>
      </c>
      <c r="AH1" t="s">
        <v>479</v>
      </c>
      <c r="AI1" t="s">
        <v>480</v>
      </c>
      <c r="AJ1" t="s">
        <v>481</v>
      </c>
      <c r="AK1" t="s">
        <v>482</v>
      </c>
      <c r="AL1" t="s">
        <v>483</v>
      </c>
      <c r="AM1" t="s">
        <v>484</v>
      </c>
      <c r="AN1" t="s">
        <v>485</v>
      </c>
      <c r="AO1" t="s">
        <v>1597</v>
      </c>
      <c r="AP1" t="s">
        <v>2005</v>
      </c>
      <c r="AQ1" t="s">
        <v>2225</v>
      </c>
      <c r="AR1" t="s">
        <v>2226</v>
      </c>
      <c r="AS1" t="s">
        <v>3119</v>
      </c>
      <c r="AT1" t="s">
        <v>3120</v>
      </c>
      <c r="AU1" t="s">
        <v>3121</v>
      </c>
      <c r="AV1" t="s">
        <v>3631</v>
      </c>
      <c r="AW1" t="s">
        <v>486</v>
      </c>
      <c r="AX1" t="s">
        <v>487</v>
      </c>
      <c r="AY1" t="s">
        <v>488</v>
      </c>
      <c r="AZ1" t="s">
        <v>489</v>
      </c>
      <c r="BA1" t="s">
        <v>490</v>
      </c>
      <c r="BB1" t="s">
        <v>491</v>
      </c>
      <c r="BC1" t="s">
        <v>492</v>
      </c>
      <c r="BD1" t="s">
        <v>493</v>
      </c>
      <c r="BE1" t="s">
        <v>494</v>
      </c>
      <c r="BF1" t="s">
        <v>495</v>
      </c>
      <c r="BG1" t="s">
        <v>496</v>
      </c>
      <c r="BH1" t="s">
        <v>1598</v>
      </c>
      <c r="BI1" t="s">
        <v>2006</v>
      </c>
      <c r="BJ1" t="s">
        <v>2227</v>
      </c>
      <c r="BK1" t="s">
        <v>2228</v>
      </c>
      <c r="BL1" t="s">
        <v>3122</v>
      </c>
      <c r="BM1" t="s">
        <v>3123</v>
      </c>
      <c r="BN1" t="s">
        <v>3124</v>
      </c>
      <c r="BO1" t="s">
        <v>3632</v>
      </c>
      <c r="BP1" t="s">
        <v>497</v>
      </c>
      <c r="BQ1" t="s">
        <v>498</v>
      </c>
      <c r="BR1" t="s">
        <v>499</v>
      </c>
      <c r="BS1" t="s">
        <v>500</v>
      </c>
      <c r="BT1" t="s">
        <v>501</v>
      </c>
      <c r="BU1" t="s">
        <v>502</v>
      </c>
      <c r="BV1" t="s">
        <v>503</v>
      </c>
      <c r="BW1" t="s">
        <v>504</v>
      </c>
      <c r="BX1" t="s">
        <v>505</v>
      </c>
      <c r="BY1" t="s">
        <v>506</v>
      </c>
      <c r="BZ1" t="s">
        <v>507</v>
      </c>
      <c r="CA1" t="s">
        <v>1599</v>
      </c>
      <c r="CB1" t="s">
        <v>2007</v>
      </c>
      <c r="CC1" t="s">
        <v>2229</v>
      </c>
      <c r="CD1" t="s">
        <v>2230</v>
      </c>
      <c r="CE1" t="s">
        <v>3125</v>
      </c>
      <c r="CF1" t="s">
        <v>3126</v>
      </c>
      <c r="CG1" t="s">
        <v>3127</v>
      </c>
      <c r="CH1" t="s">
        <v>3633</v>
      </c>
      <c r="CI1" s="1" t="s">
        <v>508</v>
      </c>
      <c r="CJ1" s="1" t="s">
        <v>509</v>
      </c>
      <c r="CK1" s="1" t="s">
        <v>510</v>
      </c>
      <c r="CL1" s="1" t="s">
        <v>511</v>
      </c>
      <c r="CM1" s="1" t="s">
        <v>512</v>
      </c>
      <c r="CN1" s="1" t="s">
        <v>513</v>
      </c>
      <c r="CO1" s="1" t="s">
        <v>514</v>
      </c>
      <c r="CP1" s="1" t="s">
        <v>515</v>
      </c>
      <c r="CQ1" s="1" t="s">
        <v>516</v>
      </c>
      <c r="CR1" s="1" t="s">
        <v>517</v>
      </c>
      <c r="CS1" s="1" t="s">
        <v>518</v>
      </c>
      <c r="CT1" s="1" t="s">
        <v>1600</v>
      </c>
      <c r="CU1" s="1" t="s">
        <v>2008</v>
      </c>
      <c r="CV1" s="1" t="s">
        <v>2231</v>
      </c>
      <c r="CW1" s="1" t="s">
        <v>2232</v>
      </c>
      <c r="CX1" s="1" t="s">
        <v>3128</v>
      </c>
      <c r="CY1" s="1" t="s">
        <v>3129</v>
      </c>
      <c r="CZ1" s="1" t="s">
        <v>3130</v>
      </c>
      <c r="DA1" s="1" t="s">
        <v>3634</v>
      </c>
      <c r="DB1" s="1" t="s">
        <v>519</v>
      </c>
      <c r="DC1" s="1" t="s">
        <v>520</v>
      </c>
      <c r="DD1" s="1" t="s">
        <v>521</v>
      </c>
      <c r="DE1" s="1" t="s">
        <v>522</v>
      </c>
      <c r="DF1" s="1" t="s">
        <v>523</v>
      </c>
      <c r="DG1" s="1" t="s">
        <v>524</v>
      </c>
      <c r="DH1" s="1" t="s">
        <v>525</v>
      </c>
      <c r="DI1" s="1" t="s">
        <v>526</v>
      </c>
      <c r="DJ1" s="1" t="s">
        <v>527</v>
      </c>
      <c r="DK1" s="1" t="s">
        <v>528</v>
      </c>
      <c r="DL1" s="1" t="s">
        <v>529</v>
      </c>
      <c r="DM1" s="1" t="s">
        <v>1601</v>
      </c>
      <c r="DN1" s="1" t="s">
        <v>2009</v>
      </c>
      <c r="DO1" s="1" t="s">
        <v>2233</v>
      </c>
      <c r="DP1" s="1" t="s">
        <v>2234</v>
      </c>
      <c r="DQ1" s="1" t="s">
        <v>3131</v>
      </c>
      <c r="DR1" s="1" t="s">
        <v>3132</v>
      </c>
      <c r="DS1" s="1" t="s">
        <v>3133</v>
      </c>
      <c r="DT1" s="1" t="s">
        <v>3635</v>
      </c>
      <c r="DU1" s="1" t="s">
        <v>530</v>
      </c>
      <c r="DV1" s="1" t="s">
        <v>531</v>
      </c>
      <c r="DW1" s="1" t="s">
        <v>532</v>
      </c>
      <c r="DX1" s="1" t="s">
        <v>533</v>
      </c>
      <c r="DY1" s="1" t="s">
        <v>534</v>
      </c>
      <c r="DZ1" s="1" t="s">
        <v>535</v>
      </c>
      <c r="EA1" s="1" t="s">
        <v>536</v>
      </c>
      <c r="EB1" s="1" t="s">
        <v>537</v>
      </c>
      <c r="EC1" s="1" t="s">
        <v>538</v>
      </c>
      <c r="ED1" s="1" t="s">
        <v>539</v>
      </c>
      <c r="EE1" s="1" t="s">
        <v>540</v>
      </c>
      <c r="EF1" s="1" t="s">
        <v>1602</v>
      </c>
      <c r="EG1" s="1" t="s">
        <v>2010</v>
      </c>
      <c r="EH1" s="1" t="s">
        <v>2235</v>
      </c>
      <c r="EI1" s="1" t="s">
        <v>2236</v>
      </c>
      <c r="EJ1" s="1" t="s">
        <v>3134</v>
      </c>
      <c r="EK1" s="1" t="s">
        <v>3135</v>
      </c>
      <c r="EL1" s="1" t="s">
        <v>3136</v>
      </c>
      <c r="EM1" s="1" t="s">
        <v>3636</v>
      </c>
      <c r="EN1" s="1" t="s">
        <v>541</v>
      </c>
      <c r="EO1" s="1" t="s">
        <v>542</v>
      </c>
      <c r="EP1" s="1" t="s">
        <v>543</v>
      </c>
      <c r="EQ1" s="1" t="s">
        <v>544</v>
      </c>
      <c r="ER1" s="1" t="s">
        <v>545</v>
      </c>
      <c r="ES1" s="1" t="s">
        <v>546</v>
      </c>
      <c r="ET1" s="1" t="s">
        <v>547</v>
      </c>
      <c r="EU1" s="1" t="s">
        <v>548</v>
      </c>
      <c r="EV1" s="1" t="s">
        <v>549</v>
      </c>
      <c r="EW1" s="1" t="s">
        <v>550</v>
      </c>
      <c r="EX1" s="1" t="s">
        <v>551</v>
      </c>
      <c r="EY1" s="1" t="s">
        <v>1603</v>
      </c>
      <c r="EZ1" s="1" t="s">
        <v>2011</v>
      </c>
      <c r="FA1" s="1" t="s">
        <v>2237</v>
      </c>
      <c r="FB1" s="1" t="s">
        <v>2238</v>
      </c>
      <c r="FC1" s="1" t="s">
        <v>3137</v>
      </c>
      <c r="FD1" s="1" t="s">
        <v>3138</v>
      </c>
      <c r="FE1" s="1" t="s">
        <v>3139</v>
      </c>
      <c r="FF1" s="1" t="s">
        <v>3637</v>
      </c>
      <c r="FG1" s="1" t="s">
        <v>552</v>
      </c>
      <c r="FH1" s="1" t="s">
        <v>553</v>
      </c>
      <c r="FI1" s="1" t="s">
        <v>554</v>
      </c>
      <c r="FJ1" s="1" t="s">
        <v>555</v>
      </c>
      <c r="FK1" s="1" t="s">
        <v>556</v>
      </c>
      <c r="FL1" s="1" t="s">
        <v>557</v>
      </c>
      <c r="FM1" s="1" t="s">
        <v>558</v>
      </c>
      <c r="FN1" s="1" t="s">
        <v>559</v>
      </c>
      <c r="FO1" s="1" t="s">
        <v>560</v>
      </c>
      <c r="FP1" s="1" t="s">
        <v>561</v>
      </c>
      <c r="FQ1" s="1" t="s">
        <v>562</v>
      </c>
      <c r="FR1" s="1" t="s">
        <v>1604</v>
      </c>
      <c r="FS1" s="1" t="s">
        <v>2012</v>
      </c>
      <c r="FT1" s="1" t="s">
        <v>2239</v>
      </c>
      <c r="FU1" s="1" t="s">
        <v>2240</v>
      </c>
      <c r="FV1" s="1" t="s">
        <v>3140</v>
      </c>
      <c r="FW1" s="1" t="s">
        <v>3141</v>
      </c>
      <c r="FX1" s="1" t="s">
        <v>3142</v>
      </c>
      <c r="FY1" s="1" t="s">
        <v>3638</v>
      </c>
      <c r="FZ1" s="1" t="s">
        <v>563</v>
      </c>
      <c r="GA1" s="1" t="s">
        <v>564</v>
      </c>
      <c r="GB1" s="1" t="s">
        <v>565</v>
      </c>
      <c r="GC1" s="1" t="s">
        <v>566</v>
      </c>
      <c r="GD1" s="1" t="s">
        <v>567</v>
      </c>
      <c r="GE1" s="1" t="s">
        <v>568</v>
      </c>
      <c r="GF1" s="1" t="s">
        <v>569</v>
      </c>
      <c r="GG1" s="1" t="s">
        <v>570</v>
      </c>
      <c r="GH1" s="1" t="s">
        <v>571</v>
      </c>
      <c r="GI1" s="1" t="s">
        <v>572</v>
      </c>
      <c r="GJ1" s="1" t="s">
        <v>573</v>
      </c>
      <c r="GK1" s="1" t="s">
        <v>1605</v>
      </c>
      <c r="GL1" s="1" t="s">
        <v>2013</v>
      </c>
      <c r="GM1" s="1" t="s">
        <v>2241</v>
      </c>
      <c r="GN1" s="1" t="s">
        <v>2242</v>
      </c>
      <c r="GO1" s="1" t="s">
        <v>3143</v>
      </c>
      <c r="GP1" s="1" t="s">
        <v>3144</v>
      </c>
      <c r="GQ1" s="1" t="s">
        <v>3145</v>
      </c>
      <c r="GR1" s="1" t="s">
        <v>3639</v>
      </c>
      <c r="GS1" s="1" t="s">
        <v>574</v>
      </c>
      <c r="GT1" s="1" t="s">
        <v>575</v>
      </c>
      <c r="GU1" s="1" t="s">
        <v>576</v>
      </c>
      <c r="GV1" s="1" t="s">
        <v>577</v>
      </c>
      <c r="GW1" s="1" t="s">
        <v>578</v>
      </c>
      <c r="GX1" s="1" t="s">
        <v>579</v>
      </c>
      <c r="GY1" s="1" t="s">
        <v>580</v>
      </c>
      <c r="GZ1" s="1" t="s">
        <v>581</v>
      </c>
      <c r="HA1" s="1" t="s">
        <v>582</v>
      </c>
      <c r="HB1" s="1" t="s">
        <v>583</v>
      </c>
      <c r="HC1" s="1" t="s">
        <v>584</v>
      </c>
      <c r="HD1" s="1" t="s">
        <v>1606</v>
      </c>
      <c r="HE1" s="1" t="s">
        <v>2014</v>
      </c>
      <c r="HF1" s="1" t="s">
        <v>2243</v>
      </c>
      <c r="HG1" s="1" t="s">
        <v>2244</v>
      </c>
      <c r="HH1" s="1" t="s">
        <v>3146</v>
      </c>
      <c r="HI1" s="1" t="s">
        <v>3147</v>
      </c>
      <c r="HJ1" s="1" t="s">
        <v>3148</v>
      </c>
      <c r="HK1" s="1" t="s">
        <v>3640</v>
      </c>
      <c r="HL1" s="1" t="s">
        <v>585</v>
      </c>
      <c r="HM1" s="1" t="s">
        <v>586</v>
      </c>
      <c r="HN1" s="1" t="s">
        <v>587</v>
      </c>
      <c r="HO1" s="1" t="s">
        <v>588</v>
      </c>
      <c r="HP1" s="1" t="s">
        <v>589</v>
      </c>
      <c r="HQ1" s="1" t="s">
        <v>590</v>
      </c>
      <c r="HR1" s="1" t="s">
        <v>591</v>
      </c>
      <c r="HS1" s="1" t="s">
        <v>592</v>
      </c>
      <c r="HT1" s="1" t="s">
        <v>593</v>
      </c>
      <c r="HU1" s="1" t="s">
        <v>594</v>
      </c>
      <c r="HV1" s="1" t="s">
        <v>595</v>
      </c>
      <c r="HW1" s="1" t="s">
        <v>1607</v>
      </c>
      <c r="HX1" s="1" t="s">
        <v>2015</v>
      </c>
      <c r="HY1" s="1" t="s">
        <v>2245</v>
      </c>
      <c r="HZ1" s="1" t="s">
        <v>2246</v>
      </c>
      <c r="IA1" s="1" t="s">
        <v>3149</v>
      </c>
      <c r="IB1" s="1" t="s">
        <v>3150</v>
      </c>
      <c r="IC1" s="1" t="s">
        <v>3151</v>
      </c>
      <c r="ID1" s="1" t="s">
        <v>3641</v>
      </c>
      <c r="IE1" s="1" t="s">
        <v>596</v>
      </c>
      <c r="IF1" s="1" t="s">
        <v>597</v>
      </c>
      <c r="IG1" s="1" t="s">
        <v>598</v>
      </c>
      <c r="IH1" s="1" t="s">
        <v>599</v>
      </c>
      <c r="II1" s="1" t="s">
        <v>600</v>
      </c>
      <c r="IJ1" s="1" t="s">
        <v>601</v>
      </c>
      <c r="IK1" s="1" t="s">
        <v>602</v>
      </c>
      <c r="IL1" s="1" t="s">
        <v>603</v>
      </c>
      <c r="IM1" s="1" t="s">
        <v>604</v>
      </c>
      <c r="IN1" s="1" t="s">
        <v>605</v>
      </c>
      <c r="IO1" s="1" t="s">
        <v>606</v>
      </c>
      <c r="IP1" s="1" t="s">
        <v>1608</v>
      </c>
      <c r="IQ1" s="1" t="s">
        <v>2016</v>
      </c>
      <c r="IR1" s="1" t="s">
        <v>2247</v>
      </c>
      <c r="IS1" s="1" t="s">
        <v>2248</v>
      </c>
      <c r="IT1" s="1" t="s">
        <v>3152</v>
      </c>
      <c r="IU1" s="1" t="s">
        <v>3153</v>
      </c>
      <c r="IV1" s="1" t="s">
        <v>3154</v>
      </c>
      <c r="IW1" s="1" t="s">
        <v>3642</v>
      </c>
      <c r="IX1" s="1" t="s">
        <v>607</v>
      </c>
      <c r="IY1" s="1" t="s">
        <v>608</v>
      </c>
      <c r="IZ1" s="1" t="s">
        <v>609</v>
      </c>
      <c r="JA1" s="1" t="s">
        <v>610</v>
      </c>
      <c r="JB1" s="1" t="s">
        <v>611</v>
      </c>
      <c r="JC1" s="1" t="s">
        <v>612</v>
      </c>
      <c r="JD1" s="1" t="s">
        <v>613</v>
      </c>
      <c r="JE1" s="1" t="s">
        <v>614</v>
      </c>
      <c r="JF1" s="1" t="s">
        <v>615</v>
      </c>
      <c r="JG1" s="1" t="s">
        <v>616</v>
      </c>
      <c r="JH1" s="1" t="s">
        <v>617</v>
      </c>
      <c r="JI1" s="1" t="s">
        <v>1609</v>
      </c>
      <c r="JJ1" s="1" t="s">
        <v>2017</v>
      </c>
      <c r="JK1" s="1" t="s">
        <v>2249</v>
      </c>
      <c r="JL1" s="1" t="s">
        <v>2250</v>
      </c>
      <c r="JM1" s="1" t="s">
        <v>3155</v>
      </c>
      <c r="JN1" s="1" t="s">
        <v>3156</v>
      </c>
      <c r="JO1" s="1" t="s">
        <v>3157</v>
      </c>
      <c r="JP1" s="1" t="s">
        <v>3643</v>
      </c>
      <c r="JQ1" s="1" t="s">
        <v>618</v>
      </c>
      <c r="JR1" s="1" t="s">
        <v>619</v>
      </c>
      <c r="JS1" s="1" t="s">
        <v>620</v>
      </c>
      <c r="JT1" s="1" t="s">
        <v>621</v>
      </c>
      <c r="JU1" s="1" t="s">
        <v>622</v>
      </c>
      <c r="JV1" s="1" t="s">
        <v>623</v>
      </c>
      <c r="JW1" s="1" t="s">
        <v>624</v>
      </c>
      <c r="JX1" s="1" t="s">
        <v>625</v>
      </c>
      <c r="JY1" s="1" t="s">
        <v>626</v>
      </c>
      <c r="JZ1" s="1" t="s">
        <v>627</v>
      </c>
      <c r="KA1" s="1" t="s">
        <v>628</v>
      </c>
      <c r="KB1" s="1" t="s">
        <v>1610</v>
      </c>
      <c r="KC1" s="1" t="s">
        <v>2018</v>
      </c>
      <c r="KD1" s="1" t="s">
        <v>2251</v>
      </c>
      <c r="KE1" s="1" t="s">
        <v>2252</v>
      </c>
      <c r="KF1" s="1" t="s">
        <v>3158</v>
      </c>
      <c r="KG1" s="1" t="s">
        <v>3159</v>
      </c>
      <c r="KH1" s="1" t="s">
        <v>3160</v>
      </c>
      <c r="KI1" s="1" t="s">
        <v>3644</v>
      </c>
      <c r="KJ1" s="1" t="s">
        <v>629</v>
      </c>
      <c r="KK1" s="1" t="s">
        <v>630</v>
      </c>
      <c r="KL1" s="1" t="s">
        <v>631</v>
      </c>
      <c r="KM1" s="1" t="s">
        <v>632</v>
      </c>
      <c r="KN1" s="1" t="s">
        <v>633</v>
      </c>
      <c r="KO1" s="1" t="s">
        <v>634</v>
      </c>
      <c r="KP1" s="1" t="s">
        <v>635</v>
      </c>
      <c r="KQ1" s="1" t="s">
        <v>636</v>
      </c>
      <c r="KR1" s="1" t="s">
        <v>637</v>
      </c>
      <c r="KS1" s="1" t="s">
        <v>638</v>
      </c>
      <c r="KT1" s="1" t="s">
        <v>639</v>
      </c>
      <c r="KU1" s="1" t="s">
        <v>1611</v>
      </c>
      <c r="KV1" s="1" t="s">
        <v>2019</v>
      </c>
      <c r="KW1" s="1" t="s">
        <v>2253</v>
      </c>
      <c r="KX1" s="1" t="s">
        <v>2254</v>
      </c>
      <c r="KY1" s="1" t="s">
        <v>3161</v>
      </c>
      <c r="KZ1" s="1" t="s">
        <v>3162</v>
      </c>
      <c r="LA1" s="1" t="s">
        <v>3163</v>
      </c>
      <c r="LB1" s="1" t="s">
        <v>3645</v>
      </c>
      <c r="LC1" s="1" t="s">
        <v>640</v>
      </c>
      <c r="LD1" s="1" t="s">
        <v>641</v>
      </c>
      <c r="LE1" s="1" t="s">
        <v>642</v>
      </c>
      <c r="LF1" s="1" t="s">
        <v>643</v>
      </c>
      <c r="LG1" s="1" t="s">
        <v>644</v>
      </c>
      <c r="LH1" s="1" t="s">
        <v>645</v>
      </c>
      <c r="LI1" s="1" t="s">
        <v>646</v>
      </c>
      <c r="LJ1" s="1" t="s">
        <v>647</v>
      </c>
      <c r="LK1" s="1" t="s">
        <v>648</v>
      </c>
      <c r="LL1" s="1" t="s">
        <v>649</v>
      </c>
      <c r="LM1" s="1" t="s">
        <v>650</v>
      </c>
      <c r="LN1" s="1" t="s">
        <v>1612</v>
      </c>
      <c r="LO1" s="1" t="s">
        <v>2020</v>
      </c>
      <c r="LP1" s="1" t="s">
        <v>2255</v>
      </c>
      <c r="LQ1" s="1" t="s">
        <v>2256</v>
      </c>
      <c r="LR1" s="1" t="s">
        <v>3164</v>
      </c>
      <c r="LS1" s="1" t="s">
        <v>3165</v>
      </c>
      <c r="LT1" s="1" t="s">
        <v>3166</v>
      </c>
      <c r="LU1" s="1" t="s">
        <v>3646</v>
      </c>
      <c r="LV1" s="1" t="s">
        <v>651</v>
      </c>
      <c r="LW1" s="1" t="s">
        <v>652</v>
      </c>
      <c r="LX1" s="1" t="s">
        <v>653</v>
      </c>
      <c r="LY1" s="1" t="s">
        <v>654</v>
      </c>
      <c r="LZ1" s="1" t="s">
        <v>655</v>
      </c>
      <c r="MA1" s="1" t="s">
        <v>656</v>
      </c>
      <c r="MB1" s="1" t="s">
        <v>657</v>
      </c>
      <c r="MC1" s="1" t="s">
        <v>658</v>
      </c>
      <c r="MD1" s="1" t="s">
        <v>659</v>
      </c>
      <c r="ME1" s="1" t="s">
        <v>660</v>
      </c>
      <c r="MF1" s="1" t="s">
        <v>661</v>
      </c>
      <c r="MG1" s="1" t="s">
        <v>1613</v>
      </c>
      <c r="MH1" s="1" t="s">
        <v>2021</v>
      </c>
      <c r="MI1" s="1" t="s">
        <v>2257</v>
      </c>
      <c r="MJ1" s="1" t="s">
        <v>2258</v>
      </c>
      <c r="MK1" s="1" t="s">
        <v>3167</v>
      </c>
      <c r="ML1" s="1" t="s">
        <v>3168</v>
      </c>
      <c r="MM1" s="1" t="s">
        <v>3169</v>
      </c>
      <c r="MN1" s="1" t="s">
        <v>3647</v>
      </c>
      <c r="MO1" t="s">
        <v>662</v>
      </c>
      <c r="MP1" t="s">
        <v>663</v>
      </c>
      <c r="MQ1" t="s">
        <v>664</v>
      </c>
      <c r="MR1" t="s">
        <v>665</v>
      </c>
      <c r="MS1" t="s">
        <v>666</v>
      </c>
      <c r="MT1" t="s">
        <v>667</v>
      </c>
      <c r="MU1" t="s">
        <v>668</v>
      </c>
      <c r="MV1" t="s">
        <v>669</v>
      </c>
      <c r="MW1" t="s">
        <v>670</v>
      </c>
      <c r="MX1" t="s">
        <v>671</v>
      </c>
      <c r="MY1" t="s">
        <v>672</v>
      </c>
      <c r="MZ1" t="s">
        <v>1614</v>
      </c>
      <c r="NA1" t="s">
        <v>2022</v>
      </c>
      <c r="NB1" t="s">
        <v>2259</v>
      </c>
      <c r="NC1" t="s">
        <v>2260</v>
      </c>
      <c r="ND1" t="s">
        <v>3170</v>
      </c>
      <c r="NE1" t="s">
        <v>3171</v>
      </c>
      <c r="NF1" t="s">
        <v>3172</v>
      </c>
      <c r="NG1" t="s">
        <v>3648</v>
      </c>
      <c r="NH1" s="1" t="s">
        <v>673</v>
      </c>
      <c r="NI1" s="1" t="s">
        <v>674</v>
      </c>
      <c r="NJ1" s="1" t="s">
        <v>675</v>
      </c>
      <c r="NK1" s="1" t="s">
        <v>676</v>
      </c>
      <c r="NL1" s="1" t="s">
        <v>677</v>
      </c>
      <c r="NM1" s="1" t="s">
        <v>678</v>
      </c>
      <c r="NN1" s="1" t="s">
        <v>679</v>
      </c>
      <c r="NO1" s="1" t="s">
        <v>680</v>
      </c>
      <c r="NP1" s="1" t="s">
        <v>681</v>
      </c>
      <c r="NQ1" s="1" t="s">
        <v>682</v>
      </c>
      <c r="NR1" s="1" t="s">
        <v>683</v>
      </c>
      <c r="NS1" s="1" t="s">
        <v>1615</v>
      </c>
      <c r="NT1" s="1" t="s">
        <v>2023</v>
      </c>
      <c r="NU1" s="1" t="s">
        <v>2261</v>
      </c>
      <c r="NV1" s="1" t="s">
        <v>2262</v>
      </c>
      <c r="NW1" s="1" t="s">
        <v>3173</v>
      </c>
      <c r="NX1" s="1" t="s">
        <v>3174</v>
      </c>
      <c r="NY1" s="1" t="s">
        <v>3175</v>
      </c>
      <c r="NZ1" s="1" t="s">
        <v>3649</v>
      </c>
      <c r="OA1" s="1" t="s">
        <v>684</v>
      </c>
      <c r="OB1" s="1" t="s">
        <v>685</v>
      </c>
      <c r="OC1" s="1" t="s">
        <v>686</v>
      </c>
      <c r="OD1" s="1" t="s">
        <v>687</v>
      </c>
      <c r="OE1" s="1" t="s">
        <v>688</v>
      </c>
      <c r="OF1" s="1" t="s">
        <v>689</v>
      </c>
      <c r="OG1" s="1" t="s">
        <v>690</v>
      </c>
      <c r="OH1" s="1" t="s">
        <v>691</v>
      </c>
      <c r="OI1" s="1" t="s">
        <v>692</v>
      </c>
      <c r="OJ1" s="1" t="s">
        <v>693</v>
      </c>
      <c r="OK1" s="1" t="s">
        <v>694</v>
      </c>
      <c r="OL1" s="1" t="s">
        <v>1616</v>
      </c>
      <c r="OM1" s="1" t="s">
        <v>2024</v>
      </c>
      <c r="ON1" s="1" t="s">
        <v>2263</v>
      </c>
      <c r="OO1" s="1" t="s">
        <v>2264</v>
      </c>
      <c r="OP1" s="1" t="s">
        <v>3176</v>
      </c>
      <c r="OQ1" s="1" t="s">
        <v>3177</v>
      </c>
      <c r="OR1" s="1" t="s">
        <v>3178</v>
      </c>
      <c r="OS1" s="1" t="s">
        <v>3650</v>
      </c>
      <c r="OT1" s="1" t="s">
        <v>695</v>
      </c>
      <c r="OU1" s="1" t="s">
        <v>696</v>
      </c>
      <c r="OV1" s="1" t="s">
        <v>697</v>
      </c>
      <c r="OW1" s="1" t="s">
        <v>698</v>
      </c>
      <c r="OX1" s="1" t="s">
        <v>699</v>
      </c>
      <c r="OY1" s="1" t="s">
        <v>700</v>
      </c>
      <c r="OZ1" s="1" t="s">
        <v>701</v>
      </c>
      <c r="PA1" s="1" t="s">
        <v>702</v>
      </c>
      <c r="PB1" s="1" t="s">
        <v>703</v>
      </c>
      <c r="PC1" s="1" t="s">
        <v>704</v>
      </c>
      <c r="PD1" s="1" t="s">
        <v>705</v>
      </c>
      <c r="PE1" s="1" t="s">
        <v>1617</v>
      </c>
      <c r="PF1" s="1" t="s">
        <v>2025</v>
      </c>
      <c r="PG1" s="1" t="s">
        <v>2265</v>
      </c>
      <c r="PH1" s="1" t="s">
        <v>2266</v>
      </c>
      <c r="PI1" s="1" t="s">
        <v>3179</v>
      </c>
      <c r="PJ1" s="1" t="s">
        <v>3180</v>
      </c>
      <c r="PK1" s="1" t="s">
        <v>3181</v>
      </c>
      <c r="PL1" s="1" t="s">
        <v>3651</v>
      </c>
      <c r="PM1" s="1" t="s">
        <v>706</v>
      </c>
      <c r="PN1" s="1" t="s">
        <v>707</v>
      </c>
      <c r="PO1" s="1" t="s">
        <v>708</v>
      </c>
      <c r="PP1" s="1" t="s">
        <v>709</v>
      </c>
      <c r="PQ1" s="1" t="s">
        <v>710</v>
      </c>
      <c r="PR1" s="1" t="s">
        <v>711</v>
      </c>
      <c r="PS1" s="1" t="s">
        <v>712</v>
      </c>
      <c r="PT1" s="1" t="s">
        <v>713</v>
      </c>
      <c r="PU1" s="1" t="s">
        <v>714</v>
      </c>
      <c r="PV1" s="1" t="s">
        <v>715</v>
      </c>
      <c r="PW1" s="1" t="s">
        <v>716</v>
      </c>
      <c r="PX1" s="1" t="s">
        <v>1618</v>
      </c>
      <c r="PY1" s="1" t="s">
        <v>2026</v>
      </c>
      <c r="PZ1" s="1" t="s">
        <v>2267</v>
      </c>
      <c r="QA1" s="1" t="s">
        <v>2268</v>
      </c>
      <c r="QB1" s="1" t="s">
        <v>3182</v>
      </c>
      <c r="QC1" s="1" t="s">
        <v>3183</v>
      </c>
      <c r="QD1" s="1" t="s">
        <v>3184</v>
      </c>
      <c r="QE1" s="1" t="s">
        <v>3652</v>
      </c>
      <c r="QF1" s="1" t="s">
        <v>717</v>
      </c>
      <c r="QG1" s="1" t="s">
        <v>718</v>
      </c>
      <c r="QH1" s="1" t="s">
        <v>719</v>
      </c>
      <c r="QI1" s="1" t="s">
        <v>720</v>
      </c>
      <c r="QJ1" s="1" t="s">
        <v>721</v>
      </c>
      <c r="QK1" s="1" t="s">
        <v>722</v>
      </c>
      <c r="QL1" s="1" t="s">
        <v>723</v>
      </c>
      <c r="QM1" s="1" t="s">
        <v>724</v>
      </c>
      <c r="QN1" s="1" t="s">
        <v>725</v>
      </c>
      <c r="QO1" s="1" t="s">
        <v>726</v>
      </c>
      <c r="QP1" s="1" t="s">
        <v>727</v>
      </c>
      <c r="QQ1" s="1" t="s">
        <v>1619</v>
      </c>
      <c r="QR1" s="1" t="s">
        <v>2027</v>
      </c>
      <c r="QS1" s="1" t="s">
        <v>2269</v>
      </c>
      <c r="QT1" s="1" t="s">
        <v>2270</v>
      </c>
      <c r="QU1" s="1" t="s">
        <v>3185</v>
      </c>
      <c r="QV1" s="1" t="s">
        <v>3186</v>
      </c>
      <c r="QW1" s="1" t="s">
        <v>3187</v>
      </c>
      <c r="QX1" s="1" t="s">
        <v>3653</v>
      </c>
      <c r="QY1" s="1" t="s">
        <v>728</v>
      </c>
      <c r="QZ1" s="1" t="s">
        <v>729</v>
      </c>
      <c r="RA1" s="1" t="s">
        <v>730</v>
      </c>
      <c r="RB1" s="1" t="s">
        <v>731</v>
      </c>
      <c r="RC1" s="1" t="s">
        <v>732</v>
      </c>
      <c r="RD1" s="1" t="s">
        <v>733</v>
      </c>
      <c r="RE1" s="1" t="s">
        <v>734</v>
      </c>
      <c r="RF1" s="1" t="s">
        <v>735</v>
      </c>
      <c r="RG1" s="1" t="s">
        <v>736</v>
      </c>
      <c r="RH1" s="1" t="s">
        <v>737</v>
      </c>
      <c r="RI1" s="1" t="s">
        <v>738</v>
      </c>
      <c r="RJ1" s="1" t="s">
        <v>1620</v>
      </c>
      <c r="RK1" s="1" t="s">
        <v>2028</v>
      </c>
      <c r="RL1" s="1" t="s">
        <v>2271</v>
      </c>
      <c r="RM1" s="1" t="s">
        <v>2272</v>
      </c>
      <c r="RN1" s="1" t="s">
        <v>3188</v>
      </c>
      <c r="RO1" s="1" t="s">
        <v>3189</v>
      </c>
      <c r="RP1" s="1" t="s">
        <v>3190</v>
      </c>
      <c r="RQ1" s="1" t="s">
        <v>3654</v>
      </c>
      <c r="RR1" s="1" t="s">
        <v>739</v>
      </c>
      <c r="RS1" s="1" t="s">
        <v>740</v>
      </c>
      <c r="RT1" s="1" t="s">
        <v>741</v>
      </c>
      <c r="RU1" s="1" t="s">
        <v>742</v>
      </c>
      <c r="RV1" s="1" t="s">
        <v>743</v>
      </c>
      <c r="RW1" s="1" t="s">
        <v>744</v>
      </c>
      <c r="RX1" s="1" t="s">
        <v>745</v>
      </c>
      <c r="RY1" s="1" t="s">
        <v>746</v>
      </c>
      <c r="RZ1" s="1" t="s">
        <v>747</v>
      </c>
      <c r="SA1" s="1" t="s">
        <v>748</v>
      </c>
      <c r="SB1" s="1" t="s">
        <v>749</v>
      </c>
      <c r="SC1" s="1" t="s">
        <v>1621</v>
      </c>
      <c r="SD1" s="1" t="s">
        <v>2029</v>
      </c>
      <c r="SE1" s="1" t="s">
        <v>2273</v>
      </c>
      <c r="SF1" s="1" t="s">
        <v>2274</v>
      </c>
      <c r="SG1" s="1" t="s">
        <v>3191</v>
      </c>
      <c r="SH1" s="1" t="s">
        <v>3192</v>
      </c>
      <c r="SI1" s="1" t="s">
        <v>3193</v>
      </c>
      <c r="SJ1" s="1" t="s">
        <v>3655</v>
      </c>
      <c r="SK1" s="1" t="s">
        <v>750</v>
      </c>
      <c r="SL1" s="1" t="s">
        <v>751</v>
      </c>
      <c r="SM1" s="1" t="s">
        <v>752</v>
      </c>
      <c r="SN1" s="1" t="s">
        <v>753</v>
      </c>
      <c r="SO1" s="1" t="s">
        <v>754</v>
      </c>
      <c r="SP1" s="1" t="s">
        <v>755</v>
      </c>
      <c r="SQ1" s="1" t="s">
        <v>756</v>
      </c>
      <c r="SR1" s="1" t="s">
        <v>757</v>
      </c>
      <c r="SS1" s="1" t="s">
        <v>758</v>
      </c>
      <c r="ST1" s="1" t="s">
        <v>759</v>
      </c>
      <c r="SU1" s="1" t="s">
        <v>760</v>
      </c>
      <c r="SV1" s="1" t="s">
        <v>1622</v>
      </c>
      <c r="SW1" s="1" t="s">
        <v>2030</v>
      </c>
      <c r="SX1" s="1" t="s">
        <v>2275</v>
      </c>
      <c r="SY1" s="1" t="s">
        <v>2276</v>
      </c>
      <c r="SZ1" s="1" t="s">
        <v>3194</v>
      </c>
      <c r="TA1" s="1" t="s">
        <v>3195</v>
      </c>
      <c r="TB1" s="1" t="s">
        <v>3196</v>
      </c>
      <c r="TC1" s="1" t="s">
        <v>3656</v>
      </c>
      <c r="TD1" s="1" t="s">
        <v>761</v>
      </c>
      <c r="TE1" s="1" t="s">
        <v>762</v>
      </c>
      <c r="TF1" s="1" t="s">
        <v>763</v>
      </c>
      <c r="TG1" s="1" t="s">
        <v>764</v>
      </c>
      <c r="TH1" s="1" t="s">
        <v>765</v>
      </c>
      <c r="TI1" s="1" t="s">
        <v>766</v>
      </c>
      <c r="TJ1" s="1" t="s">
        <v>767</v>
      </c>
      <c r="TK1" s="1" t="s">
        <v>768</v>
      </c>
      <c r="TL1" s="1" t="s">
        <v>769</v>
      </c>
      <c r="TM1" s="1" t="s">
        <v>770</v>
      </c>
      <c r="TN1" s="1" t="s">
        <v>771</v>
      </c>
      <c r="TO1" s="1" t="s">
        <v>1623</v>
      </c>
      <c r="TP1" s="1" t="s">
        <v>2031</v>
      </c>
      <c r="TQ1" s="1" t="s">
        <v>2277</v>
      </c>
      <c r="TR1" s="1" t="s">
        <v>2278</v>
      </c>
      <c r="TS1" s="1" t="s">
        <v>3197</v>
      </c>
      <c r="TT1" s="1" t="s">
        <v>3198</v>
      </c>
      <c r="TU1" s="1" t="s">
        <v>3199</v>
      </c>
      <c r="TV1" s="1" t="s">
        <v>3657</v>
      </c>
      <c r="TW1" s="1" t="s">
        <v>772</v>
      </c>
      <c r="TX1" s="1" t="s">
        <v>773</v>
      </c>
      <c r="TY1" s="1" t="s">
        <v>774</v>
      </c>
      <c r="TZ1" s="1" t="s">
        <v>775</v>
      </c>
      <c r="UA1" s="1" t="s">
        <v>776</v>
      </c>
      <c r="UB1" s="1" t="s">
        <v>777</v>
      </c>
      <c r="UC1" s="1" t="s">
        <v>778</v>
      </c>
      <c r="UD1" s="1" t="s">
        <v>779</v>
      </c>
      <c r="UE1" s="1" t="s">
        <v>780</v>
      </c>
      <c r="UF1" s="1" t="s">
        <v>781</v>
      </c>
      <c r="UG1" s="1" t="s">
        <v>782</v>
      </c>
      <c r="UH1" s="1" t="s">
        <v>1624</v>
      </c>
      <c r="UI1" s="1" t="s">
        <v>2032</v>
      </c>
      <c r="UJ1" s="1" t="s">
        <v>2279</v>
      </c>
      <c r="UK1" s="1" t="s">
        <v>2280</v>
      </c>
      <c r="UL1" s="1" t="s">
        <v>3200</v>
      </c>
      <c r="UM1" s="1" t="s">
        <v>3201</v>
      </c>
      <c r="UN1" s="1" t="s">
        <v>3202</v>
      </c>
      <c r="UO1" s="1" t="s">
        <v>3658</v>
      </c>
      <c r="UP1" s="1" t="s">
        <v>783</v>
      </c>
      <c r="UQ1" s="1" t="s">
        <v>784</v>
      </c>
      <c r="UR1" s="1" t="s">
        <v>785</v>
      </c>
      <c r="US1" s="1" t="s">
        <v>786</v>
      </c>
      <c r="UT1" s="1" t="s">
        <v>787</v>
      </c>
      <c r="UU1" s="1" t="s">
        <v>788</v>
      </c>
      <c r="UV1" s="1" t="s">
        <v>789</v>
      </c>
      <c r="UW1" s="1" t="s">
        <v>790</v>
      </c>
      <c r="UX1" s="1" t="s">
        <v>791</v>
      </c>
      <c r="UY1" s="1" t="s">
        <v>792</v>
      </c>
      <c r="UZ1" s="1" t="s">
        <v>793</v>
      </c>
      <c r="VA1" s="1" t="s">
        <v>1625</v>
      </c>
      <c r="VB1" s="1" t="s">
        <v>2033</v>
      </c>
      <c r="VC1" s="1" t="s">
        <v>2281</v>
      </c>
      <c r="VD1" s="1" t="s">
        <v>2282</v>
      </c>
      <c r="VE1" s="1" t="s">
        <v>3203</v>
      </c>
      <c r="VF1" s="1" t="s">
        <v>3204</v>
      </c>
      <c r="VG1" s="1" t="s">
        <v>3205</v>
      </c>
      <c r="VH1" s="1" t="s">
        <v>3659</v>
      </c>
      <c r="VI1" s="1" t="s">
        <v>794</v>
      </c>
      <c r="VJ1" s="1" t="s">
        <v>795</v>
      </c>
      <c r="VK1" s="1" t="s">
        <v>796</v>
      </c>
      <c r="VL1" s="1" t="s">
        <v>797</v>
      </c>
      <c r="VM1" s="1" t="s">
        <v>798</v>
      </c>
      <c r="VN1" s="1" t="s">
        <v>799</v>
      </c>
      <c r="VO1" s="1" t="s">
        <v>800</v>
      </c>
      <c r="VP1" s="1" t="s">
        <v>801</v>
      </c>
      <c r="VQ1" s="1" t="s">
        <v>802</v>
      </c>
      <c r="VR1" s="1" t="s">
        <v>803</v>
      </c>
      <c r="VS1" s="1" t="s">
        <v>804</v>
      </c>
      <c r="VT1" s="1" t="s">
        <v>1626</v>
      </c>
      <c r="VU1" s="1" t="s">
        <v>2034</v>
      </c>
      <c r="VV1" s="1" t="s">
        <v>2283</v>
      </c>
      <c r="VW1" s="1" t="s">
        <v>2284</v>
      </c>
      <c r="VX1" s="1" t="s">
        <v>3206</v>
      </c>
      <c r="VY1" s="1" t="s">
        <v>3207</v>
      </c>
      <c r="VZ1" s="1" t="s">
        <v>3208</v>
      </c>
      <c r="WA1" s="1" t="s">
        <v>3660</v>
      </c>
      <c r="WB1" s="1" t="s">
        <v>805</v>
      </c>
      <c r="WC1" s="1" t="s">
        <v>806</v>
      </c>
      <c r="WD1" s="1" t="s">
        <v>807</v>
      </c>
      <c r="WE1" s="1" t="s">
        <v>808</v>
      </c>
      <c r="WF1" s="1" t="s">
        <v>809</v>
      </c>
      <c r="WG1" s="1" t="s">
        <v>810</v>
      </c>
      <c r="WH1" s="1" t="s">
        <v>811</v>
      </c>
      <c r="WI1" s="1" t="s">
        <v>812</v>
      </c>
      <c r="WJ1" s="1" t="s">
        <v>813</v>
      </c>
      <c r="WK1" s="1" t="s">
        <v>814</v>
      </c>
      <c r="WL1" s="1" t="s">
        <v>815</v>
      </c>
      <c r="WM1" s="1" t="s">
        <v>1627</v>
      </c>
      <c r="WN1" s="1" t="s">
        <v>2035</v>
      </c>
      <c r="WO1" s="1" t="s">
        <v>2285</v>
      </c>
      <c r="WP1" s="1" t="s">
        <v>2286</v>
      </c>
      <c r="WQ1" s="1" t="s">
        <v>3209</v>
      </c>
      <c r="WR1" s="1" t="s">
        <v>3210</v>
      </c>
      <c r="WS1" s="1" t="s">
        <v>3211</v>
      </c>
      <c r="WT1" s="1" t="s">
        <v>3661</v>
      </c>
      <c r="WU1" s="1" t="s">
        <v>816</v>
      </c>
      <c r="WV1" s="1" t="s">
        <v>817</v>
      </c>
      <c r="WW1" s="1" t="s">
        <v>818</v>
      </c>
      <c r="WX1" s="1" t="s">
        <v>819</v>
      </c>
      <c r="WY1" s="1" t="s">
        <v>820</v>
      </c>
      <c r="WZ1" s="1" t="s">
        <v>821</v>
      </c>
      <c r="XA1" s="1" t="s">
        <v>822</v>
      </c>
      <c r="XB1" s="1" t="s">
        <v>823</v>
      </c>
      <c r="XC1" s="1" t="s">
        <v>824</v>
      </c>
      <c r="XD1" s="1" t="s">
        <v>825</v>
      </c>
      <c r="XE1" s="1" t="s">
        <v>826</v>
      </c>
      <c r="XF1" s="1" t="s">
        <v>1628</v>
      </c>
      <c r="XG1" s="1" t="s">
        <v>2036</v>
      </c>
      <c r="XH1" s="1" t="s">
        <v>2287</v>
      </c>
      <c r="XI1" s="1" t="s">
        <v>2288</v>
      </c>
      <c r="XJ1" s="1" t="s">
        <v>3212</v>
      </c>
      <c r="XK1" s="1" t="s">
        <v>3213</v>
      </c>
      <c r="XL1" s="1" t="s">
        <v>3214</v>
      </c>
      <c r="XM1" s="1" t="s">
        <v>3662</v>
      </c>
      <c r="XN1" s="1" t="s">
        <v>827</v>
      </c>
      <c r="XO1" s="1" t="s">
        <v>828</v>
      </c>
      <c r="XP1" s="1" t="s">
        <v>829</v>
      </c>
      <c r="XQ1" s="1" t="s">
        <v>830</v>
      </c>
      <c r="XR1" s="1" t="s">
        <v>831</v>
      </c>
      <c r="XS1" s="1" t="s">
        <v>832</v>
      </c>
      <c r="XT1" s="1" t="s">
        <v>833</v>
      </c>
      <c r="XU1" s="1" t="s">
        <v>834</v>
      </c>
      <c r="XV1" s="1" t="s">
        <v>835</v>
      </c>
      <c r="XW1" s="1" t="s">
        <v>836</v>
      </c>
      <c r="XX1" s="1" t="s">
        <v>837</v>
      </c>
      <c r="XY1" s="1" t="s">
        <v>1629</v>
      </c>
      <c r="XZ1" s="1" t="s">
        <v>2037</v>
      </c>
      <c r="YA1" s="1" t="s">
        <v>2289</v>
      </c>
      <c r="YB1" s="1" t="s">
        <v>2290</v>
      </c>
      <c r="YC1" s="1" t="s">
        <v>3215</v>
      </c>
      <c r="YD1" s="1" t="s">
        <v>3216</v>
      </c>
      <c r="YE1" s="1" t="s">
        <v>3217</v>
      </c>
      <c r="YF1" s="1" t="s">
        <v>3663</v>
      </c>
      <c r="YG1" s="1" t="s">
        <v>838</v>
      </c>
      <c r="YH1" s="1" t="s">
        <v>839</v>
      </c>
      <c r="YI1" s="1" t="s">
        <v>840</v>
      </c>
      <c r="YJ1" s="1" t="s">
        <v>841</v>
      </c>
      <c r="YK1" s="1" t="s">
        <v>842</v>
      </c>
      <c r="YL1" s="1" t="s">
        <v>843</v>
      </c>
      <c r="YM1" s="1" t="s">
        <v>844</v>
      </c>
      <c r="YN1" s="1" t="s">
        <v>845</v>
      </c>
      <c r="YO1" s="1" t="s">
        <v>846</v>
      </c>
      <c r="YP1" s="1" t="s">
        <v>847</v>
      </c>
      <c r="YQ1" s="1" t="s">
        <v>848</v>
      </c>
      <c r="YR1" s="1" t="s">
        <v>1630</v>
      </c>
      <c r="YS1" s="1" t="s">
        <v>2038</v>
      </c>
      <c r="YT1" s="1" t="s">
        <v>2291</v>
      </c>
      <c r="YU1" s="1" t="s">
        <v>2292</v>
      </c>
      <c r="YV1" s="1" t="s">
        <v>3218</v>
      </c>
      <c r="YW1" s="1" t="s">
        <v>3219</v>
      </c>
      <c r="YX1" s="1" t="s">
        <v>3220</v>
      </c>
      <c r="YY1" s="1" t="s">
        <v>3664</v>
      </c>
      <c r="YZ1" s="1" t="s">
        <v>849</v>
      </c>
      <c r="ZA1" s="1" t="s">
        <v>850</v>
      </c>
      <c r="ZB1" s="1" t="s">
        <v>851</v>
      </c>
      <c r="ZC1" s="1" t="s">
        <v>852</v>
      </c>
      <c r="ZD1" s="1" t="s">
        <v>853</v>
      </c>
      <c r="ZE1" s="1" t="s">
        <v>854</v>
      </c>
      <c r="ZF1" s="1" t="s">
        <v>855</v>
      </c>
      <c r="ZG1" s="1" t="s">
        <v>856</v>
      </c>
      <c r="ZH1" s="1" t="s">
        <v>857</v>
      </c>
      <c r="ZI1" s="1" t="s">
        <v>858</v>
      </c>
      <c r="ZJ1" s="1" t="s">
        <v>859</v>
      </c>
      <c r="ZK1" s="1" t="s">
        <v>1631</v>
      </c>
      <c r="ZL1" s="1" t="s">
        <v>2039</v>
      </c>
      <c r="ZM1" s="1" t="s">
        <v>2293</v>
      </c>
      <c r="ZN1" s="1" t="s">
        <v>2294</v>
      </c>
      <c r="ZO1" s="1" t="s">
        <v>3221</v>
      </c>
      <c r="ZP1" s="1" t="s">
        <v>3222</v>
      </c>
      <c r="ZQ1" s="1" t="s">
        <v>3223</v>
      </c>
      <c r="ZR1" s="1" t="s">
        <v>3665</v>
      </c>
      <c r="ZS1" s="1" t="s">
        <v>1727</v>
      </c>
      <c r="ZT1" s="1" t="s">
        <v>1728</v>
      </c>
      <c r="ZU1" s="1" t="s">
        <v>1729</v>
      </c>
      <c r="ZV1" s="1" t="s">
        <v>1730</v>
      </c>
      <c r="ZW1" s="1" t="s">
        <v>1731</v>
      </c>
      <c r="ZX1" s="1" t="s">
        <v>1732</v>
      </c>
      <c r="ZY1" s="1" t="s">
        <v>1733</v>
      </c>
      <c r="ZZ1" s="1" t="s">
        <v>1734</v>
      </c>
      <c r="AAA1" s="1" t="s">
        <v>1735</v>
      </c>
      <c r="AAB1" s="1" t="s">
        <v>1736</v>
      </c>
      <c r="AAC1" s="1" t="s">
        <v>1737</v>
      </c>
      <c r="AAD1" s="1" t="s">
        <v>1738</v>
      </c>
      <c r="AAE1" s="1" t="s">
        <v>2040</v>
      </c>
      <c r="AAF1" s="1" t="s">
        <v>2295</v>
      </c>
      <c r="AAG1" s="1" t="s">
        <v>2296</v>
      </c>
      <c r="AAH1" s="1" t="s">
        <v>3224</v>
      </c>
      <c r="AAI1" s="1" t="s">
        <v>3225</v>
      </c>
      <c r="AAJ1" s="1" t="s">
        <v>3226</v>
      </c>
      <c r="AAK1" s="1" t="s">
        <v>3666</v>
      </c>
      <c r="AAL1" s="1" t="s">
        <v>860</v>
      </c>
      <c r="AAM1" s="1" t="s">
        <v>861</v>
      </c>
      <c r="AAN1" s="1" t="s">
        <v>862</v>
      </c>
      <c r="AAO1" s="1" t="s">
        <v>863</v>
      </c>
      <c r="AAP1" s="1" t="s">
        <v>864</v>
      </c>
      <c r="AAQ1" s="1" t="s">
        <v>865</v>
      </c>
      <c r="AAR1" s="1" t="s">
        <v>866</v>
      </c>
      <c r="AAS1" s="1" t="s">
        <v>867</v>
      </c>
      <c r="AAT1" s="1" t="s">
        <v>868</v>
      </c>
      <c r="AAU1" s="1" t="s">
        <v>869</v>
      </c>
      <c r="AAV1" s="1" t="s">
        <v>870</v>
      </c>
      <c r="AAW1" s="1" t="s">
        <v>1632</v>
      </c>
      <c r="AAX1" s="1" t="s">
        <v>2041</v>
      </c>
      <c r="AAY1" s="1" t="s">
        <v>2297</v>
      </c>
      <c r="AAZ1" s="1" t="s">
        <v>2298</v>
      </c>
      <c r="ABA1" s="1" t="s">
        <v>3227</v>
      </c>
      <c r="ABB1" s="1" t="s">
        <v>3228</v>
      </c>
      <c r="ABC1" s="1" t="s">
        <v>3229</v>
      </c>
      <c r="ABD1" s="1" t="s">
        <v>3667</v>
      </c>
      <c r="ABE1" s="1" t="s">
        <v>1696</v>
      </c>
      <c r="ABF1" s="1" t="s">
        <v>1697</v>
      </c>
      <c r="ABG1" s="1" t="s">
        <v>1698</v>
      </c>
      <c r="ABH1" s="1" t="s">
        <v>1699</v>
      </c>
      <c r="ABI1" s="1" t="s">
        <v>1700</v>
      </c>
      <c r="ABJ1" s="1" t="s">
        <v>1701</v>
      </c>
      <c r="ABK1" s="1" t="s">
        <v>1702</v>
      </c>
      <c r="ABL1" s="1" t="s">
        <v>1703</v>
      </c>
      <c r="ABM1" s="1" t="s">
        <v>1704</v>
      </c>
      <c r="ABN1" s="1" t="s">
        <v>1705</v>
      </c>
      <c r="ABO1" s="1" t="s">
        <v>1706</v>
      </c>
      <c r="ABP1" s="1" t="s">
        <v>1707</v>
      </c>
      <c r="ABQ1" s="1" t="s">
        <v>2042</v>
      </c>
      <c r="ABR1" s="1" t="s">
        <v>2299</v>
      </c>
      <c r="ABS1" s="1" t="s">
        <v>2300</v>
      </c>
      <c r="ABT1" s="1" t="s">
        <v>3230</v>
      </c>
      <c r="ABU1" s="1" t="s">
        <v>3231</v>
      </c>
      <c r="ABV1" s="1" t="s">
        <v>3232</v>
      </c>
      <c r="ABW1" s="1" t="s">
        <v>3668</v>
      </c>
      <c r="ABX1" s="1" t="s">
        <v>871</v>
      </c>
      <c r="ABY1" s="1" t="s">
        <v>872</v>
      </c>
      <c r="ABZ1" s="1" t="s">
        <v>873</v>
      </c>
      <c r="ACA1" s="1" t="s">
        <v>874</v>
      </c>
      <c r="ACB1" s="1" t="s">
        <v>875</v>
      </c>
      <c r="ACC1" s="1" t="s">
        <v>876</v>
      </c>
      <c r="ACD1" s="1" t="s">
        <v>877</v>
      </c>
      <c r="ACE1" s="1" t="s">
        <v>878</v>
      </c>
      <c r="ACF1" s="1" t="s">
        <v>879</v>
      </c>
      <c r="ACG1" s="1" t="s">
        <v>880</v>
      </c>
      <c r="ACH1" s="1" t="s">
        <v>881</v>
      </c>
      <c r="ACI1" s="1" t="s">
        <v>1633</v>
      </c>
      <c r="ACJ1" s="1" t="s">
        <v>2043</v>
      </c>
      <c r="ACK1" s="1" t="s">
        <v>2301</v>
      </c>
      <c r="ACL1" s="1" t="s">
        <v>2302</v>
      </c>
      <c r="ACM1" s="1" t="s">
        <v>3233</v>
      </c>
      <c r="ACN1" s="1" t="s">
        <v>3234</v>
      </c>
      <c r="ACO1" s="1" t="s">
        <v>3235</v>
      </c>
      <c r="ACP1" s="1" t="s">
        <v>3669</v>
      </c>
      <c r="ACQ1" s="1" t="s">
        <v>882</v>
      </c>
      <c r="ACR1" s="1" t="s">
        <v>883</v>
      </c>
      <c r="ACS1" s="1" t="s">
        <v>884</v>
      </c>
      <c r="ACT1" s="1" t="s">
        <v>885</v>
      </c>
      <c r="ACU1" s="1" t="s">
        <v>886</v>
      </c>
      <c r="ACV1" s="1" t="s">
        <v>887</v>
      </c>
      <c r="ACW1" s="1" t="s">
        <v>888</v>
      </c>
      <c r="ACX1" s="1" t="s">
        <v>889</v>
      </c>
      <c r="ACY1" s="1" t="s">
        <v>890</v>
      </c>
      <c r="ACZ1" s="1" t="s">
        <v>891</v>
      </c>
      <c r="ADA1" s="1" t="s">
        <v>892</v>
      </c>
      <c r="ADB1" s="1" t="s">
        <v>1634</v>
      </c>
      <c r="ADC1" s="1" t="s">
        <v>2044</v>
      </c>
      <c r="ADD1" s="1" t="s">
        <v>2303</v>
      </c>
      <c r="ADE1" s="1" t="s">
        <v>2304</v>
      </c>
      <c r="ADF1" s="1" t="s">
        <v>3236</v>
      </c>
      <c r="ADG1" s="1" t="s">
        <v>3237</v>
      </c>
      <c r="ADH1" s="1" t="s">
        <v>3238</v>
      </c>
      <c r="ADI1" s="1" t="s">
        <v>3670</v>
      </c>
      <c r="ADJ1" s="1" t="s">
        <v>893</v>
      </c>
      <c r="ADK1" s="1" t="s">
        <v>894</v>
      </c>
      <c r="ADL1" s="1" t="s">
        <v>895</v>
      </c>
      <c r="ADM1" s="1" t="s">
        <v>896</v>
      </c>
      <c r="ADN1" s="1" t="s">
        <v>897</v>
      </c>
      <c r="ADO1" s="1" t="s">
        <v>898</v>
      </c>
      <c r="ADP1" s="1" t="s">
        <v>899</v>
      </c>
      <c r="ADQ1" s="1" t="s">
        <v>900</v>
      </c>
      <c r="ADR1" s="1" t="s">
        <v>901</v>
      </c>
      <c r="ADS1" s="1" t="s">
        <v>902</v>
      </c>
      <c r="ADT1" s="1" t="s">
        <v>903</v>
      </c>
      <c r="ADU1" s="1" t="s">
        <v>1635</v>
      </c>
      <c r="ADV1" s="1" t="s">
        <v>2045</v>
      </c>
      <c r="ADW1" s="1" t="s">
        <v>2305</v>
      </c>
      <c r="ADX1" s="1" t="s">
        <v>2306</v>
      </c>
      <c r="ADY1" s="1" t="s">
        <v>3239</v>
      </c>
      <c r="ADZ1" s="1" t="s">
        <v>3240</v>
      </c>
      <c r="AEA1" s="1" t="s">
        <v>3241</v>
      </c>
      <c r="AEB1" s="1" t="s">
        <v>3671</v>
      </c>
      <c r="AEC1" s="1" t="s">
        <v>904</v>
      </c>
      <c r="AED1" s="1" t="s">
        <v>905</v>
      </c>
      <c r="AEE1" s="1" t="s">
        <v>906</v>
      </c>
      <c r="AEF1" s="1" t="s">
        <v>907</v>
      </c>
      <c r="AEG1" s="1" t="s">
        <v>908</v>
      </c>
      <c r="AEH1" s="1" t="s">
        <v>909</v>
      </c>
      <c r="AEI1" s="1" t="s">
        <v>910</v>
      </c>
      <c r="AEJ1" s="1" t="s">
        <v>911</v>
      </c>
      <c r="AEK1" s="1" t="s">
        <v>912</v>
      </c>
      <c r="AEL1" s="1" t="s">
        <v>913</v>
      </c>
      <c r="AEM1" s="1" t="s">
        <v>914</v>
      </c>
      <c r="AEN1" s="1" t="s">
        <v>1636</v>
      </c>
      <c r="AEO1" s="1" t="s">
        <v>2046</v>
      </c>
      <c r="AEP1" s="1" t="s">
        <v>2307</v>
      </c>
      <c r="AEQ1" s="1" t="s">
        <v>2308</v>
      </c>
      <c r="AER1" s="1" t="s">
        <v>3242</v>
      </c>
      <c r="AES1" s="1" t="s">
        <v>3243</v>
      </c>
      <c r="AET1" s="1" t="s">
        <v>3244</v>
      </c>
      <c r="AEU1" s="1" t="s">
        <v>3672</v>
      </c>
      <c r="AEV1" s="1" t="s">
        <v>915</v>
      </c>
      <c r="AEW1" s="1" t="s">
        <v>916</v>
      </c>
      <c r="AEX1" s="1" t="s">
        <v>917</v>
      </c>
      <c r="AEY1" s="1" t="s">
        <v>918</v>
      </c>
      <c r="AEZ1" s="1" t="s">
        <v>919</v>
      </c>
      <c r="AFA1" s="1" t="s">
        <v>920</v>
      </c>
      <c r="AFB1" s="1" t="s">
        <v>921</v>
      </c>
      <c r="AFC1" s="1" t="s">
        <v>922</v>
      </c>
      <c r="AFD1" s="1" t="s">
        <v>923</v>
      </c>
      <c r="AFE1" s="1" t="s">
        <v>924</v>
      </c>
      <c r="AFF1" s="1" t="s">
        <v>925</v>
      </c>
      <c r="AFG1" s="1" t="s">
        <v>1637</v>
      </c>
      <c r="AFH1" s="1" t="s">
        <v>2047</v>
      </c>
      <c r="AFI1" s="1" t="s">
        <v>2309</v>
      </c>
      <c r="AFJ1" s="1" t="s">
        <v>2310</v>
      </c>
      <c r="AFK1" s="1" t="s">
        <v>3245</v>
      </c>
      <c r="AFL1" s="1" t="s">
        <v>3246</v>
      </c>
      <c r="AFM1" s="1" t="s">
        <v>3247</v>
      </c>
      <c r="AFN1" s="1" t="s">
        <v>3673</v>
      </c>
      <c r="AFO1" t="s">
        <v>926</v>
      </c>
      <c r="AFP1" t="s">
        <v>927</v>
      </c>
      <c r="AFQ1" t="s">
        <v>928</v>
      </c>
      <c r="AFR1" t="s">
        <v>929</v>
      </c>
      <c r="AFS1" t="s">
        <v>930</v>
      </c>
      <c r="AFT1" t="s">
        <v>931</v>
      </c>
      <c r="AFU1" t="s">
        <v>932</v>
      </c>
      <c r="AFV1" t="s">
        <v>933</v>
      </c>
      <c r="AFW1" t="s">
        <v>934</v>
      </c>
      <c r="AFX1" t="s">
        <v>935</v>
      </c>
      <c r="AFY1" t="s">
        <v>936</v>
      </c>
      <c r="AFZ1" t="s">
        <v>1638</v>
      </c>
      <c r="AGA1" t="s">
        <v>2048</v>
      </c>
      <c r="AGB1" t="s">
        <v>2311</v>
      </c>
      <c r="AGC1" t="s">
        <v>2312</v>
      </c>
      <c r="AGD1" t="s">
        <v>3248</v>
      </c>
      <c r="AGE1" t="s">
        <v>3249</v>
      </c>
      <c r="AGF1" t="s">
        <v>3250</v>
      </c>
      <c r="AGG1" t="s">
        <v>3674</v>
      </c>
      <c r="AGH1" s="1" t="s">
        <v>937</v>
      </c>
      <c r="AGI1" s="1" t="s">
        <v>938</v>
      </c>
      <c r="AGJ1" s="1" t="s">
        <v>939</v>
      </c>
      <c r="AGK1" s="1" t="s">
        <v>940</v>
      </c>
      <c r="AGL1" s="1" t="s">
        <v>941</v>
      </c>
      <c r="AGM1" s="1" t="s">
        <v>942</v>
      </c>
      <c r="AGN1" s="1" t="s">
        <v>943</v>
      </c>
      <c r="AGO1" s="1" t="s">
        <v>944</v>
      </c>
      <c r="AGP1" s="1" t="s">
        <v>945</v>
      </c>
      <c r="AGQ1" s="1" t="s">
        <v>946</v>
      </c>
      <c r="AGR1" s="1" t="s">
        <v>947</v>
      </c>
      <c r="AGS1" s="1" t="s">
        <v>1639</v>
      </c>
      <c r="AGT1" s="1" t="s">
        <v>2049</v>
      </c>
      <c r="AGU1" s="1" t="s">
        <v>2313</v>
      </c>
      <c r="AGV1" s="1" t="s">
        <v>2314</v>
      </c>
      <c r="AGW1" s="1" t="s">
        <v>3251</v>
      </c>
      <c r="AGX1" s="1" t="s">
        <v>3252</v>
      </c>
      <c r="AGY1" s="1" t="s">
        <v>3253</v>
      </c>
      <c r="AGZ1" s="1" t="s">
        <v>3675</v>
      </c>
      <c r="AHA1" s="1" t="s">
        <v>948</v>
      </c>
      <c r="AHB1" s="1" t="s">
        <v>949</v>
      </c>
      <c r="AHC1" s="1" t="s">
        <v>950</v>
      </c>
      <c r="AHD1" s="1" t="s">
        <v>951</v>
      </c>
      <c r="AHE1" s="1" t="s">
        <v>952</v>
      </c>
      <c r="AHF1" s="1" t="s">
        <v>953</v>
      </c>
      <c r="AHG1" s="1" t="s">
        <v>954</v>
      </c>
      <c r="AHH1" s="1" t="s">
        <v>955</v>
      </c>
      <c r="AHI1" s="1" t="s">
        <v>956</v>
      </c>
      <c r="AHJ1" s="1" t="s">
        <v>957</v>
      </c>
      <c r="AHK1" s="1" t="s">
        <v>958</v>
      </c>
      <c r="AHL1" s="1" t="s">
        <v>1640</v>
      </c>
      <c r="AHM1" s="1" t="s">
        <v>2050</v>
      </c>
      <c r="AHN1" s="1" t="s">
        <v>2315</v>
      </c>
      <c r="AHO1" s="1" t="s">
        <v>2316</v>
      </c>
      <c r="AHP1" s="1" t="s">
        <v>3254</v>
      </c>
      <c r="AHQ1" s="1" t="s">
        <v>3255</v>
      </c>
      <c r="AHR1" s="1" t="s">
        <v>3256</v>
      </c>
      <c r="AHS1" s="1" t="s">
        <v>3676</v>
      </c>
      <c r="AHT1" s="1" t="s">
        <v>959</v>
      </c>
      <c r="AHU1" s="1" t="s">
        <v>960</v>
      </c>
      <c r="AHV1" s="1" t="s">
        <v>961</v>
      </c>
      <c r="AHW1" s="1" t="s">
        <v>962</v>
      </c>
      <c r="AHX1" s="1" t="s">
        <v>963</v>
      </c>
      <c r="AHY1" s="1" t="s">
        <v>964</v>
      </c>
      <c r="AHZ1" s="1" t="s">
        <v>965</v>
      </c>
      <c r="AIA1" s="1" t="s">
        <v>966</v>
      </c>
      <c r="AIB1" s="1" t="s">
        <v>967</v>
      </c>
      <c r="AIC1" s="1" t="s">
        <v>968</v>
      </c>
      <c r="AID1" s="1" t="s">
        <v>969</v>
      </c>
      <c r="AIE1" s="1" t="s">
        <v>1641</v>
      </c>
      <c r="AIF1" s="1" t="s">
        <v>2051</v>
      </c>
      <c r="AIG1" s="1" t="s">
        <v>2317</v>
      </c>
      <c r="AIH1" s="1" t="s">
        <v>2318</v>
      </c>
      <c r="AII1" s="1" t="s">
        <v>3257</v>
      </c>
      <c r="AIJ1" s="1" t="s">
        <v>3258</v>
      </c>
      <c r="AIK1" s="1" t="s">
        <v>3259</v>
      </c>
      <c r="AIL1" s="1" t="s">
        <v>3677</v>
      </c>
      <c r="AIM1" s="1" t="s">
        <v>970</v>
      </c>
      <c r="AIN1" s="1" t="s">
        <v>971</v>
      </c>
      <c r="AIO1" s="1" t="s">
        <v>972</v>
      </c>
      <c r="AIP1" s="1" t="s">
        <v>973</v>
      </c>
      <c r="AIQ1" s="1" t="s">
        <v>974</v>
      </c>
      <c r="AIR1" s="1" t="s">
        <v>975</v>
      </c>
      <c r="AIS1" s="1" t="s">
        <v>976</v>
      </c>
      <c r="AIT1" s="1" t="s">
        <v>977</v>
      </c>
      <c r="AIU1" s="1" t="s">
        <v>978</v>
      </c>
      <c r="AIV1" s="1" t="s">
        <v>979</v>
      </c>
      <c r="AIW1" s="1" t="s">
        <v>980</v>
      </c>
      <c r="AIX1" s="1" t="s">
        <v>1642</v>
      </c>
      <c r="AIY1" s="1" t="s">
        <v>2052</v>
      </c>
      <c r="AIZ1" s="1" t="s">
        <v>2319</v>
      </c>
      <c r="AJA1" s="1" t="s">
        <v>2320</v>
      </c>
      <c r="AJB1" s="1" t="s">
        <v>3260</v>
      </c>
      <c r="AJC1" s="1" t="s">
        <v>3261</v>
      </c>
      <c r="AJD1" s="1" t="s">
        <v>3262</v>
      </c>
      <c r="AJE1" s="1" t="s">
        <v>3678</v>
      </c>
      <c r="AJF1" s="1" t="s">
        <v>981</v>
      </c>
      <c r="AJG1" s="1" t="s">
        <v>982</v>
      </c>
      <c r="AJH1" s="1" t="s">
        <v>983</v>
      </c>
      <c r="AJI1" s="1" t="s">
        <v>984</v>
      </c>
      <c r="AJJ1" s="1" t="s">
        <v>985</v>
      </c>
      <c r="AJK1" s="1" t="s">
        <v>986</v>
      </c>
      <c r="AJL1" s="1" t="s">
        <v>987</v>
      </c>
      <c r="AJM1" s="1" t="s">
        <v>988</v>
      </c>
      <c r="AJN1" s="1" t="s">
        <v>989</v>
      </c>
      <c r="AJO1" s="1" t="s">
        <v>990</v>
      </c>
      <c r="AJP1" s="1" t="s">
        <v>991</v>
      </c>
      <c r="AJQ1" s="1" t="s">
        <v>1643</v>
      </c>
      <c r="AJR1" s="1" t="s">
        <v>2053</v>
      </c>
      <c r="AJS1" s="1" t="s">
        <v>2321</v>
      </c>
      <c r="AJT1" s="1" t="s">
        <v>2322</v>
      </c>
      <c r="AJU1" s="1" t="s">
        <v>3263</v>
      </c>
      <c r="AJV1" s="1" t="s">
        <v>3264</v>
      </c>
      <c r="AJW1" s="1" t="s">
        <v>3265</v>
      </c>
      <c r="AJX1" s="1" t="s">
        <v>3679</v>
      </c>
      <c r="AJY1" s="1" t="s">
        <v>992</v>
      </c>
      <c r="AJZ1" s="1" t="s">
        <v>993</v>
      </c>
      <c r="AKA1" s="1" t="s">
        <v>994</v>
      </c>
      <c r="AKB1" s="1" t="s">
        <v>995</v>
      </c>
      <c r="AKC1" s="1" t="s">
        <v>996</v>
      </c>
      <c r="AKD1" s="1" t="s">
        <v>997</v>
      </c>
      <c r="AKE1" s="1" t="s">
        <v>998</v>
      </c>
      <c r="AKF1" s="1" t="s">
        <v>999</v>
      </c>
      <c r="AKG1" s="1" t="s">
        <v>1000</v>
      </c>
      <c r="AKH1" s="1" t="s">
        <v>1001</v>
      </c>
      <c r="AKI1" s="1" t="s">
        <v>1002</v>
      </c>
      <c r="AKJ1" s="1" t="s">
        <v>1644</v>
      </c>
      <c r="AKK1" s="1" t="s">
        <v>2054</v>
      </c>
      <c r="AKL1" s="1" t="s">
        <v>2323</v>
      </c>
      <c r="AKM1" s="1" t="s">
        <v>2324</v>
      </c>
      <c r="AKN1" s="1" t="s">
        <v>3266</v>
      </c>
      <c r="AKO1" s="1" t="s">
        <v>3267</v>
      </c>
      <c r="AKP1" s="1" t="s">
        <v>3268</v>
      </c>
      <c r="AKQ1" s="1" t="s">
        <v>3680</v>
      </c>
      <c r="AKR1" s="1" t="s">
        <v>1003</v>
      </c>
      <c r="AKS1" s="1" t="s">
        <v>1004</v>
      </c>
      <c r="AKT1" s="1" t="s">
        <v>1005</v>
      </c>
      <c r="AKU1" s="1" t="s">
        <v>1006</v>
      </c>
      <c r="AKV1" s="1" t="s">
        <v>1007</v>
      </c>
      <c r="AKW1" s="1" t="s">
        <v>1008</v>
      </c>
      <c r="AKX1" s="1" t="s">
        <v>1009</v>
      </c>
      <c r="AKY1" s="1" t="s">
        <v>1010</v>
      </c>
      <c r="AKZ1" s="1" t="s">
        <v>1011</v>
      </c>
      <c r="ALA1" s="1" t="s">
        <v>1012</v>
      </c>
      <c r="ALB1" s="1" t="s">
        <v>1013</v>
      </c>
      <c r="ALC1" s="1" t="s">
        <v>1645</v>
      </c>
      <c r="ALD1" s="1" t="s">
        <v>2055</v>
      </c>
      <c r="ALE1" s="1" t="s">
        <v>2325</v>
      </c>
      <c r="ALF1" s="1" t="s">
        <v>2326</v>
      </c>
      <c r="ALG1" s="1" t="s">
        <v>3269</v>
      </c>
      <c r="ALH1" s="1" t="s">
        <v>3270</v>
      </c>
      <c r="ALI1" s="1" t="s">
        <v>3271</v>
      </c>
      <c r="ALJ1" s="1" t="s">
        <v>3681</v>
      </c>
      <c r="ALK1" s="1" t="s">
        <v>1014</v>
      </c>
      <c r="ALL1" s="1" t="s">
        <v>1015</v>
      </c>
      <c r="ALM1" s="1" t="s">
        <v>1016</v>
      </c>
      <c r="ALN1" s="1" t="s">
        <v>1017</v>
      </c>
      <c r="ALO1" s="1" t="s">
        <v>1018</v>
      </c>
      <c r="ALP1" s="1" t="s">
        <v>1019</v>
      </c>
      <c r="ALQ1" s="1" t="s">
        <v>1020</v>
      </c>
      <c r="ALR1" s="1" t="s">
        <v>1021</v>
      </c>
      <c r="ALS1" s="1" t="s">
        <v>1022</v>
      </c>
      <c r="ALT1" s="1" t="s">
        <v>1023</v>
      </c>
      <c r="ALU1" s="1" t="s">
        <v>1024</v>
      </c>
      <c r="ALV1" s="1" t="s">
        <v>1646</v>
      </c>
      <c r="ALW1" s="1" t="s">
        <v>2056</v>
      </c>
      <c r="ALX1" s="1" t="s">
        <v>2327</v>
      </c>
      <c r="ALY1" s="1" t="s">
        <v>2328</v>
      </c>
      <c r="ALZ1" s="1" t="s">
        <v>3272</v>
      </c>
      <c r="AMA1" s="1" t="s">
        <v>3273</v>
      </c>
      <c r="AMB1" s="1" t="s">
        <v>3274</v>
      </c>
      <c r="AMC1" s="1" t="s">
        <v>3682</v>
      </c>
      <c r="AMD1" s="1" t="s">
        <v>1025</v>
      </c>
      <c r="AME1" s="1" t="s">
        <v>1026</v>
      </c>
      <c r="AMF1" s="1" t="s">
        <v>1027</v>
      </c>
      <c r="AMG1" s="1" t="s">
        <v>1028</v>
      </c>
      <c r="AMH1" s="1" t="s">
        <v>1029</v>
      </c>
      <c r="AMI1" s="1" t="s">
        <v>1030</v>
      </c>
      <c r="AMJ1" s="1" t="s">
        <v>1031</v>
      </c>
      <c r="AMK1" s="1" t="s">
        <v>1032</v>
      </c>
      <c r="AML1" s="1" t="s">
        <v>1033</v>
      </c>
      <c r="AMM1" s="1" t="s">
        <v>1034</v>
      </c>
      <c r="AMN1" s="1" t="s">
        <v>1035</v>
      </c>
      <c r="AMO1" s="1" t="s">
        <v>1647</v>
      </c>
      <c r="AMP1" s="1" t="s">
        <v>2057</v>
      </c>
      <c r="AMQ1" s="1" t="s">
        <v>2329</v>
      </c>
      <c r="AMR1" s="1" t="s">
        <v>2330</v>
      </c>
      <c r="AMS1" s="1" t="s">
        <v>3275</v>
      </c>
      <c r="AMT1" s="1" t="s">
        <v>3276</v>
      </c>
      <c r="AMU1" s="1" t="s">
        <v>3277</v>
      </c>
      <c r="AMV1" s="1" t="s">
        <v>3683</v>
      </c>
      <c r="AMW1" s="1" t="s">
        <v>1036</v>
      </c>
      <c r="AMX1" s="1" t="s">
        <v>1037</v>
      </c>
      <c r="AMY1" s="1" t="s">
        <v>1038</v>
      </c>
      <c r="AMZ1" s="1" t="s">
        <v>1039</v>
      </c>
      <c r="ANA1" s="1" t="s">
        <v>1040</v>
      </c>
      <c r="ANB1" s="1" t="s">
        <v>1041</v>
      </c>
      <c r="ANC1" s="1" t="s">
        <v>1042</v>
      </c>
      <c r="AND1" s="1" t="s">
        <v>1043</v>
      </c>
      <c r="ANE1" s="1" t="s">
        <v>1044</v>
      </c>
      <c r="ANF1" s="1" t="s">
        <v>1045</v>
      </c>
      <c r="ANG1" s="1" t="s">
        <v>1046</v>
      </c>
      <c r="ANH1" s="1" t="s">
        <v>1648</v>
      </c>
      <c r="ANI1" s="1" t="s">
        <v>2058</v>
      </c>
      <c r="ANJ1" s="1" t="s">
        <v>2331</v>
      </c>
      <c r="ANK1" s="1" t="s">
        <v>2332</v>
      </c>
      <c r="ANL1" s="1" t="s">
        <v>3278</v>
      </c>
      <c r="ANM1" s="1" t="s">
        <v>3279</v>
      </c>
      <c r="ANN1" s="1" t="s">
        <v>3280</v>
      </c>
      <c r="ANO1" s="1" t="s">
        <v>3684</v>
      </c>
      <c r="ANP1" s="1" t="s">
        <v>1714</v>
      </c>
      <c r="ANQ1" s="1" t="s">
        <v>1715</v>
      </c>
      <c r="ANR1" s="1" t="s">
        <v>1716</v>
      </c>
      <c r="ANS1" s="1" t="s">
        <v>1717</v>
      </c>
      <c r="ANT1" s="1" t="s">
        <v>1718</v>
      </c>
      <c r="ANU1" s="1" t="s">
        <v>1719</v>
      </c>
      <c r="ANV1" s="1" t="s">
        <v>1720</v>
      </c>
      <c r="ANW1" s="1" t="s">
        <v>1721</v>
      </c>
      <c r="ANX1" s="1" t="s">
        <v>1722</v>
      </c>
      <c r="ANY1" s="1" t="s">
        <v>1723</v>
      </c>
      <c r="ANZ1" s="1" t="s">
        <v>1724</v>
      </c>
      <c r="AOA1" s="1" t="s">
        <v>1725</v>
      </c>
      <c r="AOB1" s="1" t="s">
        <v>2059</v>
      </c>
      <c r="AOC1" s="1" t="s">
        <v>2333</v>
      </c>
      <c r="AOD1" s="1" t="s">
        <v>2334</v>
      </c>
      <c r="AOE1" s="1" t="s">
        <v>3281</v>
      </c>
      <c r="AOF1" s="1" t="s">
        <v>3282</v>
      </c>
      <c r="AOG1" s="1" t="s">
        <v>3283</v>
      </c>
      <c r="AOH1" s="1" t="s">
        <v>3685</v>
      </c>
      <c r="AOI1" s="1" t="s">
        <v>1047</v>
      </c>
      <c r="AOJ1" s="1" t="s">
        <v>1048</v>
      </c>
      <c r="AOK1" s="1" t="s">
        <v>1049</v>
      </c>
      <c r="AOL1" s="1" t="s">
        <v>1050</v>
      </c>
      <c r="AOM1" s="1" t="s">
        <v>1051</v>
      </c>
      <c r="AON1" s="1" t="s">
        <v>1052</v>
      </c>
      <c r="AOO1" s="1" t="s">
        <v>1053</v>
      </c>
      <c r="AOP1" s="1" t="s">
        <v>1054</v>
      </c>
      <c r="AOQ1" s="1" t="s">
        <v>1055</v>
      </c>
      <c r="AOR1" s="1" t="s">
        <v>1056</v>
      </c>
      <c r="AOS1" s="1" t="s">
        <v>1057</v>
      </c>
      <c r="AOT1" s="1" t="s">
        <v>1649</v>
      </c>
      <c r="AOU1" s="1" t="s">
        <v>2060</v>
      </c>
      <c r="AOV1" s="1" t="s">
        <v>2335</v>
      </c>
      <c r="AOW1" s="1" t="s">
        <v>2336</v>
      </c>
      <c r="AOX1" s="1" t="s">
        <v>3284</v>
      </c>
      <c r="AOY1" s="1" t="s">
        <v>3285</v>
      </c>
      <c r="AOZ1" s="1" t="s">
        <v>3286</v>
      </c>
      <c r="APA1" s="1" t="s">
        <v>3686</v>
      </c>
      <c r="APB1" s="1" t="s">
        <v>1058</v>
      </c>
      <c r="APC1" s="1" t="s">
        <v>1059</v>
      </c>
      <c r="APD1" s="1" t="s">
        <v>1060</v>
      </c>
      <c r="APE1" s="1" t="s">
        <v>1061</v>
      </c>
      <c r="APF1" s="1" t="s">
        <v>1062</v>
      </c>
      <c r="APG1" s="1" t="s">
        <v>1063</v>
      </c>
      <c r="APH1" s="1" t="s">
        <v>1064</v>
      </c>
      <c r="API1" s="1" t="s">
        <v>1065</v>
      </c>
      <c r="APJ1" s="1" t="s">
        <v>1066</v>
      </c>
      <c r="APK1" s="1" t="s">
        <v>1067</v>
      </c>
      <c r="APL1" s="1" t="s">
        <v>1068</v>
      </c>
      <c r="APM1" s="1" t="s">
        <v>1650</v>
      </c>
      <c r="APN1" s="1" t="s">
        <v>2061</v>
      </c>
      <c r="APO1" s="1" t="s">
        <v>2337</v>
      </c>
      <c r="APP1" s="1" t="s">
        <v>2338</v>
      </c>
      <c r="APQ1" s="1" t="s">
        <v>3287</v>
      </c>
      <c r="APR1" s="1" t="s">
        <v>3288</v>
      </c>
      <c r="APS1" s="1" t="s">
        <v>3289</v>
      </c>
      <c r="APT1" s="1" t="s">
        <v>3687</v>
      </c>
      <c r="APU1" s="1" t="s">
        <v>1069</v>
      </c>
      <c r="APV1" s="1" t="s">
        <v>1070</v>
      </c>
      <c r="APW1" s="1" t="s">
        <v>1071</v>
      </c>
      <c r="APX1" s="1" t="s">
        <v>1072</v>
      </c>
      <c r="APY1" s="1" t="s">
        <v>1073</v>
      </c>
      <c r="APZ1" s="1" t="s">
        <v>1074</v>
      </c>
      <c r="AQA1" s="1" t="s">
        <v>1075</v>
      </c>
      <c r="AQB1" s="1" t="s">
        <v>1076</v>
      </c>
      <c r="AQC1" s="1" t="s">
        <v>1077</v>
      </c>
      <c r="AQD1" s="1" t="s">
        <v>1078</v>
      </c>
      <c r="AQE1" s="1" t="s">
        <v>1079</v>
      </c>
      <c r="AQF1" s="1" t="s">
        <v>1651</v>
      </c>
      <c r="AQG1" s="1" t="s">
        <v>2062</v>
      </c>
      <c r="AQH1" s="1" t="s">
        <v>2339</v>
      </c>
      <c r="AQI1" s="1" t="s">
        <v>2340</v>
      </c>
      <c r="AQJ1" s="1" t="s">
        <v>3290</v>
      </c>
      <c r="AQK1" s="1" t="s">
        <v>3291</v>
      </c>
      <c r="AQL1" s="1" t="s">
        <v>3292</v>
      </c>
      <c r="AQM1" s="1" t="s">
        <v>3688</v>
      </c>
      <c r="AQN1" s="1" t="s">
        <v>1080</v>
      </c>
      <c r="AQO1" s="1" t="s">
        <v>1081</v>
      </c>
      <c r="AQP1" s="1" t="s">
        <v>1082</v>
      </c>
      <c r="AQQ1" s="1" t="s">
        <v>1083</v>
      </c>
      <c r="AQR1" s="1" t="s">
        <v>1084</v>
      </c>
      <c r="AQS1" s="1" t="s">
        <v>1085</v>
      </c>
      <c r="AQT1" s="1" t="s">
        <v>1086</v>
      </c>
      <c r="AQU1" s="1" t="s">
        <v>1087</v>
      </c>
      <c r="AQV1" s="1" t="s">
        <v>1088</v>
      </c>
      <c r="AQW1" s="1" t="s">
        <v>1089</v>
      </c>
      <c r="AQX1" s="1" t="s">
        <v>1090</v>
      </c>
      <c r="AQY1" s="1" t="s">
        <v>1652</v>
      </c>
      <c r="AQZ1" s="1" t="s">
        <v>2063</v>
      </c>
      <c r="ARA1" s="1" t="s">
        <v>2341</v>
      </c>
      <c r="ARB1" s="1" t="s">
        <v>2342</v>
      </c>
      <c r="ARC1" s="1" t="s">
        <v>3293</v>
      </c>
      <c r="ARD1" s="1" t="s">
        <v>3294</v>
      </c>
      <c r="ARE1" s="1" t="s">
        <v>3295</v>
      </c>
      <c r="ARF1" s="1" t="s">
        <v>3689</v>
      </c>
      <c r="ARG1" s="1" t="s">
        <v>1091</v>
      </c>
      <c r="ARH1" s="1" t="s">
        <v>1092</v>
      </c>
      <c r="ARI1" s="1" t="s">
        <v>1093</v>
      </c>
      <c r="ARJ1" s="1" t="s">
        <v>1094</v>
      </c>
      <c r="ARK1" s="1" t="s">
        <v>1095</v>
      </c>
      <c r="ARL1" s="1" t="s">
        <v>1096</v>
      </c>
      <c r="ARM1" s="1" t="s">
        <v>1097</v>
      </c>
      <c r="ARN1" s="1" t="s">
        <v>1098</v>
      </c>
      <c r="ARO1" s="1" t="s">
        <v>1099</v>
      </c>
      <c r="ARP1" s="1" t="s">
        <v>1100</v>
      </c>
      <c r="ARQ1" s="1" t="s">
        <v>1101</v>
      </c>
      <c r="ARR1" s="1" t="s">
        <v>1653</v>
      </c>
      <c r="ARS1" s="1" t="s">
        <v>2064</v>
      </c>
      <c r="ART1" s="1" t="s">
        <v>2343</v>
      </c>
      <c r="ARU1" s="1" t="s">
        <v>2344</v>
      </c>
      <c r="ARV1" s="1" t="s">
        <v>3296</v>
      </c>
      <c r="ARW1" s="1" t="s">
        <v>3297</v>
      </c>
      <c r="ARX1" s="1" t="s">
        <v>3298</v>
      </c>
      <c r="ARY1" s="1" t="s">
        <v>3690</v>
      </c>
      <c r="ARZ1" s="1" t="s">
        <v>1102</v>
      </c>
      <c r="ASA1" s="1" t="s">
        <v>1103</v>
      </c>
      <c r="ASB1" s="1" t="s">
        <v>1104</v>
      </c>
      <c r="ASC1" s="1" t="s">
        <v>1105</v>
      </c>
      <c r="ASD1" s="1" t="s">
        <v>1106</v>
      </c>
      <c r="ASE1" s="1" t="s">
        <v>1107</v>
      </c>
      <c r="ASF1" s="1" t="s">
        <v>1108</v>
      </c>
      <c r="ASG1" s="1" t="s">
        <v>1109</v>
      </c>
      <c r="ASH1" s="1" t="s">
        <v>1110</v>
      </c>
      <c r="ASI1" s="1" t="s">
        <v>1111</v>
      </c>
      <c r="ASJ1" s="1" t="s">
        <v>1112</v>
      </c>
      <c r="ASK1" s="1" t="s">
        <v>1654</v>
      </c>
      <c r="ASL1" s="1" t="s">
        <v>2065</v>
      </c>
      <c r="ASM1" s="1" t="s">
        <v>2345</v>
      </c>
      <c r="ASN1" s="1" t="s">
        <v>2346</v>
      </c>
      <c r="ASO1" s="1" t="s">
        <v>3299</v>
      </c>
      <c r="ASP1" s="1" t="s">
        <v>3300</v>
      </c>
      <c r="ASQ1" s="1" t="s">
        <v>3301</v>
      </c>
      <c r="ASR1" s="1" t="s">
        <v>3691</v>
      </c>
      <c r="ASS1" s="1" t="s">
        <v>1562</v>
      </c>
      <c r="AST1" s="1" t="s">
        <v>1563</v>
      </c>
      <c r="ASU1" s="1" t="s">
        <v>1564</v>
      </c>
      <c r="ASV1" s="1" t="s">
        <v>1565</v>
      </c>
      <c r="ASW1" s="1" t="s">
        <v>1566</v>
      </c>
      <c r="ASX1" s="1" t="s">
        <v>1567</v>
      </c>
      <c r="ASY1" s="1" t="s">
        <v>1568</v>
      </c>
      <c r="ASZ1" s="1" t="s">
        <v>1569</v>
      </c>
      <c r="ATA1" s="1" t="s">
        <v>1570</v>
      </c>
      <c r="ATB1" s="1" t="s">
        <v>1571</v>
      </c>
      <c r="ATC1" s="1" t="s">
        <v>1572</v>
      </c>
      <c r="ATD1" s="1" t="s">
        <v>1655</v>
      </c>
      <c r="ATE1" s="1" t="s">
        <v>2066</v>
      </c>
      <c r="ATF1" s="1" t="s">
        <v>2347</v>
      </c>
      <c r="ATG1" s="1" t="s">
        <v>2348</v>
      </c>
      <c r="ATH1" s="1" t="s">
        <v>3302</v>
      </c>
      <c r="ATI1" s="1" t="s">
        <v>3303</v>
      </c>
      <c r="ATJ1" s="1" t="s">
        <v>3304</v>
      </c>
      <c r="ATK1" s="1" t="s">
        <v>3692</v>
      </c>
      <c r="ATL1" s="1" t="s">
        <v>1113</v>
      </c>
      <c r="ATM1" s="1" t="s">
        <v>1114</v>
      </c>
      <c r="ATN1" s="1" t="s">
        <v>1115</v>
      </c>
      <c r="ATO1" s="1" t="s">
        <v>1116</v>
      </c>
      <c r="ATP1" s="1" t="s">
        <v>1117</v>
      </c>
      <c r="ATQ1" s="1" t="s">
        <v>1118</v>
      </c>
      <c r="ATR1" s="1" t="s">
        <v>1119</v>
      </c>
      <c r="ATS1" s="1" t="s">
        <v>1120</v>
      </c>
      <c r="ATT1" s="1" t="s">
        <v>1121</v>
      </c>
      <c r="ATU1" s="1" t="s">
        <v>1122</v>
      </c>
      <c r="ATV1" s="1" t="s">
        <v>1123</v>
      </c>
      <c r="ATW1" s="1" t="s">
        <v>1656</v>
      </c>
      <c r="ATX1" s="1" t="s">
        <v>2067</v>
      </c>
      <c r="ATY1" s="1" t="s">
        <v>2349</v>
      </c>
      <c r="ATZ1" s="1" t="s">
        <v>2350</v>
      </c>
      <c r="AUA1" s="1" t="s">
        <v>3305</v>
      </c>
      <c r="AUB1" s="1" t="s">
        <v>3306</v>
      </c>
      <c r="AUC1" s="1" t="s">
        <v>3307</v>
      </c>
      <c r="AUD1" s="1" t="s">
        <v>3693</v>
      </c>
      <c r="AUE1" s="1" t="s">
        <v>1124</v>
      </c>
      <c r="AUF1" s="1" t="s">
        <v>1125</v>
      </c>
      <c r="AUG1" s="1" t="s">
        <v>1126</v>
      </c>
      <c r="AUH1" s="1" t="s">
        <v>1127</v>
      </c>
      <c r="AUI1" s="1" t="s">
        <v>1128</v>
      </c>
      <c r="AUJ1" s="1" t="s">
        <v>1129</v>
      </c>
      <c r="AUK1" s="1" t="s">
        <v>1130</v>
      </c>
      <c r="AUL1" s="1" t="s">
        <v>1131</v>
      </c>
      <c r="AUM1" s="1" t="s">
        <v>1132</v>
      </c>
      <c r="AUN1" s="1" t="s">
        <v>1133</v>
      </c>
      <c r="AUO1" s="1" t="s">
        <v>1134</v>
      </c>
      <c r="AUP1" s="1" t="s">
        <v>1657</v>
      </c>
      <c r="AUQ1" s="1" t="s">
        <v>2068</v>
      </c>
      <c r="AUR1" s="1" t="s">
        <v>2351</v>
      </c>
      <c r="AUS1" s="1" t="s">
        <v>2352</v>
      </c>
      <c r="AUT1" s="1" t="s">
        <v>3308</v>
      </c>
      <c r="AUU1" s="1" t="s">
        <v>3309</v>
      </c>
      <c r="AUV1" s="1" t="s">
        <v>3310</v>
      </c>
      <c r="AUW1" s="1" t="s">
        <v>3694</v>
      </c>
      <c r="AUX1" s="1" t="s">
        <v>1135</v>
      </c>
      <c r="AUY1" s="1" t="s">
        <v>1136</v>
      </c>
      <c r="AUZ1" s="1" t="s">
        <v>1137</v>
      </c>
      <c r="AVA1" s="1" t="s">
        <v>1138</v>
      </c>
      <c r="AVB1" s="1" t="s">
        <v>1139</v>
      </c>
      <c r="AVC1" s="1" t="s">
        <v>1140</v>
      </c>
      <c r="AVD1" s="1" t="s">
        <v>1141</v>
      </c>
      <c r="AVE1" s="1" t="s">
        <v>1142</v>
      </c>
      <c r="AVF1" s="1" t="s">
        <v>1143</v>
      </c>
      <c r="AVG1" s="1" t="s">
        <v>1144</v>
      </c>
      <c r="AVH1" s="1" t="s">
        <v>1145</v>
      </c>
      <c r="AVI1" s="1" t="s">
        <v>1658</v>
      </c>
      <c r="AVJ1" s="1" t="s">
        <v>2069</v>
      </c>
      <c r="AVK1" s="1" t="s">
        <v>2353</v>
      </c>
      <c r="AVL1" s="1" t="s">
        <v>2354</v>
      </c>
      <c r="AVM1" s="1" t="s">
        <v>3311</v>
      </c>
      <c r="AVN1" s="1" t="s">
        <v>3312</v>
      </c>
      <c r="AVO1" s="1" t="s">
        <v>3313</v>
      </c>
      <c r="AVP1" s="1" t="s">
        <v>3695</v>
      </c>
      <c r="AVQ1" s="1" t="s">
        <v>1146</v>
      </c>
      <c r="AVR1" s="1" t="s">
        <v>1147</v>
      </c>
      <c r="AVS1" s="1" t="s">
        <v>1148</v>
      </c>
      <c r="AVT1" s="1" t="s">
        <v>1149</v>
      </c>
      <c r="AVU1" s="1" t="s">
        <v>1150</v>
      </c>
      <c r="AVV1" s="1" t="s">
        <v>1151</v>
      </c>
      <c r="AVW1" s="1" t="s">
        <v>1152</v>
      </c>
      <c r="AVX1" s="1" t="s">
        <v>1153</v>
      </c>
      <c r="AVY1" s="1" t="s">
        <v>1154</v>
      </c>
      <c r="AVZ1" s="1" t="s">
        <v>1155</v>
      </c>
      <c r="AWA1" s="1" t="s">
        <v>1156</v>
      </c>
      <c r="AWB1" s="1" t="s">
        <v>1659</v>
      </c>
      <c r="AWC1" s="1" t="s">
        <v>2070</v>
      </c>
      <c r="AWD1" s="1" t="s">
        <v>2355</v>
      </c>
      <c r="AWE1" s="1" t="s">
        <v>2356</v>
      </c>
      <c r="AWF1" s="1" t="s">
        <v>3314</v>
      </c>
      <c r="AWG1" s="1" t="s">
        <v>3315</v>
      </c>
      <c r="AWH1" s="1" t="s">
        <v>3316</v>
      </c>
      <c r="AWI1" s="1" t="s">
        <v>3696</v>
      </c>
      <c r="AWJ1" s="1" t="s">
        <v>1157</v>
      </c>
      <c r="AWK1" s="1" t="s">
        <v>1158</v>
      </c>
      <c r="AWL1" s="1" t="s">
        <v>1159</v>
      </c>
      <c r="AWM1" s="1" t="s">
        <v>1160</v>
      </c>
      <c r="AWN1" s="1" t="s">
        <v>1161</v>
      </c>
      <c r="AWO1" s="1" t="s">
        <v>1162</v>
      </c>
      <c r="AWP1" s="1" t="s">
        <v>1163</v>
      </c>
      <c r="AWQ1" s="1" t="s">
        <v>1164</v>
      </c>
      <c r="AWR1" s="1" t="s">
        <v>1165</v>
      </c>
      <c r="AWS1" s="1" t="s">
        <v>1166</v>
      </c>
      <c r="AWT1" s="1" t="s">
        <v>1167</v>
      </c>
      <c r="AWU1" s="1" t="s">
        <v>1660</v>
      </c>
      <c r="AWV1" s="1" t="s">
        <v>2071</v>
      </c>
      <c r="AWW1" s="1" t="s">
        <v>2357</v>
      </c>
      <c r="AWX1" s="1" t="s">
        <v>2358</v>
      </c>
      <c r="AWY1" s="1" t="s">
        <v>3317</v>
      </c>
      <c r="AWZ1" s="1" t="s">
        <v>3318</v>
      </c>
      <c r="AXA1" s="1" t="s">
        <v>3319</v>
      </c>
      <c r="AXB1" s="1" t="s">
        <v>3697</v>
      </c>
      <c r="AXC1" s="1" t="s">
        <v>1168</v>
      </c>
      <c r="AXD1" s="1" t="s">
        <v>1169</v>
      </c>
      <c r="AXE1" s="1" t="s">
        <v>1170</v>
      </c>
      <c r="AXF1" s="1" t="s">
        <v>1171</v>
      </c>
      <c r="AXG1" s="1" t="s">
        <v>1172</v>
      </c>
      <c r="AXH1" s="1" t="s">
        <v>1173</v>
      </c>
      <c r="AXI1" s="1" t="s">
        <v>1174</v>
      </c>
      <c r="AXJ1" s="1" t="s">
        <v>1175</v>
      </c>
      <c r="AXK1" s="1" t="s">
        <v>1176</v>
      </c>
      <c r="AXL1" s="1" t="s">
        <v>1177</v>
      </c>
      <c r="AXM1" s="1" t="s">
        <v>1178</v>
      </c>
      <c r="AXN1" s="1" t="s">
        <v>1661</v>
      </c>
      <c r="AXO1" s="1" t="s">
        <v>2072</v>
      </c>
      <c r="AXP1" s="1" t="s">
        <v>2359</v>
      </c>
      <c r="AXQ1" s="1" t="s">
        <v>2360</v>
      </c>
      <c r="AXR1" s="1" t="s">
        <v>3320</v>
      </c>
      <c r="AXS1" s="1" t="s">
        <v>3321</v>
      </c>
      <c r="AXT1" s="1" t="s">
        <v>3322</v>
      </c>
      <c r="AXU1" s="1" t="s">
        <v>3698</v>
      </c>
      <c r="AXV1" s="1" t="s">
        <v>1179</v>
      </c>
      <c r="AXW1" s="1" t="s">
        <v>1180</v>
      </c>
      <c r="AXX1" s="1" t="s">
        <v>1181</v>
      </c>
      <c r="AXY1" s="1" t="s">
        <v>1182</v>
      </c>
      <c r="AXZ1" s="1" t="s">
        <v>1183</v>
      </c>
      <c r="AYA1" s="1" t="s">
        <v>1184</v>
      </c>
      <c r="AYB1" s="1" t="s">
        <v>1185</v>
      </c>
      <c r="AYC1" s="1" t="s">
        <v>1186</v>
      </c>
      <c r="AYD1" s="1" t="s">
        <v>1187</v>
      </c>
      <c r="AYE1" s="1" t="s">
        <v>1188</v>
      </c>
      <c r="AYF1" s="1" t="s">
        <v>1189</v>
      </c>
      <c r="AYG1" s="1" t="s">
        <v>1662</v>
      </c>
      <c r="AYH1" s="1" t="s">
        <v>2073</v>
      </c>
      <c r="AYI1" s="1" t="s">
        <v>2361</v>
      </c>
      <c r="AYJ1" s="1" t="s">
        <v>2362</v>
      </c>
      <c r="AYK1" s="1" t="s">
        <v>3323</v>
      </c>
      <c r="AYL1" s="1" t="s">
        <v>3324</v>
      </c>
      <c r="AYM1" s="1" t="s">
        <v>3325</v>
      </c>
      <c r="AYN1" s="1" t="s">
        <v>3699</v>
      </c>
      <c r="AYO1" s="1" t="s">
        <v>1190</v>
      </c>
      <c r="AYP1" s="1" t="s">
        <v>1191</v>
      </c>
      <c r="AYQ1" s="1" t="s">
        <v>1192</v>
      </c>
      <c r="AYR1" s="1" t="s">
        <v>1193</v>
      </c>
      <c r="AYS1" s="1" t="s">
        <v>1194</v>
      </c>
      <c r="AYT1" s="1" t="s">
        <v>1195</v>
      </c>
      <c r="AYU1" s="1" t="s">
        <v>1196</v>
      </c>
      <c r="AYV1" s="1" t="s">
        <v>1197</v>
      </c>
      <c r="AYW1" s="1" t="s">
        <v>1198</v>
      </c>
      <c r="AYX1" s="1" t="s">
        <v>1199</v>
      </c>
      <c r="AYY1" s="1" t="s">
        <v>1200</v>
      </c>
      <c r="AYZ1" s="1" t="s">
        <v>1663</v>
      </c>
      <c r="AZA1" s="1" t="s">
        <v>2074</v>
      </c>
      <c r="AZB1" s="1" t="s">
        <v>2363</v>
      </c>
      <c r="AZC1" s="1" t="s">
        <v>2364</v>
      </c>
      <c r="AZD1" s="1" t="s">
        <v>3326</v>
      </c>
      <c r="AZE1" s="1" t="s">
        <v>3327</v>
      </c>
      <c r="AZF1" s="1" t="s">
        <v>3328</v>
      </c>
      <c r="AZG1" s="1" t="s">
        <v>3700</v>
      </c>
      <c r="AZH1" s="1" t="s">
        <v>1201</v>
      </c>
      <c r="AZI1" s="1" t="s">
        <v>1202</v>
      </c>
      <c r="AZJ1" s="1" t="s">
        <v>1203</v>
      </c>
      <c r="AZK1" s="1" t="s">
        <v>1204</v>
      </c>
      <c r="AZL1" s="1" t="s">
        <v>1205</v>
      </c>
      <c r="AZM1" s="1" t="s">
        <v>1206</v>
      </c>
      <c r="AZN1" s="1" t="s">
        <v>1207</v>
      </c>
      <c r="AZO1" s="1" t="s">
        <v>1208</v>
      </c>
      <c r="AZP1" s="1" t="s">
        <v>1209</v>
      </c>
      <c r="AZQ1" s="1" t="s">
        <v>1210</v>
      </c>
      <c r="AZR1" s="1" t="s">
        <v>1211</v>
      </c>
      <c r="AZS1" s="1" t="s">
        <v>1664</v>
      </c>
      <c r="AZT1" s="1" t="s">
        <v>2075</v>
      </c>
      <c r="AZU1" s="1" t="s">
        <v>2365</v>
      </c>
      <c r="AZV1" s="1" t="s">
        <v>2366</v>
      </c>
      <c r="AZW1" s="1" t="s">
        <v>3329</v>
      </c>
      <c r="AZX1" s="1" t="s">
        <v>3330</v>
      </c>
      <c r="AZY1" s="1" t="s">
        <v>3331</v>
      </c>
      <c r="AZZ1" s="1" t="s">
        <v>3701</v>
      </c>
      <c r="BAA1" s="1" t="s">
        <v>1212</v>
      </c>
      <c r="BAB1" s="1" t="s">
        <v>1213</v>
      </c>
      <c r="BAC1" s="1" t="s">
        <v>1214</v>
      </c>
      <c r="BAD1" s="1" t="s">
        <v>1215</v>
      </c>
      <c r="BAE1" s="1" t="s">
        <v>1216</v>
      </c>
      <c r="BAF1" s="1" t="s">
        <v>1217</v>
      </c>
      <c r="BAG1" s="1" t="s">
        <v>1218</v>
      </c>
      <c r="BAH1" s="1" t="s">
        <v>1219</v>
      </c>
      <c r="BAI1" s="1" t="s">
        <v>1220</v>
      </c>
      <c r="BAJ1" s="1" t="s">
        <v>1221</v>
      </c>
      <c r="BAK1" s="1" t="s">
        <v>1222</v>
      </c>
      <c r="BAL1" s="1" t="s">
        <v>1665</v>
      </c>
      <c r="BAM1" s="1" t="s">
        <v>2076</v>
      </c>
      <c r="BAN1" s="1" t="s">
        <v>2367</v>
      </c>
      <c r="BAO1" s="1" t="s">
        <v>2368</v>
      </c>
      <c r="BAP1" s="1" t="s">
        <v>3332</v>
      </c>
      <c r="BAQ1" s="1" t="s">
        <v>3333</v>
      </c>
      <c r="BAR1" s="1" t="s">
        <v>3334</v>
      </c>
      <c r="BAS1" s="1" t="s">
        <v>3702</v>
      </c>
      <c r="BAT1" s="1" t="s">
        <v>1223</v>
      </c>
      <c r="BAU1" s="1" t="s">
        <v>1224</v>
      </c>
      <c r="BAV1" s="1" t="s">
        <v>1225</v>
      </c>
      <c r="BAW1" s="1" t="s">
        <v>1226</v>
      </c>
      <c r="BAX1" s="1" t="s">
        <v>1227</v>
      </c>
      <c r="BAY1" s="1" t="s">
        <v>1228</v>
      </c>
      <c r="BAZ1" s="1" t="s">
        <v>1229</v>
      </c>
      <c r="BBA1" s="1" t="s">
        <v>1230</v>
      </c>
      <c r="BBB1" s="1" t="s">
        <v>1231</v>
      </c>
      <c r="BBC1" s="1" t="s">
        <v>1232</v>
      </c>
      <c r="BBD1" s="1" t="s">
        <v>1233</v>
      </c>
      <c r="BBE1" s="1" t="s">
        <v>1666</v>
      </c>
      <c r="BBF1" s="1" t="s">
        <v>2077</v>
      </c>
      <c r="BBG1" s="1" t="s">
        <v>2369</v>
      </c>
      <c r="BBH1" s="1" t="s">
        <v>2370</v>
      </c>
      <c r="BBI1" s="1" t="s">
        <v>3335</v>
      </c>
      <c r="BBJ1" s="1" t="s">
        <v>3336</v>
      </c>
      <c r="BBK1" s="1" t="s">
        <v>3337</v>
      </c>
      <c r="BBL1" s="1" t="s">
        <v>3703</v>
      </c>
      <c r="BBM1" s="1" t="s">
        <v>1234</v>
      </c>
      <c r="BBN1" s="1" t="s">
        <v>1235</v>
      </c>
      <c r="BBO1" s="1" t="s">
        <v>1236</v>
      </c>
      <c r="BBP1" s="1" t="s">
        <v>1237</v>
      </c>
      <c r="BBQ1" s="1" t="s">
        <v>1238</v>
      </c>
      <c r="BBR1" s="1" t="s">
        <v>1239</v>
      </c>
      <c r="BBS1" s="1" t="s">
        <v>1240</v>
      </c>
      <c r="BBT1" s="1" t="s">
        <v>1241</v>
      </c>
      <c r="BBU1" s="1" t="s">
        <v>1242</v>
      </c>
      <c r="BBV1" s="1" t="s">
        <v>1243</v>
      </c>
      <c r="BBW1" s="1" t="s">
        <v>1244</v>
      </c>
      <c r="BBX1" s="1" t="s">
        <v>1667</v>
      </c>
      <c r="BBY1" s="1" t="s">
        <v>2078</v>
      </c>
      <c r="BBZ1" s="1" t="s">
        <v>2371</v>
      </c>
      <c r="BCA1" s="1" t="s">
        <v>2372</v>
      </c>
      <c r="BCB1" s="1" t="s">
        <v>3338</v>
      </c>
      <c r="BCC1" s="1" t="s">
        <v>3339</v>
      </c>
      <c r="BCD1" s="1" t="s">
        <v>3340</v>
      </c>
      <c r="BCE1" s="1" t="s">
        <v>3704</v>
      </c>
      <c r="BCF1" s="1" t="s">
        <v>1245</v>
      </c>
      <c r="BCG1" s="1" t="s">
        <v>1246</v>
      </c>
      <c r="BCH1" s="1" t="s">
        <v>1247</v>
      </c>
      <c r="BCI1" s="1" t="s">
        <v>1248</v>
      </c>
      <c r="BCJ1" s="1" t="s">
        <v>1249</v>
      </c>
      <c r="BCK1" s="1" t="s">
        <v>1250</v>
      </c>
      <c r="BCL1" s="1" t="s">
        <v>1251</v>
      </c>
      <c r="BCM1" s="1" t="s">
        <v>1252</v>
      </c>
      <c r="BCN1" s="1" t="s">
        <v>1253</v>
      </c>
      <c r="BCO1" s="1" t="s">
        <v>1254</v>
      </c>
      <c r="BCP1" s="1" t="s">
        <v>1255</v>
      </c>
      <c r="BCQ1" s="1" t="s">
        <v>1668</v>
      </c>
      <c r="BCR1" s="1" t="s">
        <v>2079</v>
      </c>
      <c r="BCS1" s="1" t="s">
        <v>2373</v>
      </c>
      <c r="BCT1" s="1" t="s">
        <v>2374</v>
      </c>
      <c r="BCU1" s="1" t="s">
        <v>3341</v>
      </c>
      <c r="BCV1" s="1" t="s">
        <v>3342</v>
      </c>
      <c r="BCW1" s="1" t="s">
        <v>3343</v>
      </c>
      <c r="BCX1" s="1" t="s">
        <v>3705</v>
      </c>
      <c r="BCY1" s="1" t="s">
        <v>1256</v>
      </c>
      <c r="BCZ1" s="1" t="s">
        <v>1257</v>
      </c>
      <c r="BDA1" s="1" t="s">
        <v>1258</v>
      </c>
      <c r="BDB1" s="1" t="s">
        <v>1259</v>
      </c>
      <c r="BDC1" s="1" t="s">
        <v>1260</v>
      </c>
      <c r="BDD1" s="1" t="s">
        <v>1261</v>
      </c>
      <c r="BDE1" s="1" t="s">
        <v>1262</v>
      </c>
      <c r="BDF1" s="1" t="s">
        <v>1263</v>
      </c>
      <c r="BDG1" s="1" t="s">
        <v>1264</v>
      </c>
      <c r="BDH1" s="1" t="s">
        <v>1265</v>
      </c>
      <c r="BDI1" s="1" t="s">
        <v>1266</v>
      </c>
      <c r="BDJ1" s="1" t="s">
        <v>1669</v>
      </c>
      <c r="BDK1" s="1" t="s">
        <v>2080</v>
      </c>
      <c r="BDL1" s="1" t="s">
        <v>2375</v>
      </c>
      <c r="BDM1" s="1" t="s">
        <v>2376</v>
      </c>
      <c r="BDN1" s="1" t="s">
        <v>3344</v>
      </c>
      <c r="BDO1" s="1" t="s">
        <v>3345</v>
      </c>
      <c r="BDP1" s="1" t="s">
        <v>3346</v>
      </c>
      <c r="BDQ1" s="1" t="s">
        <v>3706</v>
      </c>
      <c r="BDR1" s="1" t="s">
        <v>1267</v>
      </c>
      <c r="BDS1" s="1" t="s">
        <v>1268</v>
      </c>
      <c r="BDT1" s="1" t="s">
        <v>1269</v>
      </c>
      <c r="BDU1" s="1" t="s">
        <v>1270</v>
      </c>
      <c r="BDV1" s="1" t="s">
        <v>1271</v>
      </c>
      <c r="BDW1" s="1" t="s">
        <v>1272</v>
      </c>
      <c r="BDX1" s="1" t="s">
        <v>1273</v>
      </c>
      <c r="BDY1" s="1" t="s">
        <v>1274</v>
      </c>
      <c r="BDZ1" s="1" t="s">
        <v>1275</v>
      </c>
      <c r="BEA1" s="1" t="s">
        <v>1276</v>
      </c>
      <c r="BEB1" s="1" t="s">
        <v>1277</v>
      </c>
      <c r="BEC1" s="1" t="s">
        <v>1670</v>
      </c>
      <c r="BED1" s="1" t="s">
        <v>2081</v>
      </c>
      <c r="BEE1" s="1" t="s">
        <v>2377</v>
      </c>
      <c r="BEF1" s="1" t="s">
        <v>2378</v>
      </c>
      <c r="BEG1" s="1" t="s">
        <v>3347</v>
      </c>
      <c r="BEH1" s="1" t="s">
        <v>3348</v>
      </c>
      <c r="BEI1" s="1" t="s">
        <v>3349</v>
      </c>
      <c r="BEJ1" s="1" t="s">
        <v>3707</v>
      </c>
      <c r="BEK1" s="1" t="s">
        <v>1278</v>
      </c>
      <c r="BEL1" s="1" t="s">
        <v>1279</v>
      </c>
      <c r="BEM1" s="1" t="s">
        <v>1280</v>
      </c>
      <c r="BEN1" s="1" t="s">
        <v>1281</v>
      </c>
      <c r="BEO1" s="1" t="s">
        <v>1282</v>
      </c>
      <c r="BEP1" s="1" t="s">
        <v>1283</v>
      </c>
      <c r="BEQ1" s="1" t="s">
        <v>1284</v>
      </c>
      <c r="BER1" s="1" t="s">
        <v>1285</v>
      </c>
      <c r="BES1" s="1" t="s">
        <v>1286</v>
      </c>
      <c r="BET1" s="1" t="s">
        <v>1287</v>
      </c>
      <c r="BEU1" s="1" t="s">
        <v>1288</v>
      </c>
      <c r="BEV1" s="1" t="s">
        <v>1671</v>
      </c>
      <c r="BEW1" s="1" t="s">
        <v>2082</v>
      </c>
      <c r="BEX1" s="1" t="s">
        <v>2379</v>
      </c>
      <c r="BEY1" s="1" t="s">
        <v>2380</v>
      </c>
      <c r="BEZ1" s="1" t="s">
        <v>3350</v>
      </c>
      <c r="BFA1" s="1" t="s">
        <v>3351</v>
      </c>
      <c r="BFB1" s="1" t="s">
        <v>3352</v>
      </c>
      <c r="BFC1" s="1" t="s">
        <v>3708</v>
      </c>
      <c r="BFD1" s="1" t="s">
        <v>1289</v>
      </c>
      <c r="BFE1" s="1" t="s">
        <v>1290</v>
      </c>
      <c r="BFF1" s="1" t="s">
        <v>1291</v>
      </c>
      <c r="BFG1" s="1" t="s">
        <v>1292</v>
      </c>
      <c r="BFH1" s="1" t="s">
        <v>1293</v>
      </c>
      <c r="BFI1" s="1" t="s">
        <v>1294</v>
      </c>
      <c r="BFJ1" s="1" t="s">
        <v>1295</v>
      </c>
      <c r="BFK1" s="1" t="s">
        <v>1296</v>
      </c>
      <c r="BFL1" s="1" t="s">
        <v>1297</v>
      </c>
      <c r="BFM1" s="1" t="s">
        <v>1298</v>
      </c>
      <c r="BFN1" s="1" t="s">
        <v>1299</v>
      </c>
      <c r="BFO1" s="1" t="s">
        <v>1672</v>
      </c>
      <c r="BFP1" s="1" t="s">
        <v>2083</v>
      </c>
      <c r="BFQ1" s="1" t="s">
        <v>2381</v>
      </c>
      <c r="BFR1" s="1" t="s">
        <v>2382</v>
      </c>
      <c r="BFS1" s="1" t="s">
        <v>3353</v>
      </c>
      <c r="BFT1" s="1" t="s">
        <v>3354</v>
      </c>
      <c r="BFU1" s="1" t="s">
        <v>3355</v>
      </c>
      <c r="BFV1" s="1" t="s">
        <v>3709</v>
      </c>
      <c r="BFW1" s="1" t="s">
        <v>1300</v>
      </c>
      <c r="BFX1" s="1" t="s">
        <v>1301</v>
      </c>
      <c r="BFY1" s="1" t="s">
        <v>1302</v>
      </c>
      <c r="BFZ1" s="1" t="s">
        <v>1303</v>
      </c>
      <c r="BGA1" s="1" t="s">
        <v>1304</v>
      </c>
      <c r="BGB1" s="1" t="s">
        <v>1305</v>
      </c>
      <c r="BGC1" s="1" t="s">
        <v>1306</v>
      </c>
      <c r="BGD1" s="1" t="s">
        <v>1307</v>
      </c>
      <c r="BGE1" s="1" t="s">
        <v>1308</v>
      </c>
      <c r="BGF1" s="1" t="s">
        <v>1309</v>
      </c>
      <c r="BGG1" s="1" t="s">
        <v>1310</v>
      </c>
      <c r="BGH1" s="1" t="s">
        <v>1673</v>
      </c>
      <c r="BGI1" s="1" t="s">
        <v>2084</v>
      </c>
      <c r="BGJ1" s="1" t="s">
        <v>2383</v>
      </c>
      <c r="BGK1" s="1" t="s">
        <v>2384</v>
      </c>
      <c r="BGL1" s="1" t="s">
        <v>3356</v>
      </c>
      <c r="BGM1" s="1" t="s">
        <v>3357</v>
      </c>
      <c r="BGN1" s="1" t="s">
        <v>3358</v>
      </c>
      <c r="BGO1" s="1" t="s">
        <v>3710</v>
      </c>
      <c r="BGP1" s="1" t="s">
        <v>1311</v>
      </c>
      <c r="BGQ1" s="1" t="s">
        <v>1312</v>
      </c>
      <c r="BGR1" s="1" t="s">
        <v>1313</v>
      </c>
      <c r="BGS1" s="1" t="s">
        <v>1314</v>
      </c>
      <c r="BGT1" s="1" t="s">
        <v>1315</v>
      </c>
      <c r="BGU1" s="1" t="s">
        <v>1316</v>
      </c>
      <c r="BGV1" s="1" t="s">
        <v>1317</v>
      </c>
      <c r="BGW1" s="1" t="s">
        <v>1318</v>
      </c>
      <c r="BGX1" s="1" t="s">
        <v>1319</v>
      </c>
      <c r="BGY1" s="1" t="s">
        <v>1320</v>
      </c>
      <c r="BGZ1" s="1" t="s">
        <v>1321</v>
      </c>
      <c r="BHA1" s="1" t="s">
        <v>1674</v>
      </c>
      <c r="BHB1" s="1" t="s">
        <v>2085</v>
      </c>
      <c r="BHC1" s="1" t="s">
        <v>2385</v>
      </c>
      <c r="BHD1" s="1" t="s">
        <v>2386</v>
      </c>
      <c r="BHE1" s="1" t="s">
        <v>3359</v>
      </c>
      <c r="BHF1" s="1" t="s">
        <v>3360</v>
      </c>
      <c r="BHG1" s="1" t="s">
        <v>3361</v>
      </c>
      <c r="BHH1" s="1" t="s">
        <v>3711</v>
      </c>
      <c r="BHI1" s="1" t="s">
        <v>1322</v>
      </c>
      <c r="BHJ1" s="1" t="s">
        <v>1323</v>
      </c>
      <c r="BHK1" s="1" t="s">
        <v>1324</v>
      </c>
      <c r="BHL1" s="1" t="s">
        <v>1325</v>
      </c>
      <c r="BHM1" s="1" t="s">
        <v>1326</v>
      </c>
      <c r="BHN1" s="1" t="s">
        <v>1327</v>
      </c>
      <c r="BHO1" s="1" t="s">
        <v>1328</v>
      </c>
      <c r="BHP1" s="1" t="s">
        <v>1329</v>
      </c>
      <c r="BHQ1" s="1" t="s">
        <v>1330</v>
      </c>
      <c r="BHR1" s="1" t="s">
        <v>1331</v>
      </c>
      <c r="BHS1" s="1" t="s">
        <v>1332</v>
      </c>
      <c r="BHT1" s="1" t="s">
        <v>1675</v>
      </c>
      <c r="BHU1" s="1" t="s">
        <v>2086</v>
      </c>
      <c r="BHV1" s="1" t="s">
        <v>2387</v>
      </c>
      <c r="BHW1" s="1" t="s">
        <v>2388</v>
      </c>
      <c r="BHX1" s="1" t="s">
        <v>3362</v>
      </c>
      <c r="BHY1" s="1" t="s">
        <v>3363</v>
      </c>
      <c r="BHZ1" s="1" t="s">
        <v>3364</v>
      </c>
      <c r="BIA1" s="1" t="s">
        <v>3712</v>
      </c>
      <c r="BIB1" s="1" t="s">
        <v>1333</v>
      </c>
      <c r="BIC1" s="1" t="s">
        <v>1334</v>
      </c>
      <c r="BID1" s="1" t="s">
        <v>1335</v>
      </c>
      <c r="BIE1" s="1" t="s">
        <v>1336</v>
      </c>
      <c r="BIF1" s="1" t="s">
        <v>1337</v>
      </c>
      <c r="BIG1" s="1" t="s">
        <v>1338</v>
      </c>
      <c r="BIH1" s="1" t="s">
        <v>1339</v>
      </c>
      <c r="BII1" s="1" t="s">
        <v>1340</v>
      </c>
      <c r="BIJ1" s="1" t="s">
        <v>1341</v>
      </c>
      <c r="BIK1" s="1" t="s">
        <v>1342</v>
      </c>
      <c r="BIL1" s="1" t="s">
        <v>1343</v>
      </c>
      <c r="BIM1" s="1" t="s">
        <v>1676</v>
      </c>
      <c r="BIN1" s="1" t="s">
        <v>2087</v>
      </c>
      <c r="BIO1" s="1" t="s">
        <v>2389</v>
      </c>
      <c r="BIP1" s="1" t="s">
        <v>2390</v>
      </c>
      <c r="BIQ1" s="1" t="s">
        <v>3365</v>
      </c>
      <c r="BIR1" s="1" t="s">
        <v>3366</v>
      </c>
      <c r="BIS1" s="1" t="s">
        <v>3367</v>
      </c>
      <c r="BIT1" s="1" t="s">
        <v>3713</v>
      </c>
      <c r="BIU1" s="1" t="s">
        <v>1344</v>
      </c>
      <c r="BIV1" s="1" t="s">
        <v>1345</v>
      </c>
      <c r="BIW1" s="1" t="s">
        <v>1346</v>
      </c>
      <c r="BIX1" s="1" t="s">
        <v>1347</v>
      </c>
      <c r="BIY1" s="1" t="s">
        <v>1348</v>
      </c>
      <c r="BIZ1" s="1" t="s">
        <v>1349</v>
      </c>
      <c r="BJA1" s="1" t="s">
        <v>1350</v>
      </c>
      <c r="BJB1" s="1" t="s">
        <v>1351</v>
      </c>
      <c r="BJC1" s="1" t="s">
        <v>1352</v>
      </c>
      <c r="BJD1" s="1" t="s">
        <v>1353</v>
      </c>
      <c r="BJE1" s="1" t="s">
        <v>1354</v>
      </c>
      <c r="BJF1" s="1" t="s">
        <v>1677</v>
      </c>
      <c r="BJG1" s="1" t="s">
        <v>2088</v>
      </c>
      <c r="BJH1" s="1" t="s">
        <v>2391</v>
      </c>
      <c r="BJI1" s="1" t="s">
        <v>2392</v>
      </c>
      <c r="BJJ1" s="1" t="s">
        <v>3368</v>
      </c>
      <c r="BJK1" s="1" t="s">
        <v>3369</v>
      </c>
      <c r="BJL1" s="1" t="s">
        <v>3370</v>
      </c>
      <c r="BJM1" s="1" t="s">
        <v>3714</v>
      </c>
      <c r="BJN1" s="1" t="s">
        <v>1355</v>
      </c>
      <c r="BJO1" s="1" t="s">
        <v>1356</v>
      </c>
      <c r="BJP1" s="1" t="s">
        <v>1357</v>
      </c>
      <c r="BJQ1" s="1" t="s">
        <v>1358</v>
      </c>
      <c r="BJR1" s="1" t="s">
        <v>1359</v>
      </c>
      <c r="BJS1" s="1" t="s">
        <v>1360</v>
      </c>
      <c r="BJT1" s="1" t="s">
        <v>1361</v>
      </c>
      <c r="BJU1" s="1" t="s">
        <v>1362</v>
      </c>
      <c r="BJV1" s="1" t="s">
        <v>1363</v>
      </c>
      <c r="BJW1" s="1" t="s">
        <v>1364</v>
      </c>
      <c r="BJX1" s="1" t="s">
        <v>1365</v>
      </c>
      <c r="BJY1" s="1" t="s">
        <v>1678</v>
      </c>
      <c r="BJZ1" s="1" t="s">
        <v>2089</v>
      </c>
      <c r="BKA1" s="1" t="s">
        <v>2393</v>
      </c>
      <c r="BKB1" s="1" t="s">
        <v>2394</v>
      </c>
      <c r="BKC1" s="1" t="s">
        <v>3371</v>
      </c>
      <c r="BKD1" s="1" t="s">
        <v>3372</v>
      </c>
      <c r="BKE1" s="1" t="s">
        <v>3373</v>
      </c>
      <c r="BKF1" s="1" t="s">
        <v>3715</v>
      </c>
      <c r="BKG1" s="1" t="s">
        <v>1366</v>
      </c>
      <c r="BKH1" s="1" t="s">
        <v>1367</v>
      </c>
      <c r="BKI1" s="1" t="s">
        <v>1368</v>
      </c>
      <c r="BKJ1" s="1" t="s">
        <v>1369</v>
      </c>
      <c r="BKK1" s="1" t="s">
        <v>1370</v>
      </c>
      <c r="BKL1" s="1" t="s">
        <v>1371</v>
      </c>
      <c r="BKM1" s="1" t="s">
        <v>1372</v>
      </c>
      <c r="BKN1" s="1" t="s">
        <v>1373</v>
      </c>
      <c r="BKO1" s="1" t="s">
        <v>1374</v>
      </c>
      <c r="BKP1" s="1" t="s">
        <v>1375</v>
      </c>
      <c r="BKQ1" s="1" t="s">
        <v>1376</v>
      </c>
      <c r="BKR1" s="1" t="s">
        <v>1679</v>
      </c>
      <c r="BKS1" s="1" t="s">
        <v>2090</v>
      </c>
      <c r="BKT1" s="1" t="s">
        <v>2395</v>
      </c>
      <c r="BKU1" s="1" t="s">
        <v>2396</v>
      </c>
      <c r="BKV1" s="1" t="s">
        <v>3374</v>
      </c>
      <c r="BKW1" s="1" t="s">
        <v>3375</v>
      </c>
      <c r="BKX1" s="1" t="s">
        <v>3376</v>
      </c>
      <c r="BKY1" s="1" t="s">
        <v>3716</v>
      </c>
      <c r="BKZ1" s="1" t="s">
        <v>1377</v>
      </c>
      <c r="BLA1" s="1" t="s">
        <v>1378</v>
      </c>
      <c r="BLB1" s="1" t="s">
        <v>1379</v>
      </c>
      <c r="BLC1" s="1" t="s">
        <v>1380</v>
      </c>
      <c r="BLD1" s="1" t="s">
        <v>1381</v>
      </c>
      <c r="BLE1" s="1" t="s">
        <v>1382</v>
      </c>
      <c r="BLF1" s="1" t="s">
        <v>1383</v>
      </c>
      <c r="BLG1" s="1" t="s">
        <v>1384</v>
      </c>
      <c r="BLH1" s="1" t="s">
        <v>1385</v>
      </c>
      <c r="BLI1" s="1" t="s">
        <v>1386</v>
      </c>
      <c r="BLJ1" s="1" t="s">
        <v>1387</v>
      </c>
      <c r="BLK1" s="1" t="s">
        <v>1680</v>
      </c>
      <c r="BLL1" s="1" t="s">
        <v>2091</v>
      </c>
      <c r="BLM1" s="1" t="s">
        <v>2397</v>
      </c>
      <c r="BLN1" s="1" t="s">
        <v>2398</v>
      </c>
      <c r="BLO1" s="1" t="s">
        <v>3377</v>
      </c>
      <c r="BLP1" s="1" t="s">
        <v>3378</v>
      </c>
      <c r="BLQ1" s="1" t="s">
        <v>3379</v>
      </c>
      <c r="BLR1" s="1" t="s">
        <v>3717</v>
      </c>
      <c r="BLS1" s="1" t="s">
        <v>1388</v>
      </c>
      <c r="BLT1" s="1" t="s">
        <v>1389</v>
      </c>
      <c r="BLU1" s="1" t="s">
        <v>1390</v>
      </c>
      <c r="BLV1" s="1" t="s">
        <v>1391</v>
      </c>
      <c r="BLW1" s="1" t="s">
        <v>1392</v>
      </c>
      <c r="BLX1" s="1" t="s">
        <v>1393</v>
      </c>
      <c r="BLY1" s="1" t="s">
        <v>1394</v>
      </c>
      <c r="BLZ1" s="1" t="s">
        <v>1395</v>
      </c>
      <c r="BMA1" s="1" t="s">
        <v>1396</v>
      </c>
      <c r="BMB1" s="1" t="s">
        <v>1397</v>
      </c>
      <c r="BMC1" s="1" t="s">
        <v>1398</v>
      </c>
      <c r="BMD1" s="1" t="s">
        <v>1681</v>
      </c>
      <c r="BME1" s="1" t="s">
        <v>2092</v>
      </c>
      <c r="BMF1" s="1" t="s">
        <v>2399</v>
      </c>
      <c r="BMG1" s="1" t="s">
        <v>2400</v>
      </c>
      <c r="BMH1" s="1" t="s">
        <v>3380</v>
      </c>
      <c r="BMI1" s="1" t="s">
        <v>3381</v>
      </c>
      <c r="BMJ1" s="1" t="s">
        <v>3382</v>
      </c>
      <c r="BMK1" s="1" t="s">
        <v>3718</v>
      </c>
      <c r="BML1" s="1" t="s">
        <v>2209</v>
      </c>
      <c r="BMM1" s="1" t="s">
        <v>2210</v>
      </c>
      <c r="BMN1" s="1" t="s">
        <v>2211</v>
      </c>
      <c r="BMO1" s="1" t="s">
        <v>2212</v>
      </c>
      <c r="BMP1" s="1" t="s">
        <v>2213</v>
      </c>
      <c r="BMQ1" s="1" t="s">
        <v>2214</v>
      </c>
      <c r="BMR1" s="1" t="s">
        <v>2215</v>
      </c>
      <c r="BMS1" s="1" t="s">
        <v>2216</v>
      </c>
      <c r="BMT1" s="1" t="s">
        <v>2217</v>
      </c>
      <c r="BMU1" s="1" t="s">
        <v>2218</v>
      </c>
      <c r="BMV1" s="1" t="s">
        <v>2219</v>
      </c>
      <c r="BMW1" s="1" t="s">
        <v>2193</v>
      </c>
      <c r="BMX1" s="1" t="s">
        <v>2194</v>
      </c>
      <c r="BMY1" s="1" t="s">
        <v>2401</v>
      </c>
      <c r="BMZ1" s="1" t="s">
        <v>2402</v>
      </c>
      <c r="BNA1" s="1" t="s">
        <v>3383</v>
      </c>
      <c r="BNB1" s="1" t="s">
        <v>3384</v>
      </c>
      <c r="BNC1" s="1" t="s">
        <v>3385</v>
      </c>
      <c r="BND1" s="1" t="s">
        <v>3719</v>
      </c>
      <c r="BNE1" s="1" t="s">
        <v>1399</v>
      </c>
      <c r="BNF1" s="1" t="s">
        <v>1400</v>
      </c>
      <c r="BNG1" s="1" t="s">
        <v>1401</v>
      </c>
      <c r="BNH1" s="1" t="s">
        <v>1402</v>
      </c>
      <c r="BNI1" s="1" t="s">
        <v>1403</v>
      </c>
      <c r="BNJ1" s="1" t="s">
        <v>1404</v>
      </c>
      <c r="BNK1" s="1" t="s">
        <v>1405</v>
      </c>
      <c r="BNL1" s="1" t="s">
        <v>1406</v>
      </c>
      <c r="BNM1" s="1" t="s">
        <v>1407</v>
      </c>
      <c r="BNN1" s="1" t="s">
        <v>1408</v>
      </c>
      <c r="BNO1" s="1" t="s">
        <v>1409</v>
      </c>
      <c r="BNP1" s="1" t="s">
        <v>1682</v>
      </c>
      <c r="BNQ1" s="1" t="s">
        <v>2093</v>
      </c>
      <c r="BNR1" s="1" t="s">
        <v>2403</v>
      </c>
      <c r="BNS1" s="1" t="s">
        <v>2404</v>
      </c>
      <c r="BNT1" s="1" t="s">
        <v>3386</v>
      </c>
      <c r="BNU1" s="1" t="s">
        <v>3387</v>
      </c>
      <c r="BNV1" s="1" t="s">
        <v>3388</v>
      </c>
      <c r="BNW1" s="1" t="s">
        <v>3720</v>
      </c>
      <c r="BNX1" s="1" t="s">
        <v>1410</v>
      </c>
      <c r="BNY1" s="1" t="s">
        <v>1411</v>
      </c>
      <c r="BNZ1" s="1" t="s">
        <v>1412</v>
      </c>
      <c r="BOA1" s="1" t="s">
        <v>1413</v>
      </c>
      <c r="BOB1" s="1" t="s">
        <v>1414</v>
      </c>
      <c r="BOC1" s="1" t="s">
        <v>1415</v>
      </c>
      <c r="BOD1" s="1" t="s">
        <v>1416</v>
      </c>
      <c r="BOE1" s="1" t="s">
        <v>1417</v>
      </c>
      <c r="BOF1" s="1" t="s">
        <v>1418</v>
      </c>
      <c r="BOG1" s="1" t="s">
        <v>1419</v>
      </c>
      <c r="BOH1" s="1" t="s">
        <v>1420</v>
      </c>
      <c r="BOI1" s="1" t="s">
        <v>1683</v>
      </c>
      <c r="BOJ1" s="1" t="s">
        <v>2094</v>
      </c>
      <c r="BOK1" s="1" t="s">
        <v>2405</v>
      </c>
      <c r="BOL1" s="1" t="s">
        <v>2406</v>
      </c>
      <c r="BOM1" s="1" t="s">
        <v>3389</v>
      </c>
      <c r="BON1" s="1" t="s">
        <v>3390</v>
      </c>
      <c r="BOO1" s="1" t="s">
        <v>3391</v>
      </c>
      <c r="BOP1" s="1" t="s">
        <v>3721</v>
      </c>
      <c r="BOQ1" s="1" t="s">
        <v>1421</v>
      </c>
      <c r="BOR1" s="1" t="s">
        <v>1422</v>
      </c>
      <c r="BOS1" s="1" t="s">
        <v>1423</v>
      </c>
      <c r="BOT1" s="1" t="s">
        <v>1424</v>
      </c>
      <c r="BOU1" s="1" t="s">
        <v>1425</v>
      </c>
      <c r="BOV1" s="1" t="s">
        <v>1426</v>
      </c>
      <c r="BOW1" s="1" t="s">
        <v>1427</v>
      </c>
      <c r="BOX1" s="1" t="s">
        <v>1428</v>
      </c>
      <c r="BOY1" s="1" t="s">
        <v>1429</v>
      </c>
      <c r="BOZ1" s="1" t="s">
        <v>1430</v>
      </c>
      <c r="BPA1" s="1" t="s">
        <v>1431</v>
      </c>
      <c r="BPB1" s="1" t="s">
        <v>1684</v>
      </c>
      <c r="BPC1" s="1" t="s">
        <v>2095</v>
      </c>
      <c r="BPD1" s="1" t="s">
        <v>2407</v>
      </c>
      <c r="BPE1" s="1" t="s">
        <v>2408</v>
      </c>
      <c r="BPF1" s="1" t="s">
        <v>3392</v>
      </c>
      <c r="BPG1" s="1" t="s">
        <v>3393</v>
      </c>
      <c r="BPH1" s="1" t="s">
        <v>3394</v>
      </c>
      <c r="BPI1" s="1" t="s">
        <v>3722</v>
      </c>
      <c r="BPJ1" s="1" t="s">
        <v>1432</v>
      </c>
      <c r="BPK1" s="1" t="s">
        <v>1433</v>
      </c>
      <c r="BPL1" s="1" t="s">
        <v>1434</v>
      </c>
      <c r="BPM1" s="1" t="s">
        <v>1435</v>
      </c>
      <c r="BPN1" s="1" t="s">
        <v>1436</v>
      </c>
      <c r="BPO1" s="1" t="s">
        <v>1437</v>
      </c>
      <c r="BPP1" s="1" t="s">
        <v>1438</v>
      </c>
      <c r="BPQ1" s="1" t="s">
        <v>1439</v>
      </c>
      <c r="BPR1" s="1" t="s">
        <v>1440</v>
      </c>
      <c r="BPS1" s="1" t="s">
        <v>1441</v>
      </c>
      <c r="BPT1" s="1" t="s">
        <v>1442</v>
      </c>
      <c r="BPU1" s="1" t="s">
        <v>1685</v>
      </c>
      <c r="BPV1" s="1" t="s">
        <v>2096</v>
      </c>
      <c r="BPW1" s="1" t="s">
        <v>2409</v>
      </c>
      <c r="BPX1" s="1" t="s">
        <v>2410</v>
      </c>
      <c r="BPY1" s="1" t="s">
        <v>3395</v>
      </c>
      <c r="BPZ1" s="1" t="s">
        <v>3396</v>
      </c>
      <c r="BQA1" s="1" t="s">
        <v>3397</v>
      </c>
      <c r="BQB1" s="1" t="s">
        <v>3723</v>
      </c>
      <c r="BQC1" s="1" t="s">
        <v>1443</v>
      </c>
      <c r="BQD1" s="1" t="s">
        <v>1444</v>
      </c>
      <c r="BQE1" s="1" t="s">
        <v>1445</v>
      </c>
      <c r="BQF1" s="1" t="s">
        <v>1446</v>
      </c>
      <c r="BQG1" s="1" t="s">
        <v>1447</v>
      </c>
      <c r="BQH1" s="1" t="s">
        <v>1448</v>
      </c>
      <c r="BQI1" s="1" t="s">
        <v>1449</v>
      </c>
      <c r="BQJ1" s="1" t="s">
        <v>1450</v>
      </c>
      <c r="BQK1" s="1" t="s">
        <v>1451</v>
      </c>
      <c r="BQL1" s="1" t="s">
        <v>1452</v>
      </c>
      <c r="BQM1" s="1" t="s">
        <v>1453</v>
      </c>
      <c r="BQN1" s="1" t="s">
        <v>1686</v>
      </c>
      <c r="BQO1" s="1" t="s">
        <v>2097</v>
      </c>
      <c r="BQP1" s="1" t="s">
        <v>2411</v>
      </c>
      <c r="BQQ1" s="1" t="s">
        <v>2412</v>
      </c>
      <c r="BQR1" s="1" t="s">
        <v>3398</v>
      </c>
      <c r="BQS1" s="1" t="s">
        <v>3399</v>
      </c>
      <c r="BQT1" s="1" t="s">
        <v>3400</v>
      </c>
      <c r="BQU1" s="1" t="s">
        <v>3724</v>
      </c>
      <c r="BQV1" s="1" t="s">
        <v>2500</v>
      </c>
      <c r="BQW1" s="1" t="s">
        <v>2501</v>
      </c>
      <c r="BQX1" s="1" t="s">
        <v>2502</v>
      </c>
      <c r="BQY1" s="1" t="s">
        <v>2503</v>
      </c>
      <c r="BQZ1" s="1" t="s">
        <v>2504</v>
      </c>
      <c r="BRA1" s="1" t="s">
        <v>2505</v>
      </c>
      <c r="BRB1" s="1" t="s">
        <v>2506</v>
      </c>
      <c r="BRC1" s="1" t="s">
        <v>2507</v>
      </c>
      <c r="BRD1" s="1" t="s">
        <v>2508</v>
      </c>
      <c r="BRE1" s="1" t="s">
        <v>2509</v>
      </c>
      <c r="BRF1" s="1" t="s">
        <v>2510</v>
      </c>
      <c r="BRG1" s="1" t="s">
        <v>2511</v>
      </c>
      <c r="BRH1" s="1" t="s">
        <v>2512</v>
      </c>
      <c r="BRI1" s="1" t="s">
        <v>2513</v>
      </c>
      <c r="BRJ1" s="1" t="s">
        <v>2514</v>
      </c>
      <c r="BRK1" s="1" t="s">
        <v>3401</v>
      </c>
      <c r="BRL1" s="1" t="s">
        <v>3402</v>
      </c>
      <c r="BRM1" s="1" t="s">
        <v>3403</v>
      </c>
      <c r="BRN1" s="1" t="s">
        <v>3725</v>
      </c>
      <c r="BRO1" s="1" t="s">
        <v>1795</v>
      </c>
      <c r="BRP1" s="1" t="s">
        <v>1796</v>
      </c>
      <c r="BRQ1" s="1" t="s">
        <v>1797</v>
      </c>
      <c r="BRR1" s="1" t="s">
        <v>1798</v>
      </c>
      <c r="BRS1" s="1" t="s">
        <v>1799</v>
      </c>
      <c r="BRT1" s="1" t="s">
        <v>1800</v>
      </c>
      <c r="BRU1" s="1" t="s">
        <v>1801</v>
      </c>
      <c r="BRV1" s="1" t="s">
        <v>1802</v>
      </c>
      <c r="BRW1" s="1" t="s">
        <v>1803</v>
      </c>
      <c r="BRX1" s="1" t="s">
        <v>1804</v>
      </c>
      <c r="BRY1" s="1" t="s">
        <v>1805</v>
      </c>
      <c r="BRZ1" s="1" t="s">
        <v>1806</v>
      </c>
      <c r="BSA1" s="1" t="s">
        <v>2099</v>
      </c>
      <c r="BSB1" s="1" t="s">
        <v>2415</v>
      </c>
      <c r="BSC1" s="1" t="s">
        <v>2416</v>
      </c>
      <c r="BSD1" s="1" t="s">
        <v>3404</v>
      </c>
      <c r="BSE1" s="1" t="s">
        <v>3405</v>
      </c>
      <c r="BSF1" s="1" t="s">
        <v>3406</v>
      </c>
      <c r="BSG1" s="1" t="s">
        <v>3726</v>
      </c>
      <c r="BSH1" s="1" t="s">
        <v>1807</v>
      </c>
      <c r="BSI1" s="1" t="s">
        <v>1808</v>
      </c>
      <c r="BSJ1" s="1" t="s">
        <v>1809</v>
      </c>
      <c r="BSK1" s="1" t="s">
        <v>1810</v>
      </c>
      <c r="BSL1" s="1" t="s">
        <v>1811</v>
      </c>
      <c r="BSM1" s="1" t="s">
        <v>1812</v>
      </c>
      <c r="BSN1" s="1" t="s">
        <v>1813</v>
      </c>
      <c r="BSO1" s="1" t="s">
        <v>1814</v>
      </c>
      <c r="BSP1" s="1" t="s">
        <v>1815</v>
      </c>
      <c r="BSQ1" s="1" t="s">
        <v>1816</v>
      </c>
      <c r="BSR1" s="1" t="s">
        <v>1817</v>
      </c>
      <c r="BSS1" s="1" t="s">
        <v>1818</v>
      </c>
      <c r="BST1" s="1" t="s">
        <v>2100</v>
      </c>
      <c r="BSU1" s="1" t="s">
        <v>2417</v>
      </c>
      <c r="BSV1" s="1" t="s">
        <v>2418</v>
      </c>
      <c r="BSW1" s="1" t="s">
        <v>3407</v>
      </c>
      <c r="BSX1" s="1" t="s">
        <v>3408</v>
      </c>
      <c r="BSY1" s="1" t="s">
        <v>3409</v>
      </c>
      <c r="BSZ1" s="1" t="s">
        <v>3727</v>
      </c>
      <c r="BTA1" s="1" t="s">
        <v>1764</v>
      </c>
      <c r="BTB1" s="1" t="s">
        <v>1765</v>
      </c>
      <c r="BTC1" s="1" t="s">
        <v>1766</v>
      </c>
      <c r="BTD1" s="1" t="s">
        <v>1767</v>
      </c>
      <c r="BTE1" s="1" t="s">
        <v>1768</v>
      </c>
      <c r="BTF1" s="1" t="s">
        <v>1769</v>
      </c>
      <c r="BTG1" s="1" t="s">
        <v>1770</v>
      </c>
      <c r="BTH1" s="1" t="s">
        <v>1771</v>
      </c>
      <c r="BTI1" s="1" t="s">
        <v>1772</v>
      </c>
      <c r="BTJ1" s="1" t="s">
        <v>1773</v>
      </c>
      <c r="BTK1" s="1" t="s">
        <v>1774</v>
      </c>
      <c r="BTL1" s="1" t="s">
        <v>1775</v>
      </c>
      <c r="BTM1" s="1" t="s">
        <v>2098</v>
      </c>
      <c r="BTN1" s="1" t="s">
        <v>2413</v>
      </c>
      <c r="BTO1" s="1" t="s">
        <v>2414</v>
      </c>
      <c r="BTP1" s="1" t="s">
        <v>3410</v>
      </c>
      <c r="BTQ1" s="1" t="s">
        <v>3411</v>
      </c>
      <c r="BTR1" s="1" t="s">
        <v>3412</v>
      </c>
      <c r="BTS1" s="1" t="s">
        <v>3728</v>
      </c>
      <c r="BTT1" s="1" t="s">
        <v>1819</v>
      </c>
      <c r="BTU1" s="1" t="s">
        <v>1820</v>
      </c>
      <c r="BTV1" s="1" t="s">
        <v>1821</v>
      </c>
      <c r="BTW1" s="1" t="s">
        <v>1822</v>
      </c>
      <c r="BTX1" s="1" t="s">
        <v>1823</v>
      </c>
      <c r="BTY1" s="1" t="s">
        <v>1824</v>
      </c>
      <c r="BTZ1" s="1" t="s">
        <v>1825</v>
      </c>
      <c r="BUA1" s="1" t="s">
        <v>1826</v>
      </c>
      <c r="BUB1" s="1" t="s">
        <v>1827</v>
      </c>
      <c r="BUC1" s="1" t="s">
        <v>1828</v>
      </c>
      <c r="BUD1" s="1" t="s">
        <v>1829</v>
      </c>
      <c r="BUE1" s="1" t="s">
        <v>1830</v>
      </c>
      <c r="BUF1" s="1" t="s">
        <v>2101</v>
      </c>
      <c r="BUG1" s="1" t="s">
        <v>2419</v>
      </c>
      <c r="BUH1" s="1" t="s">
        <v>2420</v>
      </c>
      <c r="BUI1" s="1" t="s">
        <v>3413</v>
      </c>
      <c r="BUJ1" s="1" t="s">
        <v>3414</v>
      </c>
      <c r="BUK1" s="1" t="s">
        <v>3415</v>
      </c>
      <c r="BUL1" s="1" t="s">
        <v>3729</v>
      </c>
      <c r="BUM1" s="1" t="s">
        <v>1831</v>
      </c>
      <c r="BUN1" s="1" t="s">
        <v>1832</v>
      </c>
      <c r="BUO1" s="1" t="s">
        <v>1833</v>
      </c>
      <c r="BUP1" s="1" t="s">
        <v>1834</v>
      </c>
      <c r="BUQ1" s="1" t="s">
        <v>1835</v>
      </c>
      <c r="BUR1" s="1" t="s">
        <v>1836</v>
      </c>
      <c r="BUS1" s="1" t="s">
        <v>1837</v>
      </c>
      <c r="BUT1" s="1" t="s">
        <v>1838</v>
      </c>
      <c r="BUU1" s="1" t="s">
        <v>1839</v>
      </c>
      <c r="BUV1" s="1" t="s">
        <v>1840</v>
      </c>
      <c r="BUW1" s="1" t="s">
        <v>1841</v>
      </c>
      <c r="BUX1" s="1" t="s">
        <v>1842</v>
      </c>
      <c r="BUY1" s="1" t="s">
        <v>2102</v>
      </c>
      <c r="BUZ1" s="1" t="s">
        <v>2421</v>
      </c>
      <c r="BVA1" s="1" t="s">
        <v>2422</v>
      </c>
      <c r="BVB1" s="1" t="s">
        <v>3416</v>
      </c>
      <c r="BVC1" s="1" t="s">
        <v>3417</v>
      </c>
      <c r="BVD1" s="1" t="s">
        <v>3418</v>
      </c>
      <c r="BVE1" s="1" t="s">
        <v>3730</v>
      </c>
      <c r="BVF1" s="1" t="s">
        <v>1843</v>
      </c>
      <c r="BVG1" s="1" t="s">
        <v>1844</v>
      </c>
      <c r="BVH1" s="1" t="s">
        <v>1845</v>
      </c>
      <c r="BVI1" s="1" t="s">
        <v>1846</v>
      </c>
      <c r="BVJ1" s="1" t="s">
        <v>1847</v>
      </c>
      <c r="BVK1" s="1" t="s">
        <v>1848</v>
      </c>
      <c r="BVL1" s="1" t="s">
        <v>1849</v>
      </c>
      <c r="BVM1" s="1" t="s">
        <v>1850</v>
      </c>
      <c r="BVN1" s="1" t="s">
        <v>1851</v>
      </c>
      <c r="BVO1" s="1" t="s">
        <v>1852</v>
      </c>
      <c r="BVP1" s="1" t="s">
        <v>1853</v>
      </c>
      <c r="BVQ1" s="1" t="s">
        <v>1854</v>
      </c>
      <c r="BVR1" s="1" t="s">
        <v>2103</v>
      </c>
      <c r="BVS1" s="1" t="s">
        <v>2423</v>
      </c>
      <c r="BVT1" s="1" t="s">
        <v>2424</v>
      </c>
      <c r="BVU1" s="1" t="s">
        <v>3419</v>
      </c>
      <c r="BVV1" s="1" t="s">
        <v>3420</v>
      </c>
      <c r="BVW1" s="1" t="s">
        <v>3421</v>
      </c>
      <c r="BVX1" s="1" t="s">
        <v>3731</v>
      </c>
      <c r="BVY1" s="1" t="s">
        <v>1855</v>
      </c>
      <c r="BVZ1" s="1" t="s">
        <v>1856</v>
      </c>
      <c r="BWA1" s="1" t="s">
        <v>1857</v>
      </c>
      <c r="BWB1" s="1" t="s">
        <v>1858</v>
      </c>
      <c r="BWC1" s="1" t="s">
        <v>1859</v>
      </c>
      <c r="BWD1" s="1" t="s">
        <v>1860</v>
      </c>
      <c r="BWE1" s="1" t="s">
        <v>1861</v>
      </c>
      <c r="BWF1" s="1" t="s">
        <v>1862</v>
      </c>
      <c r="BWG1" s="1" t="s">
        <v>1863</v>
      </c>
      <c r="BWH1" s="1" t="s">
        <v>1864</v>
      </c>
      <c r="BWI1" s="1" t="s">
        <v>1865</v>
      </c>
      <c r="BWJ1" s="1" t="s">
        <v>1866</v>
      </c>
      <c r="BWK1" s="1" t="s">
        <v>2104</v>
      </c>
      <c r="BWL1" s="1" t="s">
        <v>2425</v>
      </c>
      <c r="BWM1" s="1" t="s">
        <v>2426</v>
      </c>
      <c r="BWN1" s="1" t="s">
        <v>3422</v>
      </c>
      <c r="BWO1" s="1" t="s">
        <v>3423</v>
      </c>
      <c r="BWP1" s="1" t="s">
        <v>3424</v>
      </c>
      <c r="BWQ1" s="1" t="s">
        <v>3732</v>
      </c>
      <c r="BWR1" s="1" t="s">
        <v>1867</v>
      </c>
      <c r="BWS1" s="1" t="s">
        <v>1868</v>
      </c>
      <c r="BWT1" s="1" t="s">
        <v>1869</v>
      </c>
      <c r="BWU1" s="1" t="s">
        <v>1870</v>
      </c>
      <c r="BWV1" s="1" t="s">
        <v>1871</v>
      </c>
      <c r="BWW1" s="1" t="s">
        <v>1872</v>
      </c>
      <c r="BWX1" s="1" t="s">
        <v>1873</v>
      </c>
      <c r="BWY1" s="1" t="s">
        <v>1874</v>
      </c>
      <c r="BWZ1" s="1" t="s">
        <v>1875</v>
      </c>
      <c r="BXA1" s="1" t="s">
        <v>1876</v>
      </c>
      <c r="BXB1" s="1" t="s">
        <v>1877</v>
      </c>
      <c r="BXC1" s="1" t="s">
        <v>1878</v>
      </c>
      <c r="BXD1" s="1" t="s">
        <v>2105</v>
      </c>
      <c r="BXE1" s="1" t="s">
        <v>2427</v>
      </c>
      <c r="BXF1" s="1" t="s">
        <v>2428</v>
      </c>
      <c r="BXG1" s="1" t="s">
        <v>3425</v>
      </c>
      <c r="BXH1" s="1" t="s">
        <v>3426</v>
      </c>
      <c r="BXI1" s="1" t="s">
        <v>3427</v>
      </c>
      <c r="BXJ1" s="1" t="s">
        <v>3733</v>
      </c>
      <c r="BXK1" s="1" t="s">
        <v>1879</v>
      </c>
      <c r="BXL1" s="1" t="s">
        <v>1880</v>
      </c>
      <c r="BXM1" s="1" t="s">
        <v>1881</v>
      </c>
      <c r="BXN1" s="1" t="s">
        <v>1882</v>
      </c>
      <c r="BXO1" s="1" t="s">
        <v>1883</v>
      </c>
      <c r="BXP1" s="1" t="s">
        <v>1884</v>
      </c>
      <c r="BXQ1" s="1" t="s">
        <v>1885</v>
      </c>
      <c r="BXR1" s="1" t="s">
        <v>1886</v>
      </c>
      <c r="BXS1" s="1" t="s">
        <v>1887</v>
      </c>
      <c r="BXT1" s="1" t="s">
        <v>1888</v>
      </c>
      <c r="BXU1" s="1" t="s">
        <v>1889</v>
      </c>
      <c r="BXV1" s="1" t="s">
        <v>1890</v>
      </c>
      <c r="BXW1" s="1" t="s">
        <v>2106</v>
      </c>
      <c r="BXX1" s="1" t="s">
        <v>2429</v>
      </c>
      <c r="BXY1" s="1" t="s">
        <v>2430</v>
      </c>
      <c r="BXZ1" s="1" t="s">
        <v>3428</v>
      </c>
      <c r="BYA1" s="1" t="s">
        <v>3429</v>
      </c>
      <c r="BYB1" s="1" t="s">
        <v>3430</v>
      </c>
      <c r="BYC1" s="1" t="s">
        <v>3734</v>
      </c>
      <c r="BYD1" s="1" t="s">
        <v>1891</v>
      </c>
      <c r="BYE1" s="1" t="s">
        <v>1892</v>
      </c>
      <c r="BYF1" s="1" t="s">
        <v>1893</v>
      </c>
      <c r="BYG1" s="1" t="s">
        <v>1894</v>
      </c>
      <c r="BYH1" s="1" t="s">
        <v>1895</v>
      </c>
      <c r="BYI1" s="1" t="s">
        <v>1896</v>
      </c>
      <c r="BYJ1" s="1" t="s">
        <v>1897</v>
      </c>
      <c r="BYK1" s="1" t="s">
        <v>1898</v>
      </c>
      <c r="BYL1" s="1" t="s">
        <v>1899</v>
      </c>
      <c r="BYM1" s="1" t="s">
        <v>1900</v>
      </c>
      <c r="BYN1" s="1" t="s">
        <v>1901</v>
      </c>
      <c r="BYO1" s="1" t="s">
        <v>1902</v>
      </c>
      <c r="BYP1" s="1" t="s">
        <v>2107</v>
      </c>
      <c r="BYQ1" s="1" t="s">
        <v>2431</v>
      </c>
      <c r="BYR1" s="1" t="s">
        <v>2432</v>
      </c>
      <c r="BYS1" s="1" t="s">
        <v>3431</v>
      </c>
      <c r="BYT1" s="1" t="s">
        <v>3432</v>
      </c>
      <c r="BYU1" s="1" t="s">
        <v>3433</v>
      </c>
      <c r="BYV1" s="1" t="s">
        <v>3735</v>
      </c>
      <c r="BYW1" s="1" t="s">
        <v>1903</v>
      </c>
      <c r="BYX1" s="1" t="s">
        <v>1904</v>
      </c>
      <c r="BYY1" s="1" t="s">
        <v>1905</v>
      </c>
      <c r="BYZ1" s="1" t="s">
        <v>1906</v>
      </c>
      <c r="BZA1" s="1" t="s">
        <v>1907</v>
      </c>
      <c r="BZB1" s="1" t="s">
        <v>1908</v>
      </c>
      <c r="BZC1" s="1" t="s">
        <v>1909</v>
      </c>
      <c r="BZD1" s="1" t="s">
        <v>1910</v>
      </c>
      <c r="BZE1" s="1" t="s">
        <v>1911</v>
      </c>
      <c r="BZF1" s="1" t="s">
        <v>1912</v>
      </c>
      <c r="BZG1" s="1" t="s">
        <v>1913</v>
      </c>
      <c r="BZH1" s="1" t="s">
        <v>1914</v>
      </c>
      <c r="BZI1" s="1" t="s">
        <v>2108</v>
      </c>
      <c r="BZJ1" s="1" t="s">
        <v>2433</v>
      </c>
      <c r="BZK1" s="1" t="s">
        <v>2434</v>
      </c>
      <c r="BZL1" s="1" t="s">
        <v>3434</v>
      </c>
      <c r="BZM1" s="1" t="s">
        <v>3435</v>
      </c>
      <c r="BZN1" s="1" t="s">
        <v>3436</v>
      </c>
      <c r="BZO1" s="1" t="s">
        <v>3736</v>
      </c>
      <c r="BZP1" s="1" t="s">
        <v>1915</v>
      </c>
      <c r="BZQ1" s="1" t="s">
        <v>1916</v>
      </c>
      <c r="BZR1" s="1" t="s">
        <v>1917</v>
      </c>
      <c r="BZS1" s="1" t="s">
        <v>1918</v>
      </c>
      <c r="BZT1" s="1" t="s">
        <v>1919</v>
      </c>
      <c r="BZU1" s="1" t="s">
        <v>1920</v>
      </c>
      <c r="BZV1" s="1" t="s">
        <v>1921</v>
      </c>
      <c r="BZW1" s="1" t="s">
        <v>1922</v>
      </c>
      <c r="BZX1" s="1" t="s">
        <v>1923</v>
      </c>
      <c r="BZY1" s="1" t="s">
        <v>1924</v>
      </c>
      <c r="BZZ1" s="1" t="s">
        <v>1925</v>
      </c>
      <c r="CAA1" s="1" t="s">
        <v>1926</v>
      </c>
      <c r="CAB1" s="1" t="s">
        <v>2109</v>
      </c>
      <c r="CAC1" s="1" t="s">
        <v>2435</v>
      </c>
      <c r="CAD1" s="1" t="s">
        <v>2436</v>
      </c>
      <c r="CAE1" s="1" t="s">
        <v>3437</v>
      </c>
      <c r="CAF1" s="1" t="s">
        <v>3438</v>
      </c>
      <c r="CAG1" s="1" t="s">
        <v>3439</v>
      </c>
      <c r="CAH1" s="1" t="s">
        <v>3737</v>
      </c>
      <c r="CAI1" s="1" t="s">
        <v>1927</v>
      </c>
      <c r="CAJ1" s="1" t="s">
        <v>1928</v>
      </c>
      <c r="CAK1" s="1" t="s">
        <v>1929</v>
      </c>
      <c r="CAL1" s="1" t="s">
        <v>1930</v>
      </c>
      <c r="CAM1" s="1" t="s">
        <v>1931</v>
      </c>
      <c r="CAN1" s="1" t="s">
        <v>1932</v>
      </c>
      <c r="CAO1" s="1" t="s">
        <v>1933</v>
      </c>
      <c r="CAP1" s="1" t="s">
        <v>1934</v>
      </c>
      <c r="CAQ1" s="1" t="s">
        <v>1935</v>
      </c>
      <c r="CAR1" s="1" t="s">
        <v>1936</v>
      </c>
      <c r="CAS1" s="1" t="s">
        <v>1937</v>
      </c>
      <c r="CAT1" s="1" t="s">
        <v>1938</v>
      </c>
      <c r="CAU1" s="1" t="s">
        <v>2110</v>
      </c>
      <c r="CAV1" s="1" t="s">
        <v>2437</v>
      </c>
      <c r="CAW1" s="1" t="s">
        <v>2438</v>
      </c>
      <c r="CAX1" s="1" t="s">
        <v>3440</v>
      </c>
      <c r="CAY1" s="1" t="s">
        <v>3441</v>
      </c>
      <c r="CAZ1" s="1" t="s">
        <v>3442</v>
      </c>
      <c r="CBA1" s="1" t="s">
        <v>3738</v>
      </c>
      <c r="CBB1" s="1" t="s">
        <v>1939</v>
      </c>
      <c r="CBC1" s="1" t="s">
        <v>1940</v>
      </c>
      <c r="CBD1" s="1" t="s">
        <v>1941</v>
      </c>
      <c r="CBE1" s="1" t="s">
        <v>1942</v>
      </c>
      <c r="CBF1" s="1" t="s">
        <v>1943</v>
      </c>
      <c r="CBG1" s="1" t="s">
        <v>1944</v>
      </c>
      <c r="CBH1" s="1" t="s">
        <v>1945</v>
      </c>
      <c r="CBI1" s="1" t="s">
        <v>1946</v>
      </c>
      <c r="CBJ1" s="1" t="s">
        <v>1947</v>
      </c>
      <c r="CBK1" s="1" t="s">
        <v>1948</v>
      </c>
      <c r="CBL1" s="1" t="s">
        <v>1949</v>
      </c>
      <c r="CBM1" s="1" t="s">
        <v>1950</v>
      </c>
      <c r="CBN1" s="1" t="s">
        <v>2111</v>
      </c>
      <c r="CBO1" s="1" t="s">
        <v>2439</v>
      </c>
      <c r="CBP1" s="1" t="s">
        <v>2440</v>
      </c>
      <c r="CBQ1" s="1" t="s">
        <v>3443</v>
      </c>
      <c r="CBR1" s="1" t="s">
        <v>3444</v>
      </c>
      <c r="CBS1" s="1" t="s">
        <v>3445</v>
      </c>
      <c r="CBT1" s="1" t="s">
        <v>3739</v>
      </c>
      <c r="CBU1" s="1" t="s">
        <v>1951</v>
      </c>
      <c r="CBV1" s="1" t="s">
        <v>1952</v>
      </c>
      <c r="CBW1" s="1" t="s">
        <v>1953</v>
      </c>
      <c r="CBX1" s="1" t="s">
        <v>1954</v>
      </c>
      <c r="CBY1" s="1" t="s">
        <v>1955</v>
      </c>
      <c r="CBZ1" s="1" t="s">
        <v>1956</v>
      </c>
      <c r="CCA1" s="1" t="s">
        <v>1957</v>
      </c>
      <c r="CCB1" s="1" t="s">
        <v>1958</v>
      </c>
      <c r="CCC1" s="1" t="s">
        <v>1959</v>
      </c>
      <c r="CCD1" s="1" t="s">
        <v>1960</v>
      </c>
      <c r="CCE1" s="1" t="s">
        <v>1961</v>
      </c>
      <c r="CCF1" s="1" t="s">
        <v>1962</v>
      </c>
      <c r="CCG1" s="1" t="s">
        <v>2112</v>
      </c>
      <c r="CCH1" s="1" t="s">
        <v>2441</v>
      </c>
      <c r="CCI1" s="1" t="s">
        <v>2442</v>
      </c>
      <c r="CCJ1" s="1" t="s">
        <v>3446</v>
      </c>
      <c r="CCK1" s="1" t="s">
        <v>3447</v>
      </c>
      <c r="CCL1" s="1" t="s">
        <v>3448</v>
      </c>
      <c r="CCM1" s="1" t="s">
        <v>3740</v>
      </c>
      <c r="CCN1" s="1" t="s">
        <v>1963</v>
      </c>
      <c r="CCO1" s="1" t="s">
        <v>1964</v>
      </c>
      <c r="CCP1" s="1" t="s">
        <v>1965</v>
      </c>
      <c r="CCQ1" s="1" t="s">
        <v>1966</v>
      </c>
      <c r="CCR1" s="1" t="s">
        <v>1967</v>
      </c>
      <c r="CCS1" s="1" t="s">
        <v>1968</v>
      </c>
      <c r="CCT1" s="1" t="s">
        <v>1969</v>
      </c>
      <c r="CCU1" s="1" t="s">
        <v>1970</v>
      </c>
      <c r="CCV1" s="1" t="s">
        <v>1971</v>
      </c>
      <c r="CCW1" s="1" t="s">
        <v>1972</v>
      </c>
      <c r="CCX1" s="1" t="s">
        <v>1973</v>
      </c>
      <c r="CCY1" s="1" t="s">
        <v>1974</v>
      </c>
      <c r="CCZ1" s="1" t="s">
        <v>2113</v>
      </c>
      <c r="CDA1" s="1" t="s">
        <v>2443</v>
      </c>
      <c r="CDB1" s="1" t="s">
        <v>2444</v>
      </c>
      <c r="CDC1" s="1" t="s">
        <v>3449</v>
      </c>
      <c r="CDD1" s="1" t="s">
        <v>3450</v>
      </c>
      <c r="CDE1" s="1" t="s">
        <v>3451</v>
      </c>
      <c r="CDF1" s="1" t="s">
        <v>3741</v>
      </c>
      <c r="CDG1" s="1" t="s">
        <v>1975</v>
      </c>
      <c r="CDH1" s="1" t="s">
        <v>1976</v>
      </c>
      <c r="CDI1" s="1" t="s">
        <v>1977</v>
      </c>
      <c r="CDJ1" s="1" t="s">
        <v>1978</v>
      </c>
      <c r="CDK1" s="1" t="s">
        <v>1979</v>
      </c>
      <c r="CDL1" s="1" t="s">
        <v>1980</v>
      </c>
      <c r="CDM1" s="1" t="s">
        <v>1981</v>
      </c>
      <c r="CDN1" s="1" t="s">
        <v>1982</v>
      </c>
      <c r="CDO1" s="1" t="s">
        <v>1983</v>
      </c>
      <c r="CDP1" s="1" t="s">
        <v>1984</v>
      </c>
      <c r="CDQ1" s="1" t="s">
        <v>1985</v>
      </c>
      <c r="CDR1" s="1" t="s">
        <v>1986</v>
      </c>
      <c r="CDS1" s="1" t="s">
        <v>2114</v>
      </c>
      <c r="CDT1" s="1" t="s">
        <v>2445</v>
      </c>
      <c r="CDU1" s="1" t="s">
        <v>2446</v>
      </c>
      <c r="CDV1" s="1" t="s">
        <v>3452</v>
      </c>
      <c r="CDW1" s="1" t="s">
        <v>3453</v>
      </c>
      <c r="CDX1" s="1" t="s">
        <v>3454</v>
      </c>
      <c r="CDY1" s="1" t="s">
        <v>3742</v>
      </c>
      <c r="CDZ1" s="1" t="s">
        <v>1987</v>
      </c>
      <c r="CEA1" s="1" t="s">
        <v>1988</v>
      </c>
      <c r="CEB1" s="1" t="s">
        <v>1989</v>
      </c>
      <c r="CEC1" s="1" t="s">
        <v>1990</v>
      </c>
      <c r="CED1" s="1" t="s">
        <v>1991</v>
      </c>
      <c r="CEE1" s="1" t="s">
        <v>1992</v>
      </c>
      <c r="CEF1" s="1" t="s">
        <v>1993</v>
      </c>
      <c r="CEG1" s="1" t="s">
        <v>1994</v>
      </c>
      <c r="CEH1" s="1" t="s">
        <v>1995</v>
      </c>
      <c r="CEI1" s="1" t="s">
        <v>1996</v>
      </c>
      <c r="CEJ1" s="1" t="s">
        <v>1997</v>
      </c>
      <c r="CEK1" s="1" t="s">
        <v>1998</v>
      </c>
      <c r="CEL1" s="1" t="s">
        <v>2115</v>
      </c>
      <c r="CEM1" s="1" t="s">
        <v>2447</v>
      </c>
      <c r="CEN1" s="1" t="s">
        <v>2448</v>
      </c>
      <c r="CEO1" s="1" t="s">
        <v>3455</v>
      </c>
      <c r="CEP1" s="1" t="s">
        <v>3456</v>
      </c>
      <c r="CEQ1" s="1" t="s">
        <v>3457</v>
      </c>
      <c r="CER1" s="1" t="s">
        <v>3743</v>
      </c>
      <c r="CES1" s="1" t="s">
        <v>1750</v>
      </c>
      <c r="CET1" s="1" t="s">
        <v>1751</v>
      </c>
      <c r="CEU1" s="1" t="s">
        <v>1752</v>
      </c>
      <c r="CEV1" s="1" t="s">
        <v>1753</v>
      </c>
      <c r="CEW1" s="1" t="s">
        <v>1754</v>
      </c>
      <c r="CEX1" s="1" t="s">
        <v>1755</v>
      </c>
      <c r="CEY1" s="1" t="s">
        <v>1756</v>
      </c>
      <c r="CEZ1" s="1" t="s">
        <v>1757</v>
      </c>
      <c r="CFA1" s="1" t="s">
        <v>1758</v>
      </c>
      <c r="CFB1" s="1" t="s">
        <v>1759</v>
      </c>
      <c r="CFC1" s="1" t="s">
        <v>1760</v>
      </c>
      <c r="CFD1" s="1" t="s">
        <v>1761</v>
      </c>
      <c r="CFE1" s="1" t="s">
        <v>2116</v>
      </c>
      <c r="CFF1" s="1" t="s">
        <v>2449</v>
      </c>
      <c r="CFG1" s="1" t="s">
        <v>2450</v>
      </c>
      <c r="CFH1" s="1" t="s">
        <v>3458</v>
      </c>
      <c r="CFI1" s="1" t="s">
        <v>3459</v>
      </c>
      <c r="CFJ1" s="1" t="s">
        <v>3460</v>
      </c>
      <c r="CFK1" s="1" t="s">
        <v>3744</v>
      </c>
      <c r="CFL1" s="1" t="s">
        <v>1454</v>
      </c>
      <c r="CFM1" s="1" t="s">
        <v>1455</v>
      </c>
      <c r="CFN1" s="1" t="s">
        <v>1456</v>
      </c>
      <c r="CFO1" s="1" t="s">
        <v>1457</v>
      </c>
      <c r="CFP1" s="1" t="s">
        <v>1458</v>
      </c>
      <c r="CFQ1" s="1" t="s">
        <v>1459</v>
      </c>
      <c r="CFR1" s="1" t="s">
        <v>1460</v>
      </c>
      <c r="CFS1" s="1" t="s">
        <v>1461</v>
      </c>
      <c r="CFT1" s="1" t="s">
        <v>1462</v>
      </c>
      <c r="CFU1" s="1" t="s">
        <v>1463</v>
      </c>
      <c r="CFV1" s="1" t="s">
        <v>1464</v>
      </c>
      <c r="CFW1" s="1" t="s">
        <v>1687</v>
      </c>
      <c r="CFX1" s="1" t="s">
        <v>2117</v>
      </c>
      <c r="CFY1" s="1" t="s">
        <v>2451</v>
      </c>
      <c r="CFZ1" s="1" t="s">
        <v>2452</v>
      </c>
      <c r="CGA1" s="1" t="s">
        <v>3461</v>
      </c>
      <c r="CGB1" s="1" t="s">
        <v>3462</v>
      </c>
      <c r="CGC1" s="1" t="s">
        <v>3463</v>
      </c>
      <c r="CGD1" s="1" t="s">
        <v>3745</v>
      </c>
      <c r="CGE1" s="1" t="s">
        <v>1465</v>
      </c>
      <c r="CGF1" s="1" t="s">
        <v>1466</v>
      </c>
      <c r="CGG1" s="1" t="s">
        <v>1467</v>
      </c>
      <c r="CGH1" s="1" t="s">
        <v>1468</v>
      </c>
      <c r="CGI1" s="1" t="s">
        <v>1469</v>
      </c>
      <c r="CGJ1" s="1" t="s">
        <v>1470</v>
      </c>
      <c r="CGK1" s="1" t="s">
        <v>1471</v>
      </c>
      <c r="CGL1" s="1" t="s">
        <v>1472</v>
      </c>
      <c r="CGM1" s="1" t="s">
        <v>1473</v>
      </c>
      <c r="CGN1" s="1" t="s">
        <v>1474</v>
      </c>
      <c r="CGO1" s="1" t="s">
        <v>1475</v>
      </c>
      <c r="CGP1" s="1" t="s">
        <v>1688</v>
      </c>
      <c r="CGQ1" s="1" t="s">
        <v>2118</v>
      </c>
      <c r="CGR1" s="1" t="s">
        <v>2453</v>
      </c>
      <c r="CGS1" s="1" t="s">
        <v>2454</v>
      </c>
      <c r="CGT1" s="1" t="s">
        <v>3464</v>
      </c>
      <c r="CGU1" s="1" t="s">
        <v>3465</v>
      </c>
      <c r="CGV1" s="1" t="s">
        <v>3466</v>
      </c>
      <c r="CGW1" s="1" t="s">
        <v>3746</v>
      </c>
      <c r="CGX1" s="1" t="s">
        <v>1476</v>
      </c>
      <c r="CGY1" s="1" t="s">
        <v>1477</v>
      </c>
      <c r="CGZ1" s="1" t="s">
        <v>1478</v>
      </c>
      <c r="CHA1" s="1" t="s">
        <v>1479</v>
      </c>
      <c r="CHB1" s="1" t="s">
        <v>1480</v>
      </c>
      <c r="CHC1" s="1" t="s">
        <v>1481</v>
      </c>
      <c r="CHD1" s="1" t="s">
        <v>1482</v>
      </c>
      <c r="CHE1" s="1" t="s">
        <v>1483</v>
      </c>
      <c r="CHF1" s="1" t="s">
        <v>1484</v>
      </c>
      <c r="CHG1" s="1" t="s">
        <v>1485</v>
      </c>
      <c r="CHH1" s="1" t="s">
        <v>1486</v>
      </c>
      <c r="CHI1" s="1" t="s">
        <v>1689</v>
      </c>
      <c r="CHJ1" s="1" t="s">
        <v>2119</v>
      </c>
      <c r="CHK1" s="1" t="s">
        <v>2455</v>
      </c>
      <c r="CHL1" s="1" t="s">
        <v>2456</v>
      </c>
      <c r="CHM1" s="1" t="s">
        <v>3467</v>
      </c>
      <c r="CHN1" s="1" t="s">
        <v>3468</v>
      </c>
      <c r="CHO1" s="1" t="s">
        <v>3469</v>
      </c>
      <c r="CHP1" s="1" t="s">
        <v>3747</v>
      </c>
      <c r="CHQ1" s="1" t="s">
        <v>1487</v>
      </c>
      <c r="CHR1" s="1" t="s">
        <v>1488</v>
      </c>
      <c r="CHS1" s="1" t="s">
        <v>1489</v>
      </c>
      <c r="CHT1" s="1" t="s">
        <v>1490</v>
      </c>
      <c r="CHU1" s="1" t="s">
        <v>1491</v>
      </c>
      <c r="CHV1" s="1" t="s">
        <v>1492</v>
      </c>
      <c r="CHW1" s="1" t="s">
        <v>1493</v>
      </c>
      <c r="CHX1" s="1" t="s">
        <v>1494</v>
      </c>
      <c r="CHY1" s="1" t="s">
        <v>1495</v>
      </c>
      <c r="CHZ1" s="1" t="s">
        <v>1496</v>
      </c>
      <c r="CIA1" s="1" t="s">
        <v>1497</v>
      </c>
      <c r="CIB1" s="1" t="s">
        <v>1690</v>
      </c>
      <c r="CIC1" s="1" t="s">
        <v>2120</v>
      </c>
      <c r="CID1" s="1" t="s">
        <v>2457</v>
      </c>
      <c r="CIE1" s="1" t="s">
        <v>2458</v>
      </c>
      <c r="CIF1" s="1" t="s">
        <v>3470</v>
      </c>
      <c r="CIG1" s="1" t="s">
        <v>3471</v>
      </c>
      <c r="CIH1" s="1" t="s">
        <v>3472</v>
      </c>
      <c r="CII1" s="1" t="s">
        <v>3748</v>
      </c>
      <c r="CIJ1" t="s">
        <v>1498</v>
      </c>
      <c r="CIK1" t="s">
        <v>1499</v>
      </c>
      <c r="CIL1" t="s">
        <v>1500</v>
      </c>
      <c r="CIM1" t="s">
        <v>1501</v>
      </c>
      <c r="CIN1" t="s">
        <v>1502</v>
      </c>
      <c r="CIO1" t="s">
        <v>1503</v>
      </c>
      <c r="CIP1" t="s">
        <v>1504</v>
      </c>
      <c r="CIQ1" t="s">
        <v>1505</v>
      </c>
      <c r="CIR1" t="s">
        <v>1506</v>
      </c>
      <c r="CIS1" t="s">
        <v>1507</v>
      </c>
      <c r="CIT1" t="s">
        <v>1508</v>
      </c>
      <c r="CIU1" t="s">
        <v>1691</v>
      </c>
      <c r="CIV1" t="s">
        <v>2121</v>
      </c>
      <c r="CIW1" t="s">
        <v>2459</v>
      </c>
      <c r="CIX1" t="s">
        <v>2460</v>
      </c>
      <c r="CIY1" t="s">
        <v>3473</v>
      </c>
      <c r="CIZ1" t="s">
        <v>3474</v>
      </c>
      <c r="CJA1" t="s">
        <v>3475</v>
      </c>
      <c r="CJB1" t="s">
        <v>3749</v>
      </c>
      <c r="CJC1" s="1" t="s">
        <v>1509</v>
      </c>
      <c r="CJD1" s="1" t="s">
        <v>1510</v>
      </c>
      <c r="CJE1" s="1" t="s">
        <v>1511</v>
      </c>
      <c r="CJF1" s="1" t="s">
        <v>1512</v>
      </c>
      <c r="CJG1" s="1" t="s">
        <v>1513</v>
      </c>
      <c r="CJH1" s="1" t="s">
        <v>1514</v>
      </c>
      <c r="CJI1" s="1" t="s">
        <v>1515</v>
      </c>
      <c r="CJJ1" s="1" t="s">
        <v>1516</v>
      </c>
      <c r="CJK1" s="1" t="s">
        <v>1517</v>
      </c>
      <c r="CJL1" s="1" t="s">
        <v>1518</v>
      </c>
      <c r="CJM1" s="1" t="s">
        <v>1519</v>
      </c>
      <c r="CJN1" s="1" t="s">
        <v>1692</v>
      </c>
      <c r="CJO1" s="1" t="s">
        <v>2122</v>
      </c>
      <c r="CJP1" s="1" t="s">
        <v>2461</v>
      </c>
      <c r="CJQ1" s="1" t="s">
        <v>2462</v>
      </c>
      <c r="CJR1" s="1" t="s">
        <v>3476</v>
      </c>
      <c r="CJS1" s="1" t="s">
        <v>3477</v>
      </c>
      <c r="CJT1" s="1" t="s">
        <v>3478</v>
      </c>
      <c r="CJU1" s="1" t="s">
        <v>3750</v>
      </c>
      <c r="CJV1" s="1" t="s">
        <v>1520</v>
      </c>
      <c r="CJW1" s="1" t="s">
        <v>1521</v>
      </c>
      <c r="CJX1" s="1" t="s">
        <v>1522</v>
      </c>
      <c r="CJY1" s="1" t="s">
        <v>1523</v>
      </c>
      <c r="CJZ1" s="1" t="s">
        <v>1524</v>
      </c>
      <c r="CKA1" s="1" t="s">
        <v>1525</v>
      </c>
      <c r="CKB1" s="1" t="s">
        <v>1526</v>
      </c>
      <c r="CKC1" s="1" t="s">
        <v>1527</v>
      </c>
      <c r="CKD1" s="1" t="s">
        <v>1528</v>
      </c>
      <c r="CKE1" s="1" t="s">
        <v>1529</v>
      </c>
      <c r="CKF1" s="1" t="s">
        <v>1530</v>
      </c>
      <c r="CKG1" s="1" t="s">
        <v>1693</v>
      </c>
      <c r="CKH1" s="1" t="s">
        <v>2123</v>
      </c>
      <c r="CKI1" s="1" t="s">
        <v>2463</v>
      </c>
      <c r="CKJ1" s="1" t="s">
        <v>2464</v>
      </c>
      <c r="CKK1" s="1" t="s">
        <v>3479</v>
      </c>
      <c r="CKL1" s="1" t="s">
        <v>3480</v>
      </c>
      <c r="CKM1" s="1" t="s">
        <v>3481</v>
      </c>
      <c r="CKN1" s="1" t="s">
        <v>3751</v>
      </c>
      <c r="CKO1" s="1" t="s">
        <v>1534</v>
      </c>
      <c r="CKP1" s="1" t="s">
        <v>1535</v>
      </c>
      <c r="CKQ1" s="1" t="s">
        <v>1536</v>
      </c>
      <c r="CKR1" s="1" t="s">
        <v>1537</v>
      </c>
      <c r="CKS1" s="1" t="s">
        <v>1538</v>
      </c>
      <c r="CKT1" s="1" t="s">
        <v>1539</v>
      </c>
      <c r="CKU1" s="1" t="s">
        <v>1540</v>
      </c>
      <c r="CKV1" s="1" t="s">
        <v>1541</v>
      </c>
      <c r="CKW1" s="1" t="s">
        <v>1542</v>
      </c>
      <c r="CKX1" s="1" t="s">
        <v>1543</v>
      </c>
      <c r="CKY1" s="1" t="s">
        <v>1544</v>
      </c>
      <c r="CKZ1" s="1" t="s">
        <v>1694</v>
      </c>
      <c r="CLA1" s="1" t="s">
        <v>2124</v>
      </c>
      <c r="CLB1" s="1" t="s">
        <v>2465</v>
      </c>
      <c r="CLC1" s="1" t="s">
        <v>2466</v>
      </c>
      <c r="CLD1" s="1" t="s">
        <v>3482</v>
      </c>
      <c r="CLE1" s="1" t="s">
        <v>3483</v>
      </c>
      <c r="CLF1" s="1" t="s">
        <v>3484</v>
      </c>
      <c r="CLG1" s="1" t="s">
        <v>3752</v>
      </c>
      <c r="CLH1" s="1" t="s">
        <v>2126</v>
      </c>
      <c r="CLI1" s="1" t="s">
        <v>2127</v>
      </c>
      <c r="CLJ1" s="1" t="s">
        <v>2128</v>
      </c>
      <c r="CLK1" s="1" t="s">
        <v>2129</v>
      </c>
      <c r="CLL1" s="1" t="s">
        <v>2130</v>
      </c>
      <c r="CLM1" s="1" t="s">
        <v>2131</v>
      </c>
      <c r="CLN1" s="1" t="s">
        <v>2132</v>
      </c>
      <c r="CLO1" s="1" t="s">
        <v>2133</v>
      </c>
      <c r="CLP1" s="1" t="s">
        <v>2134</v>
      </c>
      <c r="CLQ1" s="1" t="s">
        <v>2135</v>
      </c>
      <c r="CLR1" s="1" t="s">
        <v>2136</v>
      </c>
      <c r="CLS1" s="1" t="s">
        <v>2137</v>
      </c>
      <c r="CLT1" s="1" t="s">
        <v>2138</v>
      </c>
      <c r="CLU1" s="1" t="s">
        <v>2467</v>
      </c>
      <c r="CLV1" s="1" t="s">
        <v>2468</v>
      </c>
      <c r="CLW1" s="1" t="s">
        <v>3485</v>
      </c>
      <c r="CLX1" s="1" t="s">
        <v>3486</v>
      </c>
      <c r="CLY1" s="1" t="s">
        <v>3487</v>
      </c>
      <c r="CLZ1" s="1" t="s">
        <v>3753</v>
      </c>
      <c r="CMA1" s="1" t="s">
        <v>2146</v>
      </c>
      <c r="CMB1" s="1" t="s">
        <v>2147</v>
      </c>
      <c r="CMC1" s="1" t="s">
        <v>2148</v>
      </c>
      <c r="CMD1" s="1" t="s">
        <v>2149</v>
      </c>
      <c r="CME1" s="1" t="s">
        <v>2150</v>
      </c>
      <c r="CMF1" s="1" t="s">
        <v>2151</v>
      </c>
      <c r="CMG1" s="1" t="s">
        <v>2152</v>
      </c>
      <c r="CMH1" s="1" t="s">
        <v>2153</v>
      </c>
      <c r="CMI1" s="1" t="s">
        <v>2154</v>
      </c>
      <c r="CMJ1" s="1" t="s">
        <v>2155</v>
      </c>
      <c r="CMK1" s="1" t="s">
        <v>2156</v>
      </c>
      <c r="CML1" s="1" t="s">
        <v>2157</v>
      </c>
      <c r="CMM1" s="1" t="s">
        <v>2158</v>
      </c>
      <c r="CMN1" s="1" t="s">
        <v>2469</v>
      </c>
      <c r="CMO1" s="1" t="s">
        <v>2470</v>
      </c>
      <c r="CMP1" s="1" t="s">
        <v>3488</v>
      </c>
      <c r="CMQ1" s="1" t="s">
        <v>3489</v>
      </c>
      <c r="CMR1" s="1" t="s">
        <v>3490</v>
      </c>
      <c r="CMS1" s="1" t="s">
        <v>3754</v>
      </c>
      <c r="CMT1" s="1" t="s">
        <v>2159</v>
      </c>
      <c r="CMU1" s="1" t="s">
        <v>2160</v>
      </c>
      <c r="CMV1" s="1" t="s">
        <v>2161</v>
      </c>
      <c r="CMW1" s="1" t="s">
        <v>2162</v>
      </c>
      <c r="CMX1" s="1" t="s">
        <v>2163</v>
      </c>
      <c r="CMY1" s="1" t="s">
        <v>2164</v>
      </c>
      <c r="CMZ1" s="1" t="s">
        <v>2165</v>
      </c>
      <c r="CNA1" s="1" t="s">
        <v>2166</v>
      </c>
      <c r="CNB1" s="1" t="s">
        <v>2167</v>
      </c>
      <c r="CNC1" s="1" t="s">
        <v>2168</v>
      </c>
      <c r="CND1" s="1" t="s">
        <v>2169</v>
      </c>
      <c r="CNE1" s="1" t="s">
        <v>2170</v>
      </c>
      <c r="CNF1" s="1" t="s">
        <v>2171</v>
      </c>
      <c r="CNG1" s="1" t="s">
        <v>2471</v>
      </c>
      <c r="CNH1" s="1" t="s">
        <v>2472</v>
      </c>
      <c r="CNI1" s="1" t="s">
        <v>3491</v>
      </c>
      <c r="CNJ1" s="1" t="s">
        <v>3492</v>
      </c>
      <c r="CNK1" s="1" t="s">
        <v>3493</v>
      </c>
      <c r="CNL1" s="1" t="s">
        <v>3755</v>
      </c>
      <c r="CNM1" s="1" t="s">
        <v>2515</v>
      </c>
      <c r="CNN1" s="1" t="s">
        <v>2516</v>
      </c>
      <c r="CNO1" s="1" t="s">
        <v>2517</v>
      </c>
      <c r="CNP1" s="1" t="s">
        <v>2518</v>
      </c>
      <c r="CNQ1" s="1" t="s">
        <v>2519</v>
      </c>
      <c r="CNR1" s="1" t="s">
        <v>2520</v>
      </c>
      <c r="CNS1" s="1" t="s">
        <v>2521</v>
      </c>
      <c r="CNT1" s="1" t="s">
        <v>2522</v>
      </c>
      <c r="CNU1" s="1" t="s">
        <v>2523</v>
      </c>
      <c r="CNV1" s="1" t="s">
        <v>2524</v>
      </c>
      <c r="CNW1" s="1" t="s">
        <v>2525</v>
      </c>
      <c r="CNX1" s="1" t="s">
        <v>2526</v>
      </c>
      <c r="CNY1" s="1" t="s">
        <v>2527</v>
      </c>
      <c r="CNZ1" s="1" t="s">
        <v>2528</v>
      </c>
      <c r="COA1" s="1" t="s">
        <v>2529</v>
      </c>
      <c r="COB1" s="1" t="s">
        <v>3494</v>
      </c>
      <c r="COC1" s="1" t="s">
        <v>3495</v>
      </c>
      <c r="COD1" s="1" t="s">
        <v>3496</v>
      </c>
      <c r="COE1" s="1" t="s">
        <v>3756</v>
      </c>
      <c r="COF1" s="1" t="s">
        <v>2530</v>
      </c>
      <c r="COG1" s="1" t="s">
        <v>2531</v>
      </c>
      <c r="COH1" s="1" t="s">
        <v>2532</v>
      </c>
      <c r="COI1" s="1" t="s">
        <v>2533</v>
      </c>
      <c r="COJ1" s="1" t="s">
        <v>2534</v>
      </c>
      <c r="COK1" s="1" t="s">
        <v>2535</v>
      </c>
      <c r="COL1" s="1" t="s">
        <v>2536</v>
      </c>
      <c r="COM1" s="1" t="s">
        <v>2537</v>
      </c>
      <c r="CON1" s="1" t="s">
        <v>2538</v>
      </c>
      <c r="COO1" s="1" t="s">
        <v>2539</v>
      </c>
      <c r="COP1" s="1" t="s">
        <v>2540</v>
      </c>
      <c r="COQ1" s="1" t="s">
        <v>2541</v>
      </c>
      <c r="COR1" s="1" t="s">
        <v>2542</v>
      </c>
      <c r="COS1" s="1" t="s">
        <v>2543</v>
      </c>
      <c r="COT1" s="1" t="s">
        <v>2544</v>
      </c>
      <c r="COU1" s="1" t="s">
        <v>3497</v>
      </c>
      <c r="COV1" s="1" t="s">
        <v>3498</v>
      </c>
      <c r="COW1" s="1" t="s">
        <v>3499</v>
      </c>
      <c r="COX1" s="1" t="s">
        <v>3757</v>
      </c>
      <c r="COY1" t="s">
        <v>2545</v>
      </c>
      <c r="COZ1" t="s">
        <v>2546</v>
      </c>
      <c r="CPA1" t="s">
        <v>2547</v>
      </c>
      <c r="CPB1" t="s">
        <v>2548</v>
      </c>
      <c r="CPC1" t="s">
        <v>2549</v>
      </c>
      <c r="CPD1" t="s">
        <v>2550</v>
      </c>
      <c r="CPE1" t="s">
        <v>2551</v>
      </c>
      <c r="CPF1" t="s">
        <v>2552</v>
      </c>
      <c r="CPG1" t="s">
        <v>2553</v>
      </c>
      <c r="CPH1" t="s">
        <v>2554</v>
      </c>
      <c r="CPI1" t="s">
        <v>2555</v>
      </c>
      <c r="CPJ1" t="s">
        <v>2556</v>
      </c>
      <c r="CPK1" t="s">
        <v>2557</v>
      </c>
      <c r="CPL1" t="s">
        <v>2558</v>
      </c>
      <c r="CPM1" t="s">
        <v>2559</v>
      </c>
      <c r="CPN1" t="s">
        <v>3500</v>
      </c>
      <c r="CPO1" t="s">
        <v>3501</v>
      </c>
      <c r="CPP1" t="s">
        <v>3502</v>
      </c>
      <c r="CPQ1" t="s">
        <v>3758</v>
      </c>
      <c r="CPR1" s="1" t="s">
        <v>2560</v>
      </c>
      <c r="CPS1" s="1" t="s">
        <v>2561</v>
      </c>
      <c r="CPT1" s="1" t="s">
        <v>2562</v>
      </c>
      <c r="CPU1" s="1" t="s">
        <v>2563</v>
      </c>
      <c r="CPV1" s="1" t="s">
        <v>2564</v>
      </c>
      <c r="CPW1" s="1" t="s">
        <v>2565</v>
      </c>
      <c r="CPX1" s="1" t="s">
        <v>2566</v>
      </c>
      <c r="CPY1" s="1" t="s">
        <v>2567</v>
      </c>
      <c r="CPZ1" s="1" t="s">
        <v>2568</v>
      </c>
      <c r="CQA1" s="1" t="s">
        <v>2569</v>
      </c>
      <c r="CQB1" s="1" t="s">
        <v>2570</v>
      </c>
      <c r="CQC1" s="1" t="s">
        <v>2571</v>
      </c>
      <c r="CQD1" s="1" t="s">
        <v>2572</v>
      </c>
      <c r="CQE1" s="1" t="s">
        <v>2573</v>
      </c>
      <c r="CQF1" s="1" t="s">
        <v>2574</v>
      </c>
      <c r="CQG1" s="1" t="s">
        <v>3503</v>
      </c>
      <c r="CQH1" s="1" t="s">
        <v>3504</v>
      </c>
      <c r="CQI1" s="1" t="s">
        <v>3505</v>
      </c>
      <c r="CQJ1" s="1" t="s">
        <v>3759</v>
      </c>
      <c r="CQK1" s="1" t="s">
        <v>2575</v>
      </c>
      <c r="CQL1" s="1" t="s">
        <v>2576</v>
      </c>
      <c r="CQM1" s="1" t="s">
        <v>2577</v>
      </c>
      <c r="CQN1" s="1" t="s">
        <v>2578</v>
      </c>
      <c r="CQO1" s="1" t="s">
        <v>2579</v>
      </c>
      <c r="CQP1" s="1" t="s">
        <v>2580</v>
      </c>
      <c r="CQQ1" s="1" t="s">
        <v>2581</v>
      </c>
      <c r="CQR1" s="1" t="s">
        <v>2582</v>
      </c>
      <c r="CQS1" s="1" t="s">
        <v>2583</v>
      </c>
      <c r="CQT1" s="1" t="s">
        <v>2584</v>
      </c>
      <c r="CQU1" s="1" t="s">
        <v>2585</v>
      </c>
      <c r="CQV1" s="1" t="s">
        <v>2586</v>
      </c>
      <c r="CQW1" s="1" t="s">
        <v>2587</v>
      </c>
      <c r="CQX1" s="1" t="s">
        <v>2588</v>
      </c>
      <c r="CQY1" s="1" t="s">
        <v>2589</v>
      </c>
      <c r="CQZ1" s="1" t="s">
        <v>3506</v>
      </c>
      <c r="CRA1" s="1" t="s">
        <v>3507</v>
      </c>
      <c r="CRB1" s="1" t="s">
        <v>3508</v>
      </c>
      <c r="CRC1" s="1" t="s">
        <v>3760</v>
      </c>
      <c r="CRD1" s="1" t="s">
        <v>2590</v>
      </c>
      <c r="CRE1" s="1" t="s">
        <v>2591</v>
      </c>
      <c r="CRF1" s="1" t="s">
        <v>2592</v>
      </c>
      <c r="CRG1" s="1" t="s">
        <v>2593</v>
      </c>
      <c r="CRH1" s="1" t="s">
        <v>2594</v>
      </c>
      <c r="CRI1" s="1" t="s">
        <v>2595</v>
      </c>
      <c r="CRJ1" s="1" t="s">
        <v>2596</v>
      </c>
      <c r="CRK1" s="1" t="s">
        <v>2597</v>
      </c>
      <c r="CRL1" s="1" t="s">
        <v>2598</v>
      </c>
      <c r="CRM1" s="1" t="s">
        <v>2599</v>
      </c>
      <c r="CRN1" s="1" t="s">
        <v>2600</v>
      </c>
      <c r="CRO1" s="1" t="s">
        <v>2601</v>
      </c>
      <c r="CRP1" s="1" t="s">
        <v>2602</v>
      </c>
      <c r="CRQ1" s="1" t="s">
        <v>2603</v>
      </c>
      <c r="CRR1" s="1" t="s">
        <v>2604</v>
      </c>
      <c r="CRS1" s="1" t="s">
        <v>3509</v>
      </c>
      <c r="CRT1" s="1" t="s">
        <v>3510</v>
      </c>
      <c r="CRU1" s="1" t="s">
        <v>3511</v>
      </c>
      <c r="CRV1" s="1" t="s">
        <v>3761</v>
      </c>
      <c r="CRW1" s="1" t="s">
        <v>2605</v>
      </c>
      <c r="CRX1" s="1" t="s">
        <v>2606</v>
      </c>
      <c r="CRY1" s="1" t="s">
        <v>2607</v>
      </c>
      <c r="CRZ1" s="1" t="s">
        <v>2608</v>
      </c>
      <c r="CSA1" s="1" t="s">
        <v>2609</v>
      </c>
      <c r="CSB1" s="1" t="s">
        <v>2610</v>
      </c>
      <c r="CSC1" s="1" t="s">
        <v>2611</v>
      </c>
      <c r="CSD1" s="1" t="s">
        <v>2612</v>
      </c>
      <c r="CSE1" s="1" t="s">
        <v>2613</v>
      </c>
      <c r="CSF1" s="1" t="s">
        <v>2614</v>
      </c>
      <c r="CSG1" s="1" t="s">
        <v>2615</v>
      </c>
      <c r="CSH1" s="1" t="s">
        <v>2616</v>
      </c>
      <c r="CSI1" s="1" t="s">
        <v>2617</v>
      </c>
      <c r="CSJ1" s="1" t="s">
        <v>2618</v>
      </c>
      <c r="CSK1" s="1" t="s">
        <v>2619</v>
      </c>
      <c r="CSL1" s="1" t="s">
        <v>3512</v>
      </c>
      <c r="CSM1" s="1" t="s">
        <v>3513</v>
      </c>
      <c r="CSN1" s="1" t="s">
        <v>3514</v>
      </c>
      <c r="CSO1" s="1" t="s">
        <v>3762</v>
      </c>
      <c r="CSP1" s="1" t="s">
        <v>2620</v>
      </c>
      <c r="CSQ1" s="1" t="s">
        <v>2621</v>
      </c>
      <c r="CSR1" s="1" t="s">
        <v>2622</v>
      </c>
      <c r="CSS1" s="1" t="s">
        <v>2623</v>
      </c>
      <c r="CST1" s="1" t="s">
        <v>2624</v>
      </c>
      <c r="CSU1" s="1" t="s">
        <v>2625</v>
      </c>
      <c r="CSV1" s="1" t="s">
        <v>2626</v>
      </c>
      <c r="CSW1" s="1" t="s">
        <v>2627</v>
      </c>
      <c r="CSX1" s="1" t="s">
        <v>2628</v>
      </c>
      <c r="CSY1" s="1" t="s">
        <v>2629</v>
      </c>
      <c r="CSZ1" s="1" t="s">
        <v>2630</v>
      </c>
      <c r="CTA1" s="1" t="s">
        <v>2631</v>
      </c>
      <c r="CTB1" s="1" t="s">
        <v>2632</v>
      </c>
      <c r="CTC1" s="1" t="s">
        <v>2633</v>
      </c>
      <c r="CTD1" s="1" t="s">
        <v>2634</v>
      </c>
      <c r="CTE1" s="1" t="s">
        <v>3515</v>
      </c>
      <c r="CTF1" s="1" t="s">
        <v>3516</v>
      </c>
      <c r="CTG1" s="1" t="s">
        <v>3517</v>
      </c>
      <c r="CTH1" s="1" t="s">
        <v>3763</v>
      </c>
      <c r="CTI1" s="1" t="s">
        <v>2635</v>
      </c>
      <c r="CTJ1" s="1" t="s">
        <v>2636</v>
      </c>
      <c r="CTK1" s="1" t="s">
        <v>2637</v>
      </c>
      <c r="CTL1" s="1" t="s">
        <v>2638</v>
      </c>
      <c r="CTM1" s="1" t="s">
        <v>2639</v>
      </c>
      <c r="CTN1" s="1" t="s">
        <v>2640</v>
      </c>
      <c r="CTO1" s="1" t="s">
        <v>2641</v>
      </c>
      <c r="CTP1" s="1" t="s">
        <v>2642</v>
      </c>
      <c r="CTQ1" s="1" t="s">
        <v>2643</v>
      </c>
      <c r="CTR1" s="1" t="s">
        <v>2644</v>
      </c>
      <c r="CTS1" s="1" t="s">
        <v>2645</v>
      </c>
      <c r="CTT1" s="1" t="s">
        <v>2646</v>
      </c>
      <c r="CTU1" s="1" t="s">
        <v>2647</v>
      </c>
      <c r="CTV1" s="1" t="s">
        <v>2648</v>
      </c>
      <c r="CTW1" s="1" t="s">
        <v>2649</v>
      </c>
      <c r="CTX1" s="1" t="s">
        <v>3518</v>
      </c>
      <c r="CTY1" s="1" t="s">
        <v>3519</v>
      </c>
      <c r="CTZ1" s="1" t="s">
        <v>3520</v>
      </c>
      <c r="CUA1" s="1" t="s">
        <v>3764</v>
      </c>
      <c r="CUB1" s="1" t="s">
        <v>2650</v>
      </c>
      <c r="CUC1" s="1" t="s">
        <v>2651</v>
      </c>
      <c r="CUD1" s="1" t="s">
        <v>2652</v>
      </c>
      <c r="CUE1" s="1" t="s">
        <v>2653</v>
      </c>
      <c r="CUF1" s="1" t="s">
        <v>2654</v>
      </c>
      <c r="CUG1" s="1" t="s">
        <v>2655</v>
      </c>
      <c r="CUH1" s="1" t="s">
        <v>2656</v>
      </c>
      <c r="CUI1" s="1" t="s">
        <v>2657</v>
      </c>
      <c r="CUJ1" s="1" t="s">
        <v>2658</v>
      </c>
      <c r="CUK1" s="1" t="s">
        <v>2659</v>
      </c>
      <c r="CUL1" s="1" t="s">
        <v>2660</v>
      </c>
      <c r="CUM1" s="1" t="s">
        <v>2661</v>
      </c>
      <c r="CUN1" s="1" t="s">
        <v>2662</v>
      </c>
      <c r="CUO1" s="1" t="s">
        <v>2663</v>
      </c>
      <c r="CUP1" s="1" t="s">
        <v>2664</v>
      </c>
      <c r="CUQ1" s="1" t="s">
        <v>3521</v>
      </c>
      <c r="CUR1" s="1" t="s">
        <v>3522</v>
      </c>
      <c r="CUS1" s="1" t="s">
        <v>3523</v>
      </c>
      <c r="CUT1" s="1" t="s">
        <v>3765</v>
      </c>
      <c r="CUU1" s="1" t="s">
        <v>2195</v>
      </c>
      <c r="CUV1" s="1" t="s">
        <v>2196</v>
      </c>
      <c r="CUW1" s="1" t="s">
        <v>2197</v>
      </c>
      <c r="CUX1" s="1" t="s">
        <v>2198</v>
      </c>
      <c r="CUY1" s="1" t="s">
        <v>2199</v>
      </c>
      <c r="CUZ1" s="1" t="s">
        <v>2205</v>
      </c>
      <c r="CVA1" s="1" t="s">
        <v>2200</v>
      </c>
      <c r="CVB1" s="1" t="s">
        <v>2201</v>
      </c>
      <c r="CVC1" s="1" t="s">
        <v>2202</v>
      </c>
      <c r="CVD1" s="1" t="s">
        <v>2203</v>
      </c>
      <c r="CVE1" s="1" t="s">
        <v>2204</v>
      </c>
      <c r="CVF1" s="1" t="s">
        <v>2206</v>
      </c>
      <c r="CVG1" s="1" t="s">
        <v>2477</v>
      </c>
      <c r="CVH1" s="1" t="s">
        <v>2478</v>
      </c>
      <c r="CVI1" s="1" t="s">
        <v>2479</v>
      </c>
      <c r="CVJ1" s="1" t="s">
        <v>2480</v>
      </c>
      <c r="CVK1" s="1" t="s">
        <v>2481</v>
      </c>
      <c r="CVL1" s="1" t="s">
        <v>2482</v>
      </c>
      <c r="CVM1" s="1" t="s">
        <v>2483</v>
      </c>
      <c r="CVN1" s="1" t="s">
        <v>2484</v>
      </c>
      <c r="CVO1" s="1" t="s">
        <v>2485</v>
      </c>
      <c r="CVP1" s="1" t="s">
        <v>2486</v>
      </c>
      <c r="CVQ1" s="1" t="s">
        <v>2487</v>
      </c>
      <c r="CVR1" s="1" t="s">
        <v>2488</v>
      </c>
      <c r="CVS1" s="1" t="s">
        <v>3605</v>
      </c>
      <c r="CVT1" s="1" t="s">
        <v>3606</v>
      </c>
      <c r="CVU1" s="1" t="s">
        <v>3607</v>
      </c>
      <c r="CVV1" s="1" t="s">
        <v>3608</v>
      </c>
      <c r="CVW1" s="1" t="s">
        <v>3609</v>
      </c>
      <c r="CVX1" s="1" t="s">
        <v>3610</v>
      </c>
      <c r="CVY1" s="1" t="s">
        <v>3611</v>
      </c>
      <c r="CVZ1" s="1" t="s">
        <v>3612</v>
      </c>
      <c r="CWA1" s="1" t="s">
        <v>3613</v>
      </c>
      <c r="CWB1" s="1" t="s">
        <v>3614</v>
      </c>
      <c r="CWC1" s="1" t="s">
        <v>3615</v>
      </c>
      <c r="CWD1" s="1" t="s">
        <v>3616</v>
      </c>
      <c r="CWE1" s="1" t="s">
        <v>3617</v>
      </c>
      <c r="CWF1" s="1" t="s">
        <v>3618</v>
      </c>
      <c r="CWG1" s="1" t="s">
        <v>3619</v>
      </c>
      <c r="CWH1" s="1" t="s">
        <v>3620</v>
      </c>
      <c r="CWI1" s="1" t="s">
        <v>3621</v>
      </c>
      <c r="CWJ1" s="1" t="s">
        <v>3622</v>
      </c>
      <c r="CWK1" s="1" t="s">
        <v>2685</v>
      </c>
      <c r="CWL1" s="1" t="s">
        <v>2686</v>
      </c>
      <c r="CWM1" s="1" t="s">
        <v>2687</v>
      </c>
      <c r="CWN1" s="1" t="s">
        <v>2688</v>
      </c>
      <c r="CWO1" s="1" t="s">
        <v>2689</v>
      </c>
      <c r="CWP1" s="1" t="s">
        <v>2690</v>
      </c>
      <c r="CWQ1" s="1" t="s">
        <v>2691</v>
      </c>
      <c r="CWR1" s="1" t="s">
        <v>2692</v>
      </c>
      <c r="CWS1" s="1" t="s">
        <v>2693</v>
      </c>
      <c r="CWT1" s="1" t="s">
        <v>2694</v>
      </c>
      <c r="CWU1" s="1" t="s">
        <v>2695</v>
      </c>
      <c r="CWV1" s="1" t="s">
        <v>2696</v>
      </c>
      <c r="CWW1" s="1" t="s">
        <v>2697</v>
      </c>
      <c r="CWX1" s="1" t="s">
        <v>2698</v>
      </c>
      <c r="CWY1" s="1" t="s">
        <v>2699</v>
      </c>
      <c r="CWZ1" s="1" t="s">
        <v>3524</v>
      </c>
      <c r="CXA1" s="1" t="s">
        <v>3525</v>
      </c>
      <c r="CXB1" s="1" t="s">
        <v>3526</v>
      </c>
      <c r="CXC1" s="1" t="s">
        <v>3766</v>
      </c>
      <c r="CXD1" s="1" t="s">
        <v>2700</v>
      </c>
      <c r="CXE1" s="1" t="s">
        <v>2701</v>
      </c>
      <c r="CXF1" s="1" t="s">
        <v>2702</v>
      </c>
      <c r="CXG1" s="1" t="s">
        <v>2703</v>
      </c>
      <c r="CXH1" s="1" t="s">
        <v>2704</v>
      </c>
      <c r="CXI1" s="1" t="s">
        <v>2705</v>
      </c>
      <c r="CXJ1" s="1" t="s">
        <v>2706</v>
      </c>
      <c r="CXK1" s="1" t="s">
        <v>2707</v>
      </c>
      <c r="CXL1" s="1" t="s">
        <v>2708</v>
      </c>
      <c r="CXM1" s="1" t="s">
        <v>2709</v>
      </c>
      <c r="CXN1" s="1" t="s">
        <v>2710</v>
      </c>
      <c r="CXO1" s="1" t="s">
        <v>2711</v>
      </c>
      <c r="CXP1" s="1" t="s">
        <v>2712</v>
      </c>
      <c r="CXQ1" s="1" t="s">
        <v>2713</v>
      </c>
      <c r="CXR1" s="1" t="s">
        <v>2714</v>
      </c>
      <c r="CXS1" s="1" t="s">
        <v>3527</v>
      </c>
      <c r="CXT1" s="1" t="s">
        <v>3528</v>
      </c>
      <c r="CXU1" s="1" t="s">
        <v>3529</v>
      </c>
      <c r="CXV1" s="1" t="s">
        <v>3767</v>
      </c>
      <c r="CXW1" t="s">
        <v>2715</v>
      </c>
      <c r="CXX1" t="s">
        <v>2716</v>
      </c>
      <c r="CXY1" t="s">
        <v>2717</v>
      </c>
      <c r="CXZ1" t="s">
        <v>2718</v>
      </c>
      <c r="CYA1" t="s">
        <v>2719</v>
      </c>
      <c r="CYB1" t="s">
        <v>2720</v>
      </c>
      <c r="CYC1" t="s">
        <v>2721</v>
      </c>
      <c r="CYD1" t="s">
        <v>2722</v>
      </c>
      <c r="CYE1" t="s">
        <v>2723</v>
      </c>
      <c r="CYF1" t="s">
        <v>2724</v>
      </c>
      <c r="CYG1" t="s">
        <v>2725</v>
      </c>
      <c r="CYH1" t="s">
        <v>2726</v>
      </c>
      <c r="CYI1" t="s">
        <v>2727</v>
      </c>
      <c r="CYJ1" t="s">
        <v>2728</v>
      </c>
      <c r="CYK1" t="s">
        <v>2729</v>
      </c>
      <c r="CYL1" t="s">
        <v>3530</v>
      </c>
      <c r="CYM1" t="s">
        <v>3531</v>
      </c>
      <c r="CYN1" t="s">
        <v>3532</v>
      </c>
      <c r="CYO1" t="s">
        <v>3768</v>
      </c>
      <c r="CYP1" s="1" t="s">
        <v>2730</v>
      </c>
      <c r="CYQ1" s="1" t="s">
        <v>2731</v>
      </c>
      <c r="CYR1" s="1" t="s">
        <v>2732</v>
      </c>
      <c r="CYS1" s="1" t="s">
        <v>2733</v>
      </c>
      <c r="CYT1" s="1" t="s">
        <v>2734</v>
      </c>
      <c r="CYU1" s="1" t="s">
        <v>2735</v>
      </c>
      <c r="CYV1" s="1" t="s">
        <v>2736</v>
      </c>
      <c r="CYW1" s="1" t="s">
        <v>2737</v>
      </c>
      <c r="CYX1" s="1" t="s">
        <v>2738</v>
      </c>
      <c r="CYY1" s="1" t="s">
        <v>2739</v>
      </c>
      <c r="CYZ1" s="1" t="s">
        <v>2740</v>
      </c>
      <c r="CZA1" s="1" t="s">
        <v>2741</v>
      </c>
      <c r="CZB1" s="1" t="s">
        <v>2742</v>
      </c>
      <c r="CZC1" s="1" t="s">
        <v>2743</v>
      </c>
      <c r="CZD1" s="1" t="s">
        <v>2744</v>
      </c>
      <c r="CZE1" s="1" t="s">
        <v>3533</v>
      </c>
      <c r="CZF1" s="1" t="s">
        <v>3534</v>
      </c>
      <c r="CZG1" s="1" t="s">
        <v>3535</v>
      </c>
      <c r="CZH1" s="1" t="s">
        <v>3769</v>
      </c>
      <c r="CZI1" s="1" t="s">
        <v>2745</v>
      </c>
      <c r="CZJ1" s="1" t="s">
        <v>2746</v>
      </c>
      <c r="CZK1" s="1" t="s">
        <v>2747</v>
      </c>
      <c r="CZL1" s="1" t="s">
        <v>2748</v>
      </c>
      <c r="CZM1" s="1" t="s">
        <v>2749</v>
      </c>
      <c r="CZN1" s="1" t="s">
        <v>2750</v>
      </c>
      <c r="CZO1" s="1" t="s">
        <v>2751</v>
      </c>
      <c r="CZP1" s="1" t="s">
        <v>2752</v>
      </c>
      <c r="CZQ1" s="1" t="s">
        <v>2753</v>
      </c>
      <c r="CZR1" s="1" t="s">
        <v>2754</v>
      </c>
      <c r="CZS1" s="1" t="s">
        <v>2755</v>
      </c>
      <c r="CZT1" s="1" t="s">
        <v>2756</v>
      </c>
      <c r="CZU1" s="1" t="s">
        <v>2757</v>
      </c>
      <c r="CZV1" s="1" t="s">
        <v>2758</v>
      </c>
      <c r="CZW1" s="1" t="s">
        <v>2759</v>
      </c>
      <c r="CZX1" s="1" t="s">
        <v>3536</v>
      </c>
      <c r="CZY1" s="1" t="s">
        <v>3537</v>
      </c>
      <c r="CZZ1" s="1" t="s">
        <v>3538</v>
      </c>
      <c r="DAA1" s="1" t="s">
        <v>3770</v>
      </c>
      <c r="DAB1" s="1" t="s">
        <v>2760</v>
      </c>
      <c r="DAC1" s="1" t="s">
        <v>2761</v>
      </c>
      <c r="DAD1" s="1" t="s">
        <v>2762</v>
      </c>
      <c r="DAE1" s="1" t="s">
        <v>2763</v>
      </c>
      <c r="DAF1" s="1" t="s">
        <v>2764</v>
      </c>
      <c r="DAG1" s="1" t="s">
        <v>2765</v>
      </c>
      <c r="DAH1" s="1" t="s">
        <v>2766</v>
      </c>
      <c r="DAI1" s="1" t="s">
        <v>2767</v>
      </c>
      <c r="DAJ1" s="1" t="s">
        <v>2768</v>
      </c>
      <c r="DAK1" s="1" t="s">
        <v>2769</v>
      </c>
      <c r="DAL1" s="1" t="s">
        <v>2770</v>
      </c>
      <c r="DAM1" s="1" t="s">
        <v>2771</v>
      </c>
      <c r="DAN1" s="1" t="s">
        <v>2772</v>
      </c>
      <c r="DAO1" s="1" t="s">
        <v>2773</v>
      </c>
      <c r="DAP1" s="1" t="s">
        <v>2774</v>
      </c>
      <c r="DAQ1" s="1" t="s">
        <v>3539</v>
      </c>
      <c r="DAR1" s="1" t="s">
        <v>3540</v>
      </c>
      <c r="DAS1" s="1" t="s">
        <v>3541</v>
      </c>
      <c r="DAT1" s="1" t="s">
        <v>3771</v>
      </c>
      <c r="DAU1" s="1" t="s">
        <v>2775</v>
      </c>
      <c r="DAV1" s="1" t="s">
        <v>2776</v>
      </c>
      <c r="DAW1" s="1" t="s">
        <v>2777</v>
      </c>
      <c r="DAX1" s="1" t="s">
        <v>2778</v>
      </c>
      <c r="DAY1" s="1" t="s">
        <v>2779</v>
      </c>
      <c r="DAZ1" s="1" t="s">
        <v>2780</v>
      </c>
      <c r="DBA1" s="1" t="s">
        <v>2781</v>
      </c>
      <c r="DBB1" s="1" t="s">
        <v>2782</v>
      </c>
      <c r="DBC1" s="1" t="s">
        <v>2783</v>
      </c>
      <c r="DBD1" s="1" t="s">
        <v>2784</v>
      </c>
      <c r="DBE1" s="1" t="s">
        <v>2785</v>
      </c>
      <c r="DBF1" s="1" t="s">
        <v>2786</v>
      </c>
      <c r="DBG1" s="1" t="s">
        <v>2787</v>
      </c>
      <c r="DBH1" s="1" t="s">
        <v>2788</v>
      </c>
      <c r="DBI1" s="1" t="s">
        <v>2789</v>
      </c>
      <c r="DBJ1" s="1" t="s">
        <v>3542</v>
      </c>
      <c r="DBK1" s="1" t="s">
        <v>3543</v>
      </c>
      <c r="DBL1" s="1" t="s">
        <v>3544</v>
      </c>
      <c r="DBM1" s="1" t="s">
        <v>3772</v>
      </c>
      <c r="DBN1" s="1" t="s">
        <v>2790</v>
      </c>
      <c r="DBO1" s="1" t="s">
        <v>2791</v>
      </c>
      <c r="DBP1" s="1" t="s">
        <v>2792</v>
      </c>
      <c r="DBQ1" s="1" t="s">
        <v>2793</v>
      </c>
      <c r="DBR1" s="1" t="s">
        <v>2794</v>
      </c>
      <c r="DBS1" s="1" t="s">
        <v>2795</v>
      </c>
      <c r="DBT1" s="1" t="s">
        <v>2796</v>
      </c>
      <c r="DBU1" s="1" t="s">
        <v>2797</v>
      </c>
      <c r="DBV1" s="1" t="s">
        <v>2798</v>
      </c>
      <c r="DBW1" s="1" t="s">
        <v>2799</v>
      </c>
      <c r="DBX1" s="1" t="s">
        <v>2800</v>
      </c>
      <c r="DBY1" s="1" t="s">
        <v>2801</v>
      </c>
      <c r="DBZ1" s="1" t="s">
        <v>2802</v>
      </c>
      <c r="DCA1" s="1" t="s">
        <v>2803</v>
      </c>
      <c r="DCB1" s="1" t="s">
        <v>2804</v>
      </c>
      <c r="DCC1" s="1" t="s">
        <v>3545</v>
      </c>
      <c r="DCD1" s="1" t="s">
        <v>3546</v>
      </c>
      <c r="DCE1" s="1" t="s">
        <v>3547</v>
      </c>
      <c r="DCF1" s="1" t="s">
        <v>3773</v>
      </c>
      <c r="DCG1" s="1" t="s">
        <v>2805</v>
      </c>
      <c r="DCH1" s="1" t="s">
        <v>2806</v>
      </c>
      <c r="DCI1" s="1" t="s">
        <v>2807</v>
      </c>
      <c r="DCJ1" s="1" t="s">
        <v>2808</v>
      </c>
      <c r="DCK1" s="1" t="s">
        <v>2809</v>
      </c>
      <c r="DCL1" s="1" t="s">
        <v>2810</v>
      </c>
      <c r="DCM1" s="1" t="s">
        <v>2811</v>
      </c>
      <c r="DCN1" s="1" t="s">
        <v>2812</v>
      </c>
      <c r="DCO1" s="1" t="s">
        <v>2813</v>
      </c>
      <c r="DCP1" s="1" t="s">
        <v>2814</v>
      </c>
      <c r="DCQ1" s="1" t="s">
        <v>2815</v>
      </c>
      <c r="DCR1" s="1" t="s">
        <v>2816</v>
      </c>
      <c r="DCS1" s="1" t="s">
        <v>2817</v>
      </c>
      <c r="DCT1" s="1" t="s">
        <v>2818</v>
      </c>
      <c r="DCU1" s="1" t="s">
        <v>2819</v>
      </c>
      <c r="DCV1" s="1" t="s">
        <v>3548</v>
      </c>
      <c r="DCW1" s="1" t="s">
        <v>3549</v>
      </c>
      <c r="DCX1" s="1" t="s">
        <v>3550</v>
      </c>
      <c r="DCY1" s="1" t="s">
        <v>3774</v>
      </c>
      <c r="DCZ1" s="1" t="s">
        <v>2820</v>
      </c>
      <c r="DDA1" s="1" t="s">
        <v>2821</v>
      </c>
      <c r="DDB1" s="1" t="s">
        <v>2822</v>
      </c>
      <c r="DDC1" s="1" t="s">
        <v>2823</v>
      </c>
      <c r="DDD1" s="1" t="s">
        <v>2824</v>
      </c>
      <c r="DDE1" s="1" t="s">
        <v>2825</v>
      </c>
      <c r="DDF1" s="1" t="s">
        <v>2826</v>
      </c>
      <c r="DDG1" s="1" t="s">
        <v>2827</v>
      </c>
      <c r="DDH1" s="1" t="s">
        <v>2828</v>
      </c>
      <c r="DDI1" s="1" t="s">
        <v>2829</v>
      </c>
      <c r="DDJ1" s="1" t="s">
        <v>2830</v>
      </c>
      <c r="DDK1" s="1" t="s">
        <v>2831</v>
      </c>
      <c r="DDL1" s="1" t="s">
        <v>2832</v>
      </c>
      <c r="DDM1" s="1" t="s">
        <v>2833</v>
      </c>
      <c r="DDN1" s="1" t="s">
        <v>2834</v>
      </c>
      <c r="DDO1" s="1" t="s">
        <v>3551</v>
      </c>
      <c r="DDP1" s="1" t="s">
        <v>3552</v>
      </c>
      <c r="DDQ1" s="1" t="s">
        <v>3553</v>
      </c>
      <c r="DDR1" s="1" t="s">
        <v>3775</v>
      </c>
      <c r="DDS1" s="1" t="s">
        <v>2835</v>
      </c>
      <c r="DDT1" s="1" t="s">
        <v>2836</v>
      </c>
      <c r="DDU1" s="1" t="s">
        <v>2837</v>
      </c>
      <c r="DDV1" s="1" t="s">
        <v>2838</v>
      </c>
      <c r="DDW1" s="1" t="s">
        <v>2839</v>
      </c>
      <c r="DDX1" s="1" t="s">
        <v>2840</v>
      </c>
      <c r="DDY1" s="1" t="s">
        <v>2841</v>
      </c>
      <c r="DDZ1" s="1" t="s">
        <v>2842</v>
      </c>
      <c r="DEA1" s="1" t="s">
        <v>2843</v>
      </c>
      <c r="DEB1" s="1" t="s">
        <v>2844</v>
      </c>
      <c r="DEC1" s="1" t="s">
        <v>2845</v>
      </c>
      <c r="DED1" s="1" t="s">
        <v>2846</v>
      </c>
      <c r="DEE1" s="1" t="s">
        <v>2847</v>
      </c>
      <c r="DEF1" s="1" t="s">
        <v>2848</v>
      </c>
      <c r="DEG1" s="1" t="s">
        <v>2849</v>
      </c>
      <c r="DEH1" s="1" t="s">
        <v>3554</v>
      </c>
      <c r="DEI1" s="1" t="s">
        <v>3555</v>
      </c>
      <c r="DEJ1" s="1" t="s">
        <v>3556</v>
      </c>
      <c r="DEK1" s="1" t="s">
        <v>3776</v>
      </c>
      <c r="DEL1" s="1" t="s">
        <v>2850</v>
      </c>
      <c r="DEM1" s="1" t="s">
        <v>2851</v>
      </c>
      <c r="DEN1" s="1" t="s">
        <v>2852</v>
      </c>
      <c r="DEO1" s="1" t="s">
        <v>2853</v>
      </c>
      <c r="DEP1" s="1" t="s">
        <v>2854</v>
      </c>
      <c r="DEQ1" s="1" t="s">
        <v>2855</v>
      </c>
      <c r="DER1" s="1" t="s">
        <v>2856</v>
      </c>
      <c r="DES1" s="1" t="s">
        <v>2857</v>
      </c>
      <c r="DET1" s="1" t="s">
        <v>2858</v>
      </c>
      <c r="DEU1" s="1" t="s">
        <v>2859</v>
      </c>
      <c r="DEV1" s="1" t="s">
        <v>2860</v>
      </c>
      <c r="DEW1" s="1" t="s">
        <v>2861</v>
      </c>
      <c r="DEX1" s="1" t="s">
        <v>2862</v>
      </c>
      <c r="DEY1" s="1" t="s">
        <v>2863</v>
      </c>
      <c r="DEZ1" s="1" t="s">
        <v>2864</v>
      </c>
      <c r="DFA1" s="1" t="s">
        <v>3557</v>
      </c>
      <c r="DFB1" s="1" t="s">
        <v>3558</v>
      </c>
      <c r="DFC1" s="1" t="s">
        <v>3559</v>
      </c>
      <c r="DFD1" s="1" t="s">
        <v>3777</v>
      </c>
      <c r="DFE1" s="1" t="s">
        <v>2865</v>
      </c>
      <c r="DFF1" s="1" t="s">
        <v>2866</v>
      </c>
      <c r="DFG1" s="1" t="s">
        <v>2867</v>
      </c>
      <c r="DFH1" s="1" t="s">
        <v>2868</v>
      </c>
      <c r="DFI1" s="1" t="s">
        <v>2869</v>
      </c>
      <c r="DFJ1" s="1" t="s">
        <v>2870</v>
      </c>
      <c r="DFK1" s="1" t="s">
        <v>2871</v>
      </c>
      <c r="DFL1" s="1" t="s">
        <v>2872</v>
      </c>
      <c r="DFM1" s="1" t="s">
        <v>2873</v>
      </c>
      <c r="DFN1" s="1" t="s">
        <v>2874</v>
      </c>
      <c r="DFO1" s="1" t="s">
        <v>2875</v>
      </c>
      <c r="DFP1" s="1" t="s">
        <v>2876</v>
      </c>
      <c r="DFQ1" s="1" t="s">
        <v>2877</v>
      </c>
      <c r="DFR1" s="1" t="s">
        <v>2878</v>
      </c>
      <c r="DFS1" s="1" t="s">
        <v>2879</v>
      </c>
      <c r="DFT1" s="1" t="s">
        <v>3560</v>
      </c>
      <c r="DFU1" s="1" t="s">
        <v>3561</v>
      </c>
      <c r="DFV1" s="1" t="s">
        <v>3562</v>
      </c>
      <c r="DFW1" s="1" t="s">
        <v>3778</v>
      </c>
      <c r="DFX1" s="1" t="s">
        <v>2880</v>
      </c>
      <c r="DFY1" s="1" t="s">
        <v>2881</v>
      </c>
      <c r="DFZ1" s="1" t="s">
        <v>2882</v>
      </c>
      <c r="DGA1" s="1" t="s">
        <v>2883</v>
      </c>
      <c r="DGB1" s="1" t="s">
        <v>2884</v>
      </c>
      <c r="DGC1" s="1" t="s">
        <v>2885</v>
      </c>
      <c r="DGD1" s="1" t="s">
        <v>2886</v>
      </c>
      <c r="DGE1" s="1" t="s">
        <v>2887</v>
      </c>
      <c r="DGF1" s="1" t="s">
        <v>2888</v>
      </c>
      <c r="DGG1" s="1" t="s">
        <v>2889</v>
      </c>
      <c r="DGH1" s="1" t="s">
        <v>2890</v>
      </c>
      <c r="DGI1" s="1" t="s">
        <v>2891</v>
      </c>
      <c r="DGJ1" s="1" t="s">
        <v>2892</v>
      </c>
      <c r="DGK1" s="1" t="s">
        <v>2893</v>
      </c>
      <c r="DGL1" s="1" t="s">
        <v>2894</v>
      </c>
      <c r="DGM1" s="1" t="s">
        <v>3563</v>
      </c>
      <c r="DGN1" s="1" t="s">
        <v>3564</v>
      </c>
      <c r="DGO1" s="1" t="s">
        <v>3565</v>
      </c>
      <c r="DGP1" s="1" t="s">
        <v>3779</v>
      </c>
      <c r="DGQ1" s="1" t="s">
        <v>2895</v>
      </c>
      <c r="DGR1" s="1" t="s">
        <v>2896</v>
      </c>
      <c r="DGS1" s="1" t="s">
        <v>2897</v>
      </c>
      <c r="DGT1" s="1" t="s">
        <v>2898</v>
      </c>
      <c r="DGU1" s="1" t="s">
        <v>2899</v>
      </c>
      <c r="DGV1" s="1" t="s">
        <v>2900</v>
      </c>
      <c r="DGW1" s="1" t="s">
        <v>2901</v>
      </c>
      <c r="DGX1" s="1" t="s">
        <v>2902</v>
      </c>
      <c r="DGY1" s="1" t="s">
        <v>2903</v>
      </c>
      <c r="DGZ1" s="1" t="s">
        <v>2904</v>
      </c>
      <c r="DHA1" s="1" t="s">
        <v>2905</v>
      </c>
      <c r="DHB1" s="1" t="s">
        <v>2906</v>
      </c>
      <c r="DHC1" s="1" t="s">
        <v>2907</v>
      </c>
      <c r="DHD1" s="1" t="s">
        <v>2908</v>
      </c>
      <c r="DHE1" s="1" t="s">
        <v>2909</v>
      </c>
      <c r="DHF1" s="1" t="s">
        <v>3566</v>
      </c>
      <c r="DHG1" s="1" t="s">
        <v>3567</v>
      </c>
      <c r="DHH1" s="1" t="s">
        <v>3568</v>
      </c>
      <c r="DHI1" s="1" t="s">
        <v>3780</v>
      </c>
      <c r="DHJ1" s="1" t="s">
        <v>2910</v>
      </c>
      <c r="DHK1" s="1" t="s">
        <v>2911</v>
      </c>
      <c r="DHL1" s="1" t="s">
        <v>2912</v>
      </c>
      <c r="DHM1" s="1" t="s">
        <v>2913</v>
      </c>
      <c r="DHN1" s="1" t="s">
        <v>2914</v>
      </c>
      <c r="DHO1" s="1" t="s">
        <v>2915</v>
      </c>
      <c r="DHP1" s="1" t="s">
        <v>2916</v>
      </c>
      <c r="DHQ1" s="1" t="s">
        <v>2917</v>
      </c>
      <c r="DHR1" s="1" t="s">
        <v>2918</v>
      </c>
      <c r="DHS1" s="1" t="s">
        <v>2919</v>
      </c>
      <c r="DHT1" s="1" t="s">
        <v>2920</v>
      </c>
      <c r="DHU1" s="1" t="s">
        <v>2921</v>
      </c>
      <c r="DHV1" s="1" t="s">
        <v>2922</v>
      </c>
      <c r="DHW1" s="1" t="s">
        <v>2923</v>
      </c>
      <c r="DHX1" s="1" t="s">
        <v>2924</v>
      </c>
      <c r="DHY1" s="1" t="s">
        <v>3569</v>
      </c>
      <c r="DHZ1" s="1" t="s">
        <v>3570</v>
      </c>
      <c r="DIA1" s="1" t="s">
        <v>3571</v>
      </c>
      <c r="DIB1" s="1" t="s">
        <v>3781</v>
      </c>
      <c r="DIC1" s="1" t="s">
        <v>2925</v>
      </c>
      <c r="DID1" s="1" t="s">
        <v>2926</v>
      </c>
      <c r="DIE1" s="1" t="s">
        <v>2927</v>
      </c>
      <c r="DIF1" s="1" t="s">
        <v>2928</v>
      </c>
      <c r="DIG1" s="1" t="s">
        <v>2929</v>
      </c>
      <c r="DIH1" s="1" t="s">
        <v>2930</v>
      </c>
      <c r="DII1" s="1" t="s">
        <v>2931</v>
      </c>
      <c r="DIJ1" s="1" t="s">
        <v>2932</v>
      </c>
      <c r="DIK1" s="1" t="s">
        <v>2933</v>
      </c>
      <c r="DIL1" s="1" t="s">
        <v>2934</v>
      </c>
      <c r="DIM1" s="1" t="s">
        <v>2935</v>
      </c>
      <c r="DIN1" s="1" t="s">
        <v>2936</v>
      </c>
      <c r="DIO1" s="1" t="s">
        <v>2937</v>
      </c>
      <c r="DIP1" s="1" t="s">
        <v>2938</v>
      </c>
      <c r="DIQ1" s="1" t="s">
        <v>2939</v>
      </c>
      <c r="DIR1" s="1" t="s">
        <v>3572</v>
      </c>
      <c r="DIS1" s="1" t="s">
        <v>3573</v>
      </c>
      <c r="DIT1" s="1" t="s">
        <v>3574</v>
      </c>
      <c r="DIU1" s="1" t="s">
        <v>3782</v>
      </c>
      <c r="DIV1" s="1" t="s">
        <v>2940</v>
      </c>
      <c r="DIW1" s="1" t="s">
        <v>2941</v>
      </c>
      <c r="DIX1" s="1" t="s">
        <v>2942</v>
      </c>
      <c r="DIY1" s="1" t="s">
        <v>2943</v>
      </c>
      <c r="DIZ1" s="1" t="s">
        <v>2944</v>
      </c>
      <c r="DJA1" s="1" t="s">
        <v>2945</v>
      </c>
      <c r="DJB1" s="1" t="s">
        <v>2946</v>
      </c>
      <c r="DJC1" s="1" t="s">
        <v>2947</v>
      </c>
      <c r="DJD1" s="1" t="s">
        <v>2948</v>
      </c>
      <c r="DJE1" s="1" t="s">
        <v>2949</v>
      </c>
      <c r="DJF1" s="1" t="s">
        <v>2950</v>
      </c>
      <c r="DJG1" s="1" t="s">
        <v>2951</v>
      </c>
      <c r="DJH1" s="1" t="s">
        <v>2952</v>
      </c>
      <c r="DJI1" s="1" t="s">
        <v>2953</v>
      </c>
      <c r="DJJ1" s="1" t="s">
        <v>2954</v>
      </c>
      <c r="DJK1" s="1" t="s">
        <v>3575</v>
      </c>
      <c r="DJL1" s="1" t="s">
        <v>3576</v>
      </c>
      <c r="DJM1" s="1" t="s">
        <v>3577</v>
      </c>
      <c r="DJN1" s="1" t="s">
        <v>3783</v>
      </c>
      <c r="DJO1" s="1" t="s">
        <v>2955</v>
      </c>
      <c r="DJP1" s="1" t="s">
        <v>2956</v>
      </c>
      <c r="DJQ1" s="1" t="s">
        <v>2957</v>
      </c>
      <c r="DJR1" s="1" t="s">
        <v>2958</v>
      </c>
      <c r="DJS1" s="1" t="s">
        <v>2959</v>
      </c>
      <c r="DJT1" s="1" t="s">
        <v>2960</v>
      </c>
      <c r="DJU1" s="1" t="s">
        <v>2961</v>
      </c>
      <c r="DJV1" s="1" t="s">
        <v>2962</v>
      </c>
      <c r="DJW1" s="1" t="s">
        <v>2963</v>
      </c>
      <c r="DJX1" s="1" t="s">
        <v>2964</v>
      </c>
      <c r="DJY1" s="1" t="s">
        <v>2965</v>
      </c>
      <c r="DJZ1" s="1" t="s">
        <v>2966</v>
      </c>
      <c r="DKA1" s="1" t="s">
        <v>2967</v>
      </c>
      <c r="DKB1" s="1" t="s">
        <v>2968</v>
      </c>
      <c r="DKC1" s="1" t="s">
        <v>2969</v>
      </c>
      <c r="DKD1" s="1" t="s">
        <v>3578</v>
      </c>
      <c r="DKE1" s="1" t="s">
        <v>3579</v>
      </c>
      <c r="DKF1" s="1" t="s">
        <v>3580</v>
      </c>
      <c r="DKG1" s="1" t="s">
        <v>3784</v>
      </c>
      <c r="DKH1" s="1" t="s">
        <v>2970</v>
      </c>
      <c r="DKI1" s="1" t="s">
        <v>2971</v>
      </c>
      <c r="DKJ1" s="1" t="s">
        <v>2972</v>
      </c>
      <c r="DKK1" s="1" t="s">
        <v>2973</v>
      </c>
      <c r="DKL1" s="1" t="s">
        <v>2974</v>
      </c>
      <c r="DKM1" s="1" t="s">
        <v>2975</v>
      </c>
      <c r="DKN1" s="1" t="s">
        <v>2976</v>
      </c>
      <c r="DKO1" s="1" t="s">
        <v>2977</v>
      </c>
      <c r="DKP1" s="1" t="s">
        <v>2978</v>
      </c>
      <c r="DKQ1" s="1" t="s">
        <v>2979</v>
      </c>
      <c r="DKR1" s="1" t="s">
        <v>2980</v>
      </c>
      <c r="DKS1" s="1" t="s">
        <v>2981</v>
      </c>
      <c r="DKT1" s="1" t="s">
        <v>2982</v>
      </c>
      <c r="DKU1" s="1" t="s">
        <v>2983</v>
      </c>
      <c r="DKV1" s="1" t="s">
        <v>2984</v>
      </c>
      <c r="DKW1" s="1" t="s">
        <v>3581</v>
      </c>
      <c r="DKX1" s="1" t="s">
        <v>3582</v>
      </c>
      <c r="DKY1" s="1" t="s">
        <v>3583</v>
      </c>
      <c r="DKZ1" s="1" t="s">
        <v>3785</v>
      </c>
      <c r="DLA1" s="1" t="s">
        <v>2991</v>
      </c>
      <c r="DLB1" s="1" t="s">
        <v>2992</v>
      </c>
      <c r="DLC1" s="1" t="s">
        <v>2993</v>
      </c>
      <c r="DLD1" s="1" t="s">
        <v>2994</v>
      </c>
      <c r="DLE1" s="1" t="s">
        <v>2995</v>
      </c>
      <c r="DLF1" s="1" t="s">
        <v>2996</v>
      </c>
      <c r="DLG1" s="1" t="s">
        <v>2997</v>
      </c>
      <c r="DLH1" s="1" t="s">
        <v>2998</v>
      </c>
      <c r="DLI1" s="1" t="s">
        <v>2999</v>
      </c>
      <c r="DLJ1" s="1" t="s">
        <v>3000</v>
      </c>
      <c r="DLK1" s="1" t="s">
        <v>3001</v>
      </c>
      <c r="DLL1" s="1" t="s">
        <v>3002</v>
      </c>
      <c r="DLM1" s="1" t="s">
        <v>3003</v>
      </c>
      <c r="DLN1" s="1" t="s">
        <v>3004</v>
      </c>
      <c r="DLO1" s="1" t="s">
        <v>3005</v>
      </c>
      <c r="DLP1" s="1" t="s">
        <v>3584</v>
      </c>
      <c r="DLQ1" s="1" t="s">
        <v>3585</v>
      </c>
      <c r="DLR1" s="1" t="s">
        <v>3586</v>
      </c>
      <c r="DLS1" s="1" t="s">
        <v>3786</v>
      </c>
      <c r="DLT1" s="1" t="s">
        <v>3006</v>
      </c>
      <c r="DLU1" s="1" t="s">
        <v>3007</v>
      </c>
      <c r="DLV1" s="1" t="s">
        <v>3008</v>
      </c>
      <c r="DLW1" s="1" t="s">
        <v>3009</v>
      </c>
      <c r="DLX1" s="1" t="s">
        <v>3010</v>
      </c>
      <c r="DLY1" s="1" t="s">
        <v>3011</v>
      </c>
      <c r="DLZ1" s="1" t="s">
        <v>3012</v>
      </c>
      <c r="DMA1" s="1" t="s">
        <v>3013</v>
      </c>
      <c r="DMB1" s="1" t="s">
        <v>3014</v>
      </c>
      <c r="DMC1" s="1" t="s">
        <v>3015</v>
      </c>
      <c r="DMD1" s="1" t="s">
        <v>3016</v>
      </c>
      <c r="DME1" s="1" t="s">
        <v>3017</v>
      </c>
      <c r="DMF1" s="1" t="s">
        <v>3018</v>
      </c>
      <c r="DMG1" s="1" t="s">
        <v>3019</v>
      </c>
      <c r="DMH1" s="1" t="s">
        <v>3020</v>
      </c>
      <c r="DMI1" s="1" t="s">
        <v>3587</v>
      </c>
      <c r="DMJ1" s="1" t="s">
        <v>3588</v>
      </c>
      <c r="DMK1" s="1" t="s">
        <v>3589</v>
      </c>
      <c r="DML1" s="1" t="s">
        <v>3787</v>
      </c>
      <c r="DMM1" s="1" t="s">
        <v>3029</v>
      </c>
      <c r="DMN1" s="1" t="s">
        <v>3030</v>
      </c>
      <c r="DMO1" s="1" t="s">
        <v>3031</v>
      </c>
      <c r="DMP1" s="1" t="s">
        <v>3032</v>
      </c>
      <c r="DMQ1" s="1" t="s">
        <v>3033</v>
      </c>
      <c r="DMR1" s="1" t="s">
        <v>3034</v>
      </c>
      <c r="DMS1" s="1" t="s">
        <v>3035</v>
      </c>
      <c r="DMT1" s="1" t="s">
        <v>3036</v>
      </c>
      <c r="DMU1" s="1" t="s">
        <v>3037</v>
      </c>
      <c r="DMV1" s="1" t="s">
        <v>3038</v>
      </c>
      <c r="DMW1" s="1" t="s">
        <v>3039</v>
      </c>
      <c r="DMX1" s="1" t="s">
        <v>3040</v>
      </c>
      <c r="DMY1" s="1" t="s">
        <v>3041</v>
      </c>
      <c r="DMZ1" s="1" t="s">
        <v>3042</v>
      </c>
      <c r="DNA1" s="1" t="s">
        <v>3043</v>
      </c>
      <c r="DNB1" s="1" t="s">
        <v>3590</v>
      </c>
      <c r="DNC1" s="1" t="s">
        <v>3591</v>
      </c>
      <c r="DND1" s="1" t="s">
        <v>3592</v>
      </c>
      <c r="DNE1" s="1" t="s">
        <v>3788</v>
      </c>
      <c r="DNF1" s="1" t="s">
        <v>3044</v>
      </c>
      <c r="DNG1" s="1" t="s">
        <v>3045</v>
      </c>
      <c r="DNH1" s="1" t="s">
        <v>3046</v>
      </c>
      <c r="DNI1" s="1" t="s">
        <v>3047</v>
      </c>
      <c r="DNJ1" s="1" t="s">
        <v>3048</v>
      </c>
      <c r="DNK1" s="1" t="s">
        <v>3049</v>
      </c>
      <c r="DNL1" s="1" t="s">
        <v>3050</v>
      </c>
      <c r="DNM1" s="1" t="s">
        <v>3051</v>
      </c>
      <c r="DNN1" s="1" t="s">
        <v>3052</v>
      </c>
      <c r="DNO1" s="1" t="s">
        <v>3053</v>
      </c>
      <c r="DNP1" s="1" t="s">
        <v>3054</v>
      </c>
      <c r="DNQ1" s="1" t="s">
        <v>3055</v>
      </c>
      <c r="DNR1" s="1" t="s">
        <v>3056</v>
      </c>
      <c r="DNS1" s="1" t="s">
        <v>3057</v>
      </c>
      <c r="DNT1" s="1" t="s">
        <v>3058</v>
      </c>
      <c r="DNU1" s="1" t="s">
        <v>3593</v>
      </c>
      <c r="DNV1" s="1" t="s">
        <v>3594</v>
      </c>
      <c r="DNW1" s="1" t="s">
        <v>3595</v>
      </c>
      <c r="DNX1" s="1" t="s">
        <v>3789</v>
      </c>
      <c r="DNY1" s="1" t="s">
        <v>3069</v>
      </c>
      <c r="DNZ1" s="1" t="s">
        <v>3070</v>
      </c>
      <c r="DOA1" s="1" t="s">
        <v>3071</v>
      </c>
      <c r="DOB1" s="1" t="s">
        <v>3072</v>
      </c>
      <c r="DOC1" s="1" t="s">
        <v>3073</v>
      </c>
      <c r="DOD1" s="1" t="s">
        <v>3074</v>
      </c>
      <c r="DOE1" s="1" t="s">
        <v>3075</v>
      </c>
      <c r="DOF1" s="1" t="s">
        <v>3076</v>
      </c>
      <c r="DOG1" s="1" t="s">
        <v>3077</v>
      </c>
      <c r="DOH1" s="1" t="s">
        <v>3078</v>
      </c>
      <c r="DOI1" s="1" t="s">
        <v>3079</v>
      </c>
      <c r="DOJ1" s="1" t="s">
        <v>3080</v>
      </c>
      <c r="DOK1" s="1" t="s">
        <v>3081</v>
      </c>
      <c r="DOL1" s="1" t="s">
        <v>3082</v>
      </c>
      <c r="DOM1" s="1" t="s">
        <v>3083</v>
      </c>
      <c r="DON1" s="1" t="s">
        <v>3596</v>
      </c>
      <c r="DOO1" s="1" t="s">
        <v>3597</v>
      </c>
      <c r="DOP1" s="1" t="s">
        <v>3598</v>
      </c>
      <c r="DOQ1" s="1" t="s">
        <v>3790</v>
      </c>
      <c r="DOR1" s="1" t="s">
        <v>3084</v>
      </c>
      <c r="DOS1" s="1" t="s">
        <v>3085</v>
      </c>
      <c r="DOT1" s="1" t="s">
        <v>3086</v>
      </c>
      <c r="DOU1" s="1" t="s">
        <v>3087</v>
      </c>
      <c r="DOV1" s="1" t="s">
        <v>3088</v>
      </c>
      <c r="DOW1" s="1" t="s">
        <v>3089</v>
      </c>
      <c r="DOX1" s="1" t="s">
        <v>3090</v>
      </c>
      <c r="DOY1" s="1" t="s">
        <v>3091</v>
      </c>
      <c r="DOZ1" s="1" t="s">
        <v>3092</v>
      </c>
      <c r="DPA1" s="1" t="s">
        <v>3093</v>
      </c>
      <c r="DPB1" s="1" t="s">
        <v>3094</v>
      </c>
      <c r="DPC1" s="1" t="s">
        <v>3095</v>
      </c>
      <c r="DPD1" s="1" t="s">
        <v>3096</v>
      </c>
      <c r="DPE1" s="1" t="s">
        <v>3097</v>
      </c>
      <c r="DPF1" s="1" t="s">
        <v>3098</v>
      </c>
      <c r="DPG1" s="1" t="s">
        <v>3599</v>
      </c>
      <c r="DPH1" s="1" t="s">
        <v>3600</v>
      </c>
      <c r="DPI1" s="1" t="s">
        <v>3601</v>
      </c>
      <c r="DPJ1" s="1" t="s">
        <v>3791</v>
      </c>
      <c r="DPK1" s="1" t="s">
        <v>3099</v>
      </c>
      <c r="DPL1" s="1" t="s">
        <v>3100</v>
      </c>
      <c r="DPM1" s="1" t="s">
        <v>3101</v>
      </c>
      <c r="DPN1" s="1" t="s">
        <v>3102</v>
      </c>
      <c r="DPO1" s="1" t="s">
        <v>3103</v>
      </c>
      <c r="DPP1" s="1" t="s">
        <v>3104</v>
      </c>
      <c r="DPQ1" s="1" t="s">
        <v>3105</v>
      </c>
      <c r="DPR1" s="1" t="s">
        <v>3106</v>
      </c>
      <c r="DPS1" s="1" t="s">
        <v>3107</v>
      </c>
      <c r="DPT1" s="1" t="s">
        <v>3108</v>
      </c>
      <c r="DPU1" s="1" t="s">
        <v>3109</v>
      </c>
      <c r="DPV1" s="1" t="s">
        <v>3110</v>
      </c>
      <c r="DPW1" s="1" t="s">
        <v>3111</v>
      </c>
      <c r="DPX1" s="1" t="s">
        <v>3112</v>
      </c>
      <c r="DPY1" s="1" t="s">
        <v>3113</v>
      </c>
      <c r="DPZ1" s="1" t="s">
        <v>3602</v>
      </c>
      <c r="DQA1" s="1" t="s">
        <v>3603</v>
      </c>
      <c r="DQB1" s="1" t="s">
        <v>3604</v>
      </c>
      <c r="DQC1" s="1" t="s">
        <v>3792</v>
      </c>
    </row>
    <row r="2" spans="2:3149">
      <c r="B2" t="s">
        <v>3793</v>
      </c>
      <c r="C2" t="s">
        <v>3801</v>
      </c>
      <c r="D2" t="s">
        <v>3809</v>
      </c>
      <c r="E2" s="100">
        <v>44531</v>
      </c>
      <c r="F2" t="s">
        <v>3629</v>
      </c>
      <c r="G2">
        <v>142</v>
      </c>
      <c r="H2">
        <v>142</v>
      </c>
      <c r="I2">
        <v>83728.445699999997</v>
      </c>
      <c r="J2">
        <v>83728.445699999997</v>
      </c>
      <c r="K2">
        <v>0</v>
      </c>
      <c r="L2">
        <v>0</v>
      </c>
      <c r="M2">
        <v>0</v>
      </c>
      <c r="N2" t="s">
        <v>289</v>
      </c>
      <c r="O2" t="s">
        <v>289</v>
      </c>
      <c r="P2" t="s">
        <v>289</v>
      </c>
      <c r="Q2" t="s">
        <v>289</v>
      </c>
      <c r="R2" t="s">
        <v>289</v>
      </c>
      <c r="S2" t="s">
        <v>289</v>
      </c>
      <c r="T2" t="s">
        <v>289</v>
      </c>
      <c r="U2" t="s">
        <v>289</v>
      </c>
      <c r="V2" t="s">
        <v>289</v>
      </c>
      <c r="W2" t="s">
        <v>289</v>
      </c>
      <c r="X2" t="s">
        <v>289</v>
      </c>
      <c r="Y2" t="s">
        <v>289</v>
      </c>
      <c r="Z2" t="s">
        <v>289</v>
      </c>
      <c r="AA2" t="s">
        <v>289</v>
      </c>
      <c r="AB2" t="s">
        <v>289</v>
      </c>
      <c r="AC2" t="s">
        <v>289</v>
      </c>
      <c r="AD2" t="s">
        <v>289</v>
      </c>
      <c r="AE2" t="s">
        <v>289</v>
      </c>
      <c r="AF2" t="s">
        <v>289</v>
      </c>
      <c r="AG2" t="s">
        <v>289</v>
      </c>
      <c r="AH2" t="s">
        <v>289</v>
      </c>
      <c r="AI2" t="s">
        <v>289</v>
      </c>
      <c r="AJ2" t="s">
        <v>289</v>
      </c>
      <c r="AK2" t="s">
        <v>289</v>
      </c>
      <c r="AL2" t="s">
        <v>289</v>
      </c>
      <c r="AM2" t="s">
        <v>289</v>
      </c>
      <c r="AN2" t="s">
        <v>289</v>
      </c>
      <c r="AO2" t="s">
        <v>289</v>
      </c>
      <c r="AP2" t="s">
        <v>289</v>
      </c>
      <c r="AQ2" t="s">
        <v>289</v>
      </c>
      <c r="AR2" t="s">
        <v>289</v>
      </c>
      <c r="AS2" t="s">
        <v>289</v>
      </c>
      <c r="AT2" t="s">
        <v>289</v>
      </c>
      <c r="AU2" t="s">
        <v>289</v>
      </c>
      <c r="AV2" t="s">
        <v>289</v>
      </c>
      <c r="AW2" t="s">
        <v>289</v>
      </c>
      <c r="AX2" t="s">
        <v>289</v>
      </c>
      <c r="AY2" t="s">
        <v>289</v>
      </c>
      <c r="AZ2" t="s">
        <v>289</v>
      </c>
      <c r="BA2" t="s">
        <v>289</v>
      </c>
      <c r="BB2" t="s">
        <v>289</v>
      </c>
      <c r="BC2" t="s">
        <v>289</v>
      </c>
      <c r="BD2" t="s">
        <v>289</v>
      </c>
      <c r="BE2" t="s">
        <v>289</v>
      </c>
      <c r="BF2" t="s">
        <v>289</v>
      </c>
      <c r="BG2" t="s">
        <v>289</v>
      </c>
      <c r="BH2" t="s">
        <v>289</v>
      </c>
      <c r="BI2" t="s">
        <v>289</v>
      </c>
      <c r="BJ2" t="s">
        <v>289</v>
      </c>
      <c r="BK2" t="s">
        <v>289</v>
      </c>
      <c r="BL2" t="s">
        <v>289</v>
      </c>
      <c r="BM2" t="s">
        <v>289</v>
      </c>
      <c r="BN2" t="s">
        <v>289</v>
      </c>
      <c r="BO2" t="s">
        <v>289</v>
      </c>
      <c r="BP2" t="s">
        <v>289</v>
      </c>
      <c r="BQ2" t="s">
        <v>289</v>
      </c>
      <c r="BR2" t="s">
        <v>289</v>
      </c>
      <c r="BS2" t="s">
        <v>289</v>
      </c>
      <c r="BT2" t="s">
        <v>289</v>
      </c>
      <c r="BU2" t="s">
        <v>289</v>
      </c>
      <c r="BV2" t="s">
        <v>289</v>
      </c>
      <c r="BW2" t="s">
        <v>289</v>
      </c>
      <c r="BX2" t="s">
        <v>289</v>
      </c>
      <c r="BY2" t="s">
        <v>289</v>
      </c>
      <c r="BZ2" t="s">
        <v>289</v>
      </c>
      <c r="CA2" t="s">
        <v>289</v>
      </c>
      <c r="CB2" t="s">
        <v>289</v>
      </c>
      <c r="CC2" t="s">
        <v>289</v>
      </c>
      <c r="CD2" t="s">
        <v>289</v>
      </c>
      <c r="CE2" t="s">
        <v>289</v>
      </c>
      <c r="CF2" t="s">
        <v>289</v>
      </c>
      <c r="CG2" t="s">
        <v>289</v>
      </c>
      <c r="CH2" t="s">
        <v>289</v>
      </c>
      <c r="CI2" t="s">
        <v>289</v>
      </c>
      <c r="CJ2" t="s">
        <v>289</v>
      </c>
      <c r="CK2" t="s">
        <v>289</v>
      </c>
      <c r="CL2" t="s">
        <v>289</v>
      </c>
      <c r="CM2" t="s">
        <v>289</v>
      </c>
      <c r="CN2" t="s">
        <v>289</v>
      </c>
      <c r="CO2" t="s">
        <v>289</v>
      </c>
      <c r="CP2" t="s">
        <v>289</v>
      </c>
      <c r="CQ2" t="s">
        <v>289</v>
      </c>
      <c r="CR2" t="s">
        <v>289</v>
      </c>
      <c r="CS2" t="s">
        <v>289</v>
      </c>
      <c r="CT2" t="s">
        <v>289</v>
      </c>
      <c r="CU2" t="s">
        <v>289</v>
      </c>
      <c r="CV2" t="s">
        <v>289</v>
      </c>
      <c r="CW2" t="s">
        <v>289</v>
      </c>
      <c r="CX2" t="s">
        <v>289</v>
      </c>
      <c r="CY2" t="s">
        <v>289</v>
      </c>
      <c r="CZ2" t="s">
        <v>289</v>
      </c>
      <c r="DA2" t="s">
        <v>289</v>
      </c>
      <c r="DB2" t="s">
        <v>289</v>
      </c>
      <c r="DC2" t="s">
        <v>289</v>
      </c>
      <c r="DD2" t="s">
        <v>289</v>
      </c>
      <c r="DE2" t="s">
        <v>289</v>
      </c>
      <c r="DF2" t="s">
        <v>289</v>
      </c>
      <c r="DG2" t="s">
        <v>289</v>
      </c>
      <c r="DH2" t="s">
        <v>289</v>
      </c>
      <c r="DI2" t="s">
        <v>289</v>
      </c>
      <c r="DJ2" t="s">
        <v>289</v>
      </c>
      <c r="DK2" t="s">
        <v>289</v>
      </c>
      <c r="DL2" t="s">
        <v>289</v>
      </c>
      <c r="DM2" t="s">
        <v>289</v>
      </c>
      <c r="DN2" t="s">
        <v>289</v>
      </c>
      <c r="DO2" t="s">
        <v>289</v>
      </c>
      <c r="DP2" t="s">
        <v>289</v>
      </c>
      <c r="DQ2" t="s">
        <v>289</v>
      </c>
      <c r="DR2" t="s">
        <v>289</v>
      </c>
      <c r="DS2" t="s">
        <v>289</v>
      </c>
      <c r="DT2" t="s">
        <v>289</v>
      </c>
      <c r="DU2">
        <v>1134</v>
      </c>
      <c r="DV2" t="s">
        <v>289</v>
      </c>
      <c r="DW2" t="s">
        <v>289</v>
      </c>
      <c r="DX2" t="s">
        <v>289</v>
      </c>
      <c r="DY2" t="s">
        <v>289</v>
      </c>
      <c r="DZ2" t="s">
        <v>289</v>
      </c>
      <c r="EA2" t="s">
        <v>289</v>
      </c>
      <c r="EB2" t="s">
        <v>289</v>
      </c>
      <c r="EC2" t="s">
        <v>289</v>
      </c>
      <c r="ED2" t="s">
        <v>289</v>
      </c>
      <c r="EE2" t="s">
        <v>289</v>
      </c>
      <c r="EF2" t="s">
        <v>289</v>
      </c>
      <c r="EG2" t="s">
        <v>289</v>
      </c>
      <c r="EH2" t="s">
        <v>289</v>
      </c>
      <c r="EI2" t="s">
        <v>289</v>
      </c>
      <c r="EJ2" t="s">
        <v>289</v>
      </c>
      <c r="EK2" t="s">
        <v>289</v>
      </c>
      <c r="EL2" t="s">
        <v>289</v>
      </c>
      <c r="EM2" t="s">
        <v>289</v>
      </c>
      <c r="EN2" t="s">
        <v>289</v>
      </c>
      <c r="EO2" t="s">
        <v>289</v>
      </c>
      <c r="EP2" t="s">
        <v>289</v>
      </c>
      <c r="EQ2" t="s">
        <v>289</v>
      </c>
      <c r="ER2" t="s">
        <v>289</v>
      </c>
      <c r="ES2" t="s">
        <v>289</v>
      </c>
      <c r="ET2" t="s">
        <v>289</v>
      </c>
      <c r="EU2" t="s">
        <v>289</v>
      </c>
      <c r="EV2" t="s">
        <v>289</v>
      </c>
      <c r="EW2" t="s">
        <v>289</v>
      </c>
      <c r="EX2" t="s">
        <v>289</v>
      </c>
      <c r="EY2" t="s">
        <v>289</v>
      </c>
      <c r="EZ2" t="s">
        <v>289</v>
      </c>
      <c r="FA2" t="s">
        <v>289</v>
      </c>
      <c r="FB2" t="s">
        <v>289</v>
      </c>
      <c r="FC2" t="s">
        <v>289</v>
      </c>
      <c r="FD2" t="s">
        <v>289</v>
      </c>
      <c r="FE2" t="s">
        <v>289</v>
      </c>
      <c r="FF2" t="s">
        <v>289</v>
      </c>
      <c r="FG2" t="s">
        <v>289</v>
      </c>
      <c r="FH2" t="s">
        <v>289</v>
      </c>
      <c r="FI2" t="s">
        <v>289</v>
      </c>
      <c r="FJ2" t="s">
        <v>289</v>
      </c>
      <c r="FK2" t="s">
        <v>289</v>
      </c>
      <c r="FL2" t="s">
        <v>289</v>
      </c>
      <c r="FM2" t="s">
        <v>289</v>
      </c>
      <c r="FN2" t="s">
        <v>289</v>
      </c>
      <c r="FO2" t="s">
        <v>289</v>
      </c>
      <c r="FP2" t="s">
        <v>289</v>
      </c>
      <c r="FQ2" t="s">
        <v>289</v>
      </c>
      <c r="FR2" t="s">
        <v>289</v>
      </c>
      <c r="FS2" t="s">
        <v>289</v>
      </c>
      <c r="FT2" t="s">
        <v>289</v>
      </c>
      <c r="FU2" t="s">
        <v>289</v>
      </c>
      <c r="FV2" t="s">
        <v>289</v>
      </c>
      <c r="FW2" t="s">
        <v>289</v>
      </c>
      <c r="FX2" t="s">
        <v>289</v>
      </c>
      <c r="FY2" t="s">
        <v>289</v>
      </c>
      <c r="FZ2" t="s">
        <v>289</v>
      </c>
      <c r="GA2" t="s">
        <v>289</v>
      </c>
      <c r="GB2" t="s">
        <v>289</v>
      </c>
      <c r="GC2" t="s">
        <v>289</v>
      </c>
      <c r="GD2" t="s">
        <v>289</v>
      </c>
      <c r="GE2" t="s">
        <v>289</v>
      </c>
      <c r="GF2" t="s">
        <v>289</v>
      </c>
      <c r="GG2" t="s">
        <v>289</v>
      </c>
      <c r="GH2" t="s">
        <v>289</v>
      </c>
      <c r="GI2" t="s">
        <v>289</v>
      </c>
      <c r="GJ2" t="s">
        <v>289</v>
      </c>
      <c r="GK2" t="s">
        <v>289</v>
      </c>
      <c r="GL2" t="s">
        <v>289</v>
      </c>
      <c r="GM2" t="s">
        <v>289</v>
      </c>
      <c r="GN2" t="s">
        <v>289</v>
      </c>
      <c r="GO2" t="s">
        <v>289</v>
      </c>
      <c r="GP2" t="s">
        <v>289</v>
      </c>
      <c r="GQ2" t="s">
        <v>289</v>
      </c>
      <c r="GR2" t="s">
        <v>289</v>
      </c>
      <c r="GS2" t="s">
        <v>289</v>
      </c>
      <c r="GT2" t="s">
        <v>289</v>
      </c>
      <c r="GU2" t="s">
        <v>289</v>
      </c>
      <c r="GV2" t="s">
        <v>289</v>
      </c>
      <c r="GW2" t="s">
        <v>289</v>
      </c>
      <c r="GX2" t="s">
        <v>289</v>
      </c>
      <c r="GY2" t="s">
        <v>289</v>
      </c>
      <c r="GZ2" t="s">
        <v>289</v>
      </c>
      <c r="HA2" t="s">
        <v>289</v>
      </c>
      <c r="HB2" t="s">
        <v>289</v>
      </c>
      <c r="HC2" t="s">
        <v>289</v>
      </c>
      <c r="HD2" t="s">
        <v>289</v>
      </c>
      <c r="HE2" t="s">
        <v>289</v>
      </c>
      <c r="HF2" t="s">
        <v>289</v>
      </c>
      <c r="HG2" t="s">
        <v>289</v>
      </c>
      <c r="HH2" t="s">
        <v>289</v>
      </c>
      <c r="HI2" t="s">
        <v>289</v>
      </c>
      <c r="HJ2" t="s">
        <v>289</v>
      </c>
      <c r="HK2" t="s">
        <v>289</v>
      </c>
      <c r="HL2" t="s">
        <v>289</v>
      </c>
      <c r="HM2" t="s">
        <v>289</v>
      </c>
      <c r="HN2" t="s">
        <v>289</v>
      </c>
      <c r="HO2" t="s">
        <v>289</v>
      </c>
      <c r="HP2" t="s">
        <v>289</v>
      </c>
      <c r="HQ2" t="s">
        <v>289</v>
      </c>
      <c r="HR2" t="s">
        <v>289</v>
      </c>
      <c r="HS2" t="s">
        <v>289</v>
      </c>
      <c r="HT2" t="s">
        <v>289</v>
      </c>
      <c r="HU2" t="s">
        <v>289</v>
      </c>
      <c r="HV2" t="s">
        <v>289</v>
      </c>
      <c r="HW2" t="s">
        <v>289</v>
      </c>
      <c r="HX2" t="s">
        <v>289</v>
      </c>
      <c r="HY2" t="s">
        <v>289</v>
      </c>
      <c r="HZ2" t="s">
        <v>289</v>
      </c>
      <c r="IA2" t="s">
        <v>289</v>
      </c>
      <c r="IB2" t="s">
        <v>289</v>
      </c>
      <c r="IC2" t="s">
        <v>289</v>
      </c>
      <c r="ID2" t="s">
        <v>289</v>
      </c>
      <c r="IE2" t="s">
        <v>289</v>
      </c>
      <c r="IF2" t="s">
        <v>289</v>
      </c>
      <c r="IG2" t="s">
        <v>289</v>
      </c>
      <c r="IH2" t="s">
        <v>289</v>
      </c>
      <c r="II2" t="s">
        <v>289</v>
      </c>
      <c r="IJ2" t="s">
        <v>289</v>
      </c>
      <c r="IK2" t="s">
        <v>289</v>
      </c>
      <c r="IL2" t="s">
        <v>289</v>
      </c>
      <c r="IM2" t="s">
        <v>289</v>
      </c>
      <c r="IN2" t="s">
        <v>289</v>
      </c>
      <c r="IO2" t="s">
        <v>289</v>
      </c>
      <c r="IP2" t="s">
        <v>289</v>
      </c>
      <c r="IQ2" t="s">
        <v>289</v>
      </c>
      <c r="IR2" t="s">
        <v>289</v>
      </c>
      <c r="IS2" t="s">
        <v>289</v>
      </c>
      <c r="IT2" t="s">
        <v>289</v>
      </c>
      <c r="IU2" t="s">
        <v>289</v>
      </c>
      <c r="IV2" t="s">
        <v>289</v>
      </c>
      <c r="IW2" t="s">
        <v>289</v>
      </c>
      <c r="IX2" t="s">
        <v>289</v>
      </c>
      <c r="IY2" t="s">
        <v>289</v>
      </c>
      <c r="IZ2" t="s">
        <v>289</v>
      </c>
      <c r="JA2" t="s">
        <v>289</v>
      </c>
      <c r="JB2" t="s">
        <v>289</v>
      </c>
      <c r="JC2" t="s">
        <v>289</v>
      </c>
      <c r="JD2" t="s">
        <v>289</v>
      </c>
      <c r="JE2" t="s">
        <v>289</v>
      </c>
      <c r="JF2" t="s">
        <v>289</v>
      </c>
      <c r="JG2" t="s">
        <v>289</v>
      </c>
      <c r="JH2" t="s">
        <v>289</v>
      </c>
      <c r="JI2" t="s">
        <v>289</v>
      </c>
      <c r="JJ2" t="s">
        <v>289</v>
      </c>
      <c r="JK2" t="s">
        <v>289</v>
      </c>
      <c r="JL2" t="s">
        <v>289</v>
      </c>
      <c r="JM2" t="s">
        <v>289</v>
      </c>
      <c r="JN2" t="s">
        <v>289</v>
      </c>
      <c r="JO2" t="s">
        <v>289</v>
      </c>
      <c r="JP2" t="s">
        <v>289</v>
      </c>
      <c r="JQ2">
        <v>10221</v>
      </c>
      <c r="JR2">
        <v>7963</v>
      </c>
      <c r="JS2">
        <v>9367</v>
      </c>
      <c r="JT2">
        <v>10112</v>
      </c>
      <c r="JU2">
        <v>9474</v>
      </c>
      <c r="JV2">
        <v>20539</v>
      </c>
      <c r="JW2">
        <v>18670</v>
      </c>
      <c r="JX2">
        <v>18291</v>
      </c>
      <c r="JY2">
        <v>18488</v>
      </c>
      <c r="JZ2">
        <v>23178</v>
      </c>
      <c r="KA2">
        <v>19123</v>
      </c>
      <c r="KB2">
        <v>20871</v>
      </c>
      <c r="KC2">
        <v>19265</v>
      </c>
      <c r="KD2">
        <v>18457</v>
      </c>
      <c r="KE2">
        <v>28938</v>
      </c>
      <c r="KF2">
        <v>25923</v>
      </c>
      <c r="KG2">
        <v>33909</v>
      </c>
      <c r="KH2">
        <v>39723</v>
      </c>
      <c r="KI2" t="s">
        <v>289</v>
      </c>
      <c r="KJ2" t="s">
        <v>289</v>
      </c>
      <c r="KK2" t="s">
        <v>289</v>
      </c>
      <c r="KL2" t="s">
        <v>289</v>
      </c>
      <c r="KM2" t="s">
        <v>289</v>
      </c>
      <c r="KN2" t="s">
        <v>289</v>
      </c>
      <c r="KO2" t="s">
        <v>289</v>
      </c>
      <c r="KP2" t="s">
        <v>289</v>
      </c>
      <c r="KQ2" t="s">
        <v>289</v>
      </c>
      <c r="KR2" t="s">
        <v>289</v>
      </c>
      <c r="KS2" t="s">
        <v>289</v>
      </c>
      <c r="KT2" t="s">
        <v>289</v>
      </c>
      <c r="KU2" t="s">
        <v>289</v>
      </c>
      <c r="KV2" t="s">
        <v>289</v>
      </c>
      <c r="KW2" t="s">
        <v>289</v>
      </c>
      <c r="KX2" t="s">
        <v>289</v>
      </c>
      <c r="KY2" t="s">
        <v>289</v>
      </c>
      <c r="KZ2" t="s">
        <v>289</v>
      </c>
      <c r="LA2" t="s">
        <v>289</v>
      </c>
      <c r="LB2" t="s">
        <v>289</v>
      </c>
      <c r="LC2" t="s">
        <v>289</v>
      </c>
      <c r="LD2" t="s">
        <v>289</v>
      </c>
      <c r="LE2" t="s">
        <v>289</v>
      </c>
      <c r="LF2" t="s">
        <v>289</v>
      </c>
      <c r="LG2" t="s">
        <v>289</v>
      </c>
      <c r="LH2" t="s">
        <v>289</v>
      </c>
      <c r="LI2" t="s">
        <v>289</v>
      </c>
      <c r="LJ2" t="s">
        <v>289</v>
      </c>
      <c r="LK2" t="s">
        <v>289</v>
      </c>
      <c r="LL2" t="s">
        <v>289</v>
      </c>
      <c r="LM2" t="s">
        <v>289</v>
      </c>
      <c r="LN2" t="s">
        <v>289</v>
      </c>
      <c r="LO2" t="s">
        <v>289</v>
      </c>
      <c r="LP2" t="s">
        <v>289</v>
      </c>
      <c r="LQ2" t="s">
        <v>289</v>
      </c>
      <c r="LR2" t="s">
        <v>289</v>
      </c>
      <c r="LS2" t="s">
        <v>289</v>
      </c>
      <c r="LT2" t="s">
        <v>289</v>
      </c>
      <c r="LU2" t="s">
        <v>289</v>
      </c>
      <c r="LV2" t="s">
        <v>289</v>
      </c>
      <c r="LW2" t="s">
        <v>289</v>
      </c>
      <c r="LX2" t="s">
        <v>289</v>
      </c>
      <c r="LY2" t="s">
        <v>289</v>
      </c>
      <c r="LZ2" t="s">
        <v>289</v>
      </c>
      <c r="MA2" t="s">
        <v>289</v>
      </c>
      <c r="MB2" t="s">
        <v>289</v>
      </c>
      <c r="MC2" t="s">
        <v>289</v>
      </c>
      <c r="MD2" t="s">
        <v>289</v>
      </c>
      <c r="ME2" t="s">
        <v>289</v>
      </c>
      <c r="MF2" t="s">
        <v>289</v>
      </c>
      <c r="MG2" t="s">
        <v>289</v>
      </c>
      <c r="MH2" t="s">
        <v>289</v>
      </c>
      <c r="MI2" t="s">
        <v>289</v>
      </c>
      <c r="MJ2" t="s">
        <v>289</v>
      </c>
      <c r="MK2" t="s">
        <v>289</v>
      </c>
      <c r="ML2" t="s">
        <v>289</v>
      </c>
      <c r="MM2" t="s">
        <v>289</v>
      </c>
      <c r="MN2" t="s">
        <v>289</v>
      </c>
      <c r="MO2">
        <v>2687</v>
      </c>
      <c r="MP2">
        <v>2872</v>
      </c>
      <c r="MQ2">
        <v>3038</v>
      </c>
      <c r="MR2">
        <v>3109</v>
      </c>
      <c r="MS2">
        <v>3344</v>
      </c>
      <c r="MT2">
        <v>3013</v>
      </c>
      <c r="MU2">
        <v>4248</v>
      </c>
      <c r="MV2">
        <v>6333</v>
      </c>
      <c r="MW2">
        <v>7836</v>
      </c>
      <c r="MX2">
        <v>5622</v>
      </c>
      <c r="MY2">
        <v>5878</v>
      </c>
      <c r="MZ2">
        <v>8026</v>
      </c>
      <c r="NA2">
        <v>9756</v>
      </c>
      <c r="NB2">
        <v>9810</v>
      </c>
      <c r="NC2">
        <v>10131</v>
      </c>
      <c r="ND2">
        <v>13106</v>
      </c>
      <c r="NE2">
        <v>13486</v>
      </c>
      <c r="NF2">
        <v>13393</v>
      </c>
      <c r="NG2" t="s">
        <v>289</v>
      </c>
      <c r="NH2" t="s">
        <v>289</v>
      </c>
      <c r="NI2" t="s">
        <v>289</v>
      </c>
      <c r="NJ2" t="s">
        <v>289</v>
      </c>
      <c r="NK2" t="s">
        <v>289</v>
      </c>
      <c r="NL2" t="s">
        <v>289</v>
      </c>
      <c r="NM2" t="s">
        <v>289</v>
      </c>
      <c r="NN2" t="s">
        <v>289</v>
      </c>
      <c r="NO2" t="s">
        <v>289</v>
      </c>
      <c r="NP2" t="s">
        <v>289</v>
      </c>
      <c r="NQ2" t="s">
        <v>289</v>
      </c>
      <c r="NR2" t="s">
        <v>289</v>
      </c>
      <c r="NS2" t="s">
        <v>289</v>
      </c>
      <c r="NT2" t="s">
        <v>289</v>
      </c>
      <c r="NU2" t="s">
        <v>289</v>
      </c>
      <c r="NV2" t="s">
        <v>289</v>
      </c>
      <c r="NW2" t="s">
        <v>289</v>
      </c>
      <c r="NX2" t="s">
        <v>289</v>
      </c>
      <c r="NY2" t="s">
        <v>289</v>
      </c>
      <c r="NZ2" t="s">
        <v>289</v>
      </c>
      <c r="OA2" t="s">
        <v>289</v>
      </c>
      <c r="OB2" t="s">
        <v>289</v>
      </c>
      <c r="OC2" t="s">
        <v>289</v>
      </c>
      <c r="OD2" t="s">
        <v>289</v>
      </c>
      <c r="OE2" t="s">
        <v>289</v>
      </c>
      <c r="OF2" t="s">
        <v>289</v>
      </c>
      <c r="OG2" t="s">
        <v>289</v>
      </c>
      <c r="OH2" t="s">
        <v>289</v>
      </c>
      <c r="OI2" t="s">
        <v>289</v>
      </c>
      <c r="OJ2" t="s">
        <v>289</v>
      </c>
      <c r="OK2" t="s">
        <v>289</v>
      </c>
      <c r="OL2" t="s">
        <v>289</v>
      </c>
      <c r="OM2" t="s">
        <v>289</v>
      </c>
      <c r="ON2" t="s">
        <v>289</v>
      </c>
      <c r="OO2" t="s">
        <v>289</v>
      </c>
      <c r="OP2" t="s">
        <v>289</v>
      </c>
      <c r="OQ2" t="s">
        <v>289</v>
      </c>
      <c r="OR2" t="s">
        <v>289</v>
      </c>
      <c r="OS2" t="s">
        <v>289</v>
      </c>
      <c r="OT2" t="s">
        <v>289</v>
      </c>
      <c r="OU2" t="s">
        <v>289</v>
      </c>
      <c r="OV2" t="s">
        <v>289</v>
      </c>
      <c r="OW2" t="s">
        <v>289</v>
      </c>
      <c r="OX2" t="s">
        <v>289</v>
      </c>
      <c r="OY2" t="s">
        <v>289</v>
      </c>
      <c r="OZ2" t="s">
        <v>289</v>
      </c>
      <c r="PA2" t="s">
        <v>289</v>
      </c>
      <c r="PB2" t="s">
        <v>289</v>
      </c>
      <c r="PC2" t="s">
        <v>289</v>
      </c>
      <c r="PD2" t="s">
        <v>289</v>
      </c>
      <c r="PE2" t="s">
        <v>289</v>
      </c>
      <c r="PF2" t="s">
        <v>289</v>
      </c>
      <c r="PG2" t="s">
        <v>289</v>
      </c>
      <c r="PH2" t="s">
        <v>289</v>
      </c>
      <c r="PI2" t="s">
        <v>289</v>
      </c>
      <c r="PJ2" t="s">
        <v>289</v>
      </c>
      <c r="PK2" t="s">
        <v>289</v>
      </c>
      <c r="PL2" t="s">
        <v>289</v>
      </c>
      <c r="PM2">
        <v>7422</v>
      </c>
      <c r="PN2" t="s">
        <v>289</v>
      </c>
      <c r="PO2" t="s">
        <v>289</v>
      </c>
      <c r="PP2" t="s">
        <v>289</v>
      </c>
      <c r="PQ2" t="s">
        <v>289</v>
      </c>
      <c r="PR2" t="s">
        <v>289</v>
      </c>
      <c r="PS2" t="s">
        <v>289</v>
      </c>
      <c r="PT2" t="s">
        <v>289</v>
      </c>
      <c r="PU2" t="s">
        <v>289</v>
      </c>
      <c r="PV2" t="s">
        <v>289</v>
      </c>
      <c r="PW2" t="s">
        <v>289</v>
      </c>
      <c r="PX2" t="s">
        <v>289</v>
      </c>
      <c r="PY2" t="s">
        <v>289</v>
      </c>
      <c r="PZ2" t="s">
        <v>289</v>
      </c>
      <c r="QA2" t="s">
        <v>289</v>
      </c>
      <c r="QB2">
        <v>24439</v>
      </c>
      <c r="QC2">
        <v>27070</v>
      </c>
      <c r="QD2">
        <v>27473</v>
      </c>
      <c r="QE2" t="s">
        <v>289</v>
      </c>
      <c r="QF2" t="s">
        <v>289</v>
      </c>
      <c r="QG2" t="s">
        <v>289</v>
      </c>
      <c r="QH2" t="s">
        <v>289</v>
      </c>
      <c r="QI2" t="s">
        <v>289</v>
      </c>
      <c r="QJ2" t="s">
        <v>289</v>
      </c>
      <c r="QK2" t="s">
        <v>289</v>
      </c>
      <c r="QL2" t="s">
        <v>289</v>
      </c>
      <c r="QM2" t="s">
        <v>289</v>
      </c>
      <c r="QN2" t="s">
        <v>289</v>
      </c>
      <c r="QO2" t="s">
        <v>289</v>
      </c>
      <c r="QP2" t="s">
        <v>289</v>
      </c>
      <c r="QQ2" t="s">
        <v>289</v>
      </c>
      <c r="QR2" t="s">
        <v>289</v>
      </c>
      <c r="QS2" t="s">
        <v>289</v>
      </c>
      <c r="QT2" t="s">
        <v>289</v>
      </c>
      <c r="QU2" t="s">
        <v>289</v>
      </c>
      <c r="QV2" t="s">
        <v>289</v>
      </c>
      <c r="QW2" t="s">
        <v>289</v>
      </c>
      <c r="QX2" t="s">
        <v>289</v>
      </c>
      <c r="QY2" t="s">
        <v>289</v>
      </c>
      <c r="QZ2">
        <v>8648</v>
      </c>
      <c r="RA2">
        <v>9363</v>
      </c>
      <c r="RB2">
        <v>9058</v>
      </c>
      <c r="RC2">
        <v>8406</v>
      </c>
      <c r="RD2">
        <v>8861</v>
      </c>
      <c r="RE2">
        <v>10089</v>
      </c>
      <c r="RF2">
        <v>10333</v>
      </c>
      <c r="RG2">
        <v>13114</v>
      </c>
      <c r="RH2">
        <v>14650</v>
      </c>
      <c r="RI2">
        <v>16791</v>
      </c>
      <c r="RJ2">
        <v>19656</v>
      </c>
      <c r="RK2">
        <v>20793</v>
      </c>
      <c r="RL2">
        <v>22030</v>
      </c>
      <c r="RM2">
        <v>22391</v>
      </c>
      <c r="RN2" t="s">
        <v>289</v>
      </c>
      <c r="RO2" t="s">
        <v>289</v>
      </c>
      <c r="RP2" t="s">
        <v>289</v>
      </c>
      <c r="RQ2" t="s">
        <v>289</v>
      </c>
      <c r="RR2" t="s">
        <v>289</v>
      </c>
      <c r="RS2" t="s">
        <v>289</v>
      </c>
      <c r="RT2" t="s">
        <v>289</v>
      </c>
      <c r="RU2" t="s">
        <v>289</v>
      </c>
      <c r="RV2" t="s">
        <v>289</v>
      </c>
      <c r="RW2" t="s">
        <v>289</v>
      </c>
      <c r="RX2" t="s">
        <v>289</v>
      </c>
      <c r="RY2" t="s">
        <v>289</v>
      </c>
      <c r="RZ2" t="s">
        <v>289</v>
      </c>
      <c r="SA2" t="s">
        <v>289</v>
      </c>
      <c r="SB2" t="s">
        <v>289</v>
      </c>
      <c r="SC2" t="s">
        <v>289</v>
      </c>
      <c r="SD2" t="s">
        <v>289</v>
      </c>
      <c r="SE2" t="s">
        <v>289</v>
      </c>
      <c r="SF2" t="s">
        <v>289</v>
      </c>
      <c r="SG2" t="s">
        <v>289</v>
      </c>
      <c r="SH2" t="s">
        <v>289</v>
      </c>
      <c r="SI2" t="s">
        <v>289</v>
      </c>
      <c r="SJ2" t="s">
        <v>289</v>
      </c>
      <c r="SK2" t="s">
        <v>289</v>
      </c>
      <c r="SL2" t="s">
        <v>289</v>
      </c>
      <c r="SM2" t="s">
        <v>289</v>
      </c>
      <c r="SN2" t="s">
        <v>289</v>
      </c>
      <c r="SO2" t="s">
        <v>289</v>
      </c>
      <c r="SP2" t="s">
        <v>289</v>
      </c>
      <c r="SQ2" t="s">
        <v>289</v>
      </c>
      <c r="SR2" t="s">
        <v>289</v>
      </c>
      <c r="SS2" t="s">
        <v>289</v>
      </c>
      <c r="ST2" t="s">
        <v>289</v>
      </c>
      <c r="SU2" t="s">
        <v>289</v>
      </c>
      <c r="SV2" t="s">
        <v>289</v>
      </c>
      <c r="SW2" t="s">
        <v>289</v>
      </c>
      <c r="SX2" t="s">
        <v>289</v>
      </c>
      <c r="SY2" t="s">
        <v>289</v>
      </c>
      <c r="SZ2" t="s">
        <v>289</v>
      </c>
      <c r="TA2" t="s">
        <v>289</v>
      </c>
      <c r="TB2" t="s">
        <v>289</v>
      </c>
      <c r="TC2" t="s">
        <v>289</v>
      </c>
      <c r="TD2">
        <v>4221</v>
      </c>
      <c r="TE2">
        <v>4198</v>
      </c>
      <c r="TF2">
        <v>6876</v>
      </c>
      <c r="TG2">
        <v>7795</v>
      </c>
      <c r="TH2" t="s">
        <v>289</v>
      </c>
      <c r="TI2" t="s">
        <v>289</v>
      </c>
      <c r="TJ2" t="s">
        <v>289</v>
      </c>
      <c r="TK2" t="s">
        <v>289</v>
      </c>
      <c r="TL2" t="s">
        <v>289</v>
      </c>
      <c r="TM2" t="s">
        <v>289</v>
      </c>
      <c r="TN2" t="s">
        <v>289</v>
      </c>
      <c r="TO2" t="s">
        <v>289</v>
      </c>
      <c r="TP2" t="s">
        <v>289</v>
      </c>
      <c r="TQ2" t="s">
        <v>289</v>
      </c>
      <c r="TR2" t="s">
        <v>289</v>
      </c>
      <c r="TS2" t="s">
        <v>289</v>
      </c>
      <c r="TT2" t="s">
        <v>289</v>
      </c>
      <c r="TU2" t="s">
        <v>289</v>
      </c>
      <c r="TV2" t="s">
        <v>289</v>
      </c>
      <c r="TW2" t="s">
        <v>289</v>
      </c>
      <c r="TX2" t="s">
        <v>289</v>
      </c>
      <c r="TY2" t="s">
        <v>289</v>
      </c>
      <c r="TZ2" t="s">
        <v>289</v>
      </c>
      <c r="UA2" t="s">
        <v>289</v>
      </c>
      <c r="UB2" t="s">
        <v>289</v>
      </c>
      <c r="UC2" t="s">
        <v>289</v>
      </c>
      <c r="UD2" t="s">
        <v>289</v>
      </c>
      <c r="UE2" t="s">
        <v>289</v>
      </c>
      <c r="UF2" t="s">
        <v>289</v>
      </c>
      <c r="UG2" t="s">
        <v>289</v>
      </c>
      <c r="UH2" t="s">
        <v>289</v>
      </c>
      <c r="UI2" t="s">
        <v>289</v>
      </c>
      <c r="UJ2" t="s">
        <v>289</v>
      </c>
      <c r="UK2" t="s">
        <v>289</v>
      </c>
      <c r="UL2" t="s">
        <v>289</v>
      </c>
      <c r="UM2" t="s">
        <v>289</v>
      </c>
      <c r="UN2" t="s">
        <v>289</v>
      </c>
      <c r="UO2" t="s">
        <v>289</v>
      </c>
      <c r="UP2" t="s">
        <v>289</v>
      </c>
      <c r="UQ2" t="s">
        <v>289</v>
      </c>
      <c r="UR2" t="s">
        <v>289</v>
      </c>
      <c r="US2" t="s">
        <v>289</v>
      </c>
      <c r="UT2" t="s">
        <v>289</v>
      </c>
      <c r="UU2" t="s">
        <v>289</v>
      </c>
      <c r="UV2" t="s">
        <v>289</v>
      </c>
      <c r="UW2" t="s">
        <v>289</v>
      </c>
      <c r="UX2" t="s">
        <v>289</v>
      </c>
      <c r="UY2" t="s">
        <v>289</v>
      </c>
      <c r="UZ2" t="s">
        <v>289</v>
      </c>
      <c r="VA2" t="s">
        <v>289</v>
      </c>
      <c r="VB2" t="s">
        <v>289</v>
      </c>
      <c r="VC2" t="s">
        <v>289</v>
      </c>
      <c r="VD2" t="s">
        <v>289</v>
      </c>
      <c r="VE2" t="s">
        <v>289</v>
      </c>
      <c r="VF2" t="s">
        <v>289</v>
      </c>
      <c r="VG2" t="s">
        <v>289</v>
      </c>
      <c r="VH2" t="s">
        <v>289</v>
      </c>
      <c r="VI2" t="s">
        <v>289</v>
      </c>
      <c r="VJ2" t="s">
        <v>289</v>
      </c>
      <c r="VK2" t="s">
        <v>289</v>
      </c>
      <c r="VL2" t="s">
        <v>289</v>
      </c>
      <c r="VM2" t="s">
        <v>289</v>
      </c>
      <c r="VN2" t="s">
        <v>289</v>
      </c>
      <c r="VO2" t="s">
        <v>289</v>
      </c>
      <c r="VP2" t="s">
        <v>289</v>
      </c>
      <c r="VQ2" t="s">
        <v>289</v>
      </c>
      <c r="VR2" t="s">
        <v>289</v>
      </c>
      <c r="VS2" t="s">
        <v>289</v>
      </c>
      <c r="VT2" t="s">
        <v>289</v>
      </c>
      <c r="VU2" t="s">
        <v>289</v>
      </c>
      <c r="VV2" t="s">
        <v>289</v>
      </c>
      <c r="VW2" t="s">
        <v>289</v>
      </c>
      <c r="VX2" t="s">
        <v>289</v>
      </c>
      <c r="VY2" t="s">
        <v>289</v>
      </c>
      <c r="VZ2" t="s">
        <v>289</v>
      </c>
      <c r="WA2" t="s">
        <v>289</v>
      </c>
      <c r="WB2" t="s">
        <v>289</v>
      </c>
      <c r="WC2" t="s">
        <v>289</v>
      </c>
      <c r="WD2" t="s">
        <v>289</v>
      </c>
      <c r="WE2" t="s">
        <v>289</v>
      </c>
      <c r="WF2">
        <v>6373</v>
      </c>
      <c r="WG2">
        <v>10385</v>
      </c>
      <c r="WH2">
        <v>13528</v>
      </c>
      <c r="WI2">
        <v>10249</v>
      </c>
      <c r="WJ2">
        <v>7309</v>
      </c>
      <c r="WK2">
        <v>7934</v>
      </c>
      <c r="WL2">
        <v>9874</v>
      </c>
      <c r="WM2">
        <v>10904</v>
      </c>
      <c r="WN2">
        <v>8616</v>
      </c>
      <c r="WO2">
        <v>8205</v>
      </c>
      <c r="WP2">
        <v>8434</v>
      </c>
      <c r="WQ2">
        <v>8169</v>
      </c>
      <c r="WR2">
        <v>10080</v>
      </c>
      <c r="WS2">
        <v>12531</v>
      </c>
      <c r="WT2" t="s">
        <v>289</v>
      </c>
      <c r="WU2" t="s">
        <v>289</v>
      </c>
      <c r="WV2" t="s">
        <v>289</v>
      </c>
      <c r="WW2" t="s">
        <v>289</v>
      </c>
      <c r="WX2" t="s">
        <v>289</v>
      </c>
      <c r="WY2" t="s">
        <v>289</v>
      </c>
      <c r="WZ2" t="s">
        <v>289</v>
      </c>
      <c r="XA2" t="s">
        <v>289</v>
      </c>
      <c r="XB2" t="s">
        <v>289</v>
      </c>
      <c r="XC2" t="s">
        <v>289</v>
      </c>
      <c r="XD2" t="s">
        <v>289</v>
      </c>
      <c r="XE2" t="s">
        <v>289</v>
      </c>
      <c r="XF2" t="s">
        <v>289</v>
      </c>
      <c r="XG2" t="s">
        <v>289</v>
      </c>
      <c r="XH2" t="s">
        <v>289</v>
      </c>
      <c r="XI2" t="s">
        <v>289</v>
      </c>
      <c r="XJ2" t="s">
        <v>289</v>
      </c>
      <c r="XK2" t="s">
        <v>289</v>
      </c>
      <c r="XL2" t="s">
        <v>289</v>
      </c>
      <c r="XM2" t="s">
        <v>289</v>
      </c>
      <c r="XN2" t="s">
        <v>289</v>
      </c>
      <c r="XO2" t="s">
        <v>289</v>
      </c>
      <c r="XP2" t="s">
        <v>289</v>
      </c>
      <c r="XQ2" t="s">
        <v>289</v>
      </c>
      <c r="XR2" t="s">
        <v>289</v>
      </c>
      <c r="XS2" t="s">
        <v>289</v>
      </c>
      <c r="XT2" t="s">
        <v>289</v>
      </c>
      <c r="XU2" t="s">
        <v>289</v>
      </c>
      <c r="XV2" t="s">
        <v>289</v>
      </c>
      <c r="XW2" t="s">
        <v>289</v>
      </c>
      <c r="XX2" t="s">
        <v>289</v>
      </c>
      <c r="XY2" t="s">
        <v>289</v>
      </c>
      <c r="XZ2" t="s">
        <v>289</v>
      </c>
      <c r="YA2" t="s">
        <v>289</v>
      </c>
      <c r="YB2" t="s">
        <v>289</v>
      </c>
      <c r="YC2" t="s">
        <v>289</v>
      </c>
      <c r="YD2" t="s">
        <v>289</v>
      </c>
      <c r="YE2" t="s">
        <v>289</v>
      </c>
      <c r="YF2" t="s">
        <v>289</v>
      </c>
      <c r="YG2" t="s">
        <v>289</v>
      </c>
      <c r="YH2" t="s">
        <v>289</v>
      </c>
      <c r="YI2" t="s">
        <v>289</v>
      </c>
      <c r="YJ2" t="s">
        <v>289</v>
      </c>
      <c r="YK2" t="s">
        <v>289</v>
      </c>
      <c r="YL2" t="s">
        <v>289</v>
      </c>
      <c r="YM2" t="s">
        <v>289</v>
      </c>
      <c r="YN2" t="s">
        <v>289</v>
      </c>
      <c r="YO2" t="s">
        <v>289</v>
      </c>
      <c r="YP2" t="s">
        <v>289</v>
      </c>
      <c r="YQ2" t="s">
        <v>289</v>
      </c>
      <c r="YR2" t="s">
        <v>289</v>
      </c>
      <c r="YS2" t="s">
        <v>289</v>
      </c>
      <c r="YT2" t="s">
        <v>289</v>
      </c>
      <c r="YU2" t="s">
        <v>289</v>
      </c>
      <c r="YV2" t="s">
        <v>289</v>
      </c>
      <c r="YW2" t="s">
        <v>289</v>
      </c>
      <c r="YX2" t="s">
        <v>289</v>
      </c>
      <c r="YY2" t="s">
        <v>289</v>
      </c>
      <c r="YZ2">
        <v>293</v>
      </c>
      <c r="ZA2">
        <v>336</v>
      </c>
      <c r="ZB2">
        <v>410</v>
      </c>
      <c r="ZC2">
        <v>548</v>
      </c>
      <c r="ZD2" t="s">
        <v>289</v>
      </c>
      <c r="ZE2" t="s">
        <v>289</v>
      </c>
      <c r="ZF2" t="s">
        <v>289</v>
      </c>
      <c r="ZG2" t="s">
        <v>289</v>
      </c>
      <c r="ZH2" t="s">
        <v>289</v>
      </c>
      <c r="ZI2" t="s">
        <v>289</v>
      </c>
      <c r="ZJ2" t="s">
        <v>289</v>
      </c>
      <c r="ZK2" t="s">
        <v>289</v>
      </c>
      <c r="ZL2" t="s">
        <v>289</v>
      </c>
      <c r="ZM2" t="s">
        <v>289</v>
      </c>
      <c r="ZN2" t="s">
        <v>289</v>
      </c>
      <c r="ZO2" t="s">
        <v>289</v>
      </c>
      <c r="ZP2" t="s">
        <v>289</v>
      </c>
      <c r="ZQ2" t="s">
        <v>289</v>
      </c>
      <c r="ZR2" t="s">
        <v>289</v>
      </c>
      <c r="ZS2" t="s">
        <v>289</v>
      </c>
      <c r="ZT2" t="s">
        <v>289</v>
      </c>
      <c r="ZU2" t="s">
        <v>289</v>
      </c>
      <c r="ZV2" t="s">
        <v>289</v>
      </c>
      <c r="ZW2">
        <v>583</v>
      </c>
      <c r="ZX2">
        <v>543</v>
      </c>
      <c r="ZY2">
        <v>640</v>
      </c>
      <c r="ZZ2">
        <v>3049</v>
      </c>
      <c r="AAA2">
        <v>3870</v>
      </c>
      <c r="AAB2">
        <v>3941</v>
      </c>
      <c r="AAC2">
        <v>3683</v>
      </c>
      <c r="AAD2">
        <v>974</v>
      </c>
      <c r="AAE2">
        <v>996</v>
      </c>
      <c r="AAF2">
        <v>1318</v>
      </c>
      <c r="AAG2">
        <v>1474</v>
      </c>
      <c r="AAH2">
        <v>1902</v>
      </c>
      <c r="AAI2">
        <v>1865</v>
      </c>
      <c r="AAJ2">
        <v>3000</v>
      </c>
      <c r="AAK2" t="s">
        <v>289</v>
      </c>
      <c r="AAL2">
        <v>2933</v>
      </c>
      <c r="AAM2">
        <v>4017</v>
      </c>
      <c r="AAN2">
        <v>5091</v>
      </c>
      <c r="AAO2">
        <v>6615</v>
      </c>
      <c r="AAP2">
        <v>3770</v>
      </c>
      <c r="AAQ2">
        <v>3330</v>
      </c>
      <c r="AAR2">
        <v>5501</v>
      </c>
      <c r="AAS2">
        <v>6146</v>
      </c>
      <c r="AAT2">
        <v>7433</v>
      </c>
      <c r="AAU2">
        <v>8492</v>
      </c>
      <c r="AAV2">
        <v>10861</v>
      </c>
      <c r="AAW2">
        <v>15007</v>
      </c>
      <c r="AAX2">
        <v>17520</v>
      </c>
      <c r="AAY2">
        <v>15939</v>
      </c>
      <c r="AAZ2">
        <v>17080</v>
      </c>
      <c r="ABA2">
        <v>16769</v>
      </c>
      <c r="ABB2">
        <v>21162</v>
      </c>
      <c r="ABC2">
        <v>22532</v>
      </c>
      <c r="ABD2" t="s">
        <v>289</v>
      </c>
      <c r="ABE2" t="s">
        <v>289</v>
      </c>
      <c r="ABF2" t="s">
        <v>289</v>
      </c>
      <c r="ABG2" t="s">
        <v>289</v>
      </c>
      <c r="ABH2" t="s">
        <v>289</v>
      </c>
      <c r="ABI2" t="s">
        <v>289</v>
      </c>
      <c r="ABJ2" t="s">
        <v>289</v>
      </c>
      <c r="ABK2" t="s">
        <v>289</v>
      </c>
      <c r="ABL2" t="s">
        <v>289</v>
      </c>
      <c r="ABM2" t="s">
        <v>289</v>
      </c>
      <c r="ABN2" t="s">
        <v>289</v>
      </c>
      <c r="ABO2" t="s">
        <v>289</v>
      </c>
      <c r="ABP2" t="s">
        <v>289</v>
      </c>
      <c r="ABQ2" t="s">
        <v>289</v>
      </c>
      <c r="ABR2" t="s">
        <v>289</v>
      </c>
      <c r="ABS2" t="s">
        <v>289</v>
      </c>
      <c r="ABT2" t="s">
        <v>289</v>
      </c>
      <c r="ABU2" t="s">
        <v>289</v>
      </c>
      <c r="ABV2" t="s">
        <v>289</v>
      </c>
      <c r="ABW2" t="s">
        <v>289</v>
      </c>
      <c r="ABX2" t="s">
        <v>289</v>
      </c>
      <c r="ABY2" t="s">
        <v>289</v>
      </c>
      <c r="ABZ2" t="s">
        <v>289</v>
      </c>
      <c r="ACA2" t="s">
        <v>289</v>
      </c>
      <c r="ACB2" t="s">
        <v>289</v>
      </c>
      <c r="ACC2" t="s">
        <v>289</v>
      </c>
      <c r="ACD2" t="s">
        <v>289</v>
      </c>
      <c r="ACE2" t="s">
        <v>289</v>
      </c>
      <c r="ACF2" t="s">
        <v>289</v>
      </c>
      <c r="ACG2" t="s">
        <v>289</v>
      </c>
      <c r="ACH2" t="s">
        <v>289</v>
      </c>
      <c r="ACI2" t="s">
        <v>289</v>
      </c>
      <c r="ACJ2" t="s">
        <v>289</v>
      </c>
      <c r="ACK2" t="s">
        <v>289</v>
      </c>
      <c r="ACL2" t="s">
        <v>289</v>
      </c>
      <c r="ACM2" t="s">
        <v>289</v>
      </c>
      <c r="ACN2" t="s">
        <v>289</v>
      </c>
      <c r="ACO2" t="s">
        <v>289</v>
      </c>
      <c r="ACP2" t="s">
        <v>289</v>
      </c>
      <c r="ACQ2" t="s">
        <v>289</v>
      </c>
      <c r="ACR2" t="s">
        <v>289</v>
      </c>
      <c r="ACS2" t="s">
        <v>289</v>
      </c>
      <c r="ACT2" t="s">
        <v>289</v>
      </c>
      <c r="ACU2" t="s">
        <v>289</v>
      </c>
      <c r="ACV2" t="s">
        <v>289</v>
      </c>
      <c r="ACW2" t="s">
        <v>289</v>
      </c>
      <c r="ACX2" t="s">
        <v>289</v>
      </c>
      <c r="ACY2" t="s">
        <v>289</v>
      </c>
      <c r="ACZ2" t="s">
        <v>289</v>
      </c>
      <c r="ADA2" t="s">
        <v>289</v>
      </c>
      <c r="ADB2" t="s">
        <v>289</v>
      </c>
      <c r="ADC2" t="s">
        <v>289</v>
      </c>
      <c r="ADD2" t="s">
        <v>289</v>
      </c>
      <c r="ADE2" t="s">
        <v>289</v>
      </c>
      <c r="ADF2" t="s">
        <v>289</v>
      </c>
      <c r="ADG2" t="s">
        <v>289</v>
      </c>
      <c r="ADH2" t="s">
        <v>289</v>
      </c>
      <c r="ADI2" t="s">
        <v>289</v>
      </c>
      <c r="ADJ2" t="s">
        <v>289</v>
      </c>
      <c r="ADK2" t="s">
        <v>289</v>
      </c>
      <c r="ADL2" t="s">
        <v>289</v>
      </c>
      <c r="ADM2" t="s">
        <v>289</v>
      </c>
      <c r="ADN2" t="s">
        <v>289</v>
      </c>
      <c r="ADO2" t="s">
        <v>289</v>
      </c>
      <c r="ADP2" t="s">
        <v>289</v>
      </c>
      <c r="ADQ2" t="s">
        <v>289</v>
      </c>
      <c r="ADR2" t="s">
        <v>289</v>
      </c>
      <c r="ADS2" t="s">
        <v>289</v>
      </c>
      <c r="ADT2" t="s">
        <v>289</v>
      </c>
      <c r="ADU2" t="s">
        <v>289</v>
      </c>
      <c r="ADV2">
        <v>8256</v>
      </c>
      <c r="ADW2">
        <v>8455</v>
      </c>
      <c r="ADX2">
        <v>6521</v>
      </c>
      <c r="ADY2">
        <v>5553</v>
      </c>
      <c r="ADZ2">
        <v>7834</v>
      </c>
      <c r="AEA2">
        <v>9156</v>
      </c>
      <c r="AEB2" t="s">
        <v>289</v>
      </c>
      <c r="AEC2">
        <v>7490</v>
      </c>
      <c r="AED2" t="s">
        <v>289</v>
      </c>
      <c r="AEE2" t="s">
        <v>289</v>
      </c>
      <c r="AEF2" t="s">
        <v>289</v>
      </c>
      <c r="AEG2" t="s">
        <v>289</v>
      </c>
      <c r="AEH2" t="s">
        <v>289</v>
      </c>
      <c r="AEI2" t="s">
        <v>289</v>
      </c>
      <c r="AEJ2" t="s">
        <v>289</v>
      </c>
      <c r="AEK2" t="s">
        <v>289</v>
      </c>
      <c r="AEL2" t="s">
        <v>289</v>
      </c>
      <c r="AEM2" t="s">
        <v>289</v>
      </c>
      <c r="AEN2" t="s">
        <v>289</v>
      </c>
      <c r="AEO2" t="s">
        <v>289</v>
      </c>
      <c r="AEP2" t="s">
        <v>289</v>
      </c>
      <c r="AEQ2" t="s">
        <v>289</v>
      </c>
      <c r="AER2" t="s">
        <v>289</v>
      </c>
      <c r="AES2" t="s">
        <v>289</v>
      </c>
      <c r="AET2" t="s">
        <v>289</v>
      </c>
      <c r="AEU2" t="s">
        <v>289</v>
      </c>
      <c r="AEV2" t="s">
        <v>289</v>
      </c>
      <c r="AEW2" t="s">
        <v>289</v>
      </c>
      <c r="AEX2" t="s">
        <v>289</v>
      </c>
      <c r="AEY2" t="s">
        <v>289</v>
      </c>
      <c r="AEZ2" t="s">
        <v>289</v>
      </c>
      <c r="AFA2" t="s">
        <v>289</v>
      </c>
      <c r="AFB2" t="s">
        <v>289</v>
      </c>
      <c r="AFC2" t="s">
        <v>289</v>
      </c>
      <c r="AFD2" t="s">
        <v>289</v>
      </c>
      <c r="AFE2" t="s">
        <v>289</v>
      </c>
      <c r="AFF2" t="s">
        <v>289</v>
      </c>
      <c r="AFG2" t="s">
        <v>289</v>
      </c>
      <c r="AFH2" t="s">
        <v>289</v>
      </c>
      <c r="AFI2" t="s">
        <v>289</v>
      </c>
      <c r="AFJ2" t="s">
        <v>289</v>
      </c>
      <c r="AFK2" t="s">
        <v>289</v>
      </c>
      <c r="AFL2" t="s">
        <v>289</v>
      </c>
      <c r="AFM2" t="s">
        <v>289</v>
      </c>
      <c r="AFN2" t="s">
        <v>289</v>
      </c>
      <c r="AFO2">
        <v>2298</v>
      </c>
      <c r="AFP2">
        <v>2270</v>
      </c>
      <c r="AFQ2">
        <v>3028</v>
      </c>
      <c r="AFR2">
        <v>3368</v>
      </c>
      <c r="AFS2">
        <v>4150</v>
      </c>
      <c r="AFT2">
        <v>14720</v>
      </c>
      <c r="AFU2">
        <v>20021</v>
      </c>
      <c r="AFV2">
        <v>31656</v>
      </c>
      <c r="AFW2">
        <v>28689</v>
      </c>
      <c r="AFX2">
        <v>31388</v>
      </c>
      <c r="AFY2">
        <v>36205</v>
      </c>
      <c r="AFZ2">
        <v>8070</v>
      </c>
      <c r="AGA2" t="s">
        <v>289</v>
      </c>
      <c r="AGB2">
        <v>1</v>
      </c>
      <c r="AGC2">
        <v>-2</v>
      </c>
      <c r="AGD2">
        <v>1</v>
      </c>
      <c r="AGE2" t="s">
        <v>289</v>
      </c>
      <c r="AGF2" t="s">
        <v>289</v>
      </c>
      <c r="AGG2" t="s">
        <v>289</v>
      </c>
      <c r="AGH2" t="s">
        <v>289</v>
      </c>
      <c r="AGI2" t="s">
        <v>289</v>
      </c>
      <c r="AGJ2" t="s">
        <v>289</v>
      </c>
      <c r="AGK2" t="s">
        <v>289</v>
      </c>
      <c r="AGL2" t="s">
        <v>289</v>
      </c>
      <c r="AGM2" t="s">
        <v>289</v>
      </c>
      <c r="AGN2" t="s">
        <v>289</v>
      </c>
      <c r="AGO2" t="s">
        <v>289</v>
      </c>
      <c r="AGP2" t="s">
        <v>289</v>
      </c>
      <c r="AGQ2" t="s">
        <v>289</v>
      </c>
      <c r="AGR2" t="s">
        <v>289</v>
      </c>
      <c r="AGS2" t="s">
        <v>289</v>
      </c>
      <c r="AGT2">
        <v>2009</v>
      </c>
      <c r="AGU2">
        <v>2252</v>
      </c>
      <c r="AGV2">
        <v>2608</v>
      </c>
      <c r="AGW2">
        <v>2722</v>
      </c>
      <c r="AGX2">
        <v>2866</v>
      </c>
      <c r="AGY2">
        <v>2895</v>
      </c>
      <c r="AGZ2" t="s">
        <v>289</v>
      </c>
      <c r="AHA2" t="s">
        <v>289</v>
      </c>
      <c r="AHB2" t="s">
        <v>289</v>
      </c>
      <c r="AHC2" t="s">
        <v>289</v>
      </c>
      <c r="AHD2" t="s">
        <v>289</v>
      </c>
      <c r="AHE2" t="s">
        <v>289</v>
      </c>
      <c r="AHF2" t="s">
        <v>289</v>
      </c>
      <c r="AHG2" t="s">
        <v>289</v>
      </c>
      <c r="AHH2" t="s">
        <v>289</v>
      </c>
      <c r="AHI2" t="s">
        <v>289</v>
      </c>
      <c r="AHJ2" t="s">
        <v>289</v>
      </c>
      <c r="AHK2" t="s">
        <v>289</v>
      </c>
      <c r="AHL2" t="s">
        <v>289</v>
      </c>
      <c r="AHM2" t="s">
        <v>289</v>
      </c>
      <c r="AHN2" t="s">
        <v>289</v>
      </c>
      <c r="AHO2" t="s">
        <v>289</v>
      </c>
      <c r="AHP2" t="s">
        <v>289</v>
      </c>
      <c r="AHQ2" t="s">
        <v>289</v>
      </c>
      <c r="AHR2" t="s">
        <v>289</v>
      </c>
      <c r="AHS2" t="s">
        <v>289</v>
      </c>
      <c r="AHT2" t="s">
        <v>289</v>
      </c>
      <c r="AHU2" t="s">
        <v>289</v>
      </c>
      <c r="AHV2" t="s">
        <v>289</v>
      </c>
      <c r="AHW2" t="s">
        <v>289</v>
      </c>
      <c r="AHX2" t="s">
        <v>289</v>
      </c>
      <c r="AHY2" t="s">
        <v>289</v>
      </c>
      <c r="AHZ2" t="s">
        <v>289</v>
      </c>
      <c r="AIA2" t="s">
        <v>289</v>
      </c>
      <c r="AIB2" t="s">
        <v>289</v>
      </c>
      <c r="AIC2" t="s">
        <v>289</v>
      </c>
      <c r="AID2" t="s">
        <v>289</v>
      </c>
      <c r="AIE2" t="s">
        <v>289</v>
      </c>
      <c r="AIF2" t="s">
        <v>289</v>
      </c>
      <c r="AIG2" t="s">
        <v>289</v>
      </c>
      <c r="AIH2" t="s">
        <v>289</v>
      </c>
      <c r="AII2" t="s">
        <v>289</v>
      </c>
      <c r="AIJ2" t="s">
        <v>289</v>
      </c>
      <c r="AIK2" t="s">
        <v>289</v>
      </c>
      <c r="AIL2" t="s">
        <v>289</v>
      </c>
      <c r="AIM2">
        <v>23977</v>
      </c>
      <c r="AIN2">
        <v>23051</v>
      </c>
      <c r="AIO2">
        <v>20493</v>
      </c>
      <c r="AIP2">
        <v>19490</v>
      </c>
      <c r="AIQ2">
        <v>23121</v>
      </c>
      <c r="AIR2">
        <v>24444</v>
      </c>
      <c r="AIS2">
        <v>25847</v>
      </c>
      <c r="AIT2">
        <v>31876</v>
      </c>
      <c r="AIU2">
        <v>39424</v>
      </c>
      <c r="AIV2">
        <v>42389</v>
      </c>
      <c r="AIW2">
        <v>46169</v>
      </c>
      <c r="AIX2">
        <v>83344</v>
      </c>
      <c r="AIY2">
        <v>92472</v>
      </c>
      <c r="AIZ2">
        <v>94497</v>
      </c>
      <c r="AJA2">
        <v>101175</v>
      </c>
      <c r="AJB2">
        <v>115090</v>
      </c>
      <c r="AJC2">
        <v>114570</v>
      </c>
      <c r="AJD2">
        <v>123394</v>
      </c>
      <c r="AJE2" t="s">
        <v>289</v>
      </c>
      <c r="AJF2">
        <v>88963</v>
      </c>
      <c r="AJG2">
        <v>93996</v>
      </c>
      <c r="AJH2">
        <v>104875</v>
      </c>
      <c r="AJI2">
        <v>108897</v>
      </c>
      <c r="AJJ2">
        <v>113808</v>
      </c>
      <c r="AJK2">
        <v>105187</v>
      </c>
      <c r="AJL2">
        <v>126875</v>
      </c>
      <c r="AJM2">
        <v>159337</v>
      </c>
      <c r="AJN2">
        <v>192676</v>
      </c>
      <c r="AJO2">
        <v>197007</v>
      </c>
      <c r="AJP2">
        <v>202458</v>
      </c>
      <c r="AJQ2">
        <v>213292</v>
      </c>
      <c r="AJR2">
        <v>217267</v>
      </c>
      <c r="AJS2">
        <v>229550</v>
      </c>
      <c r="AJT2">
        <v>235849</v>
      </c>
      <c r="AJU2">
        <v>252632</v>
      </c>
      <c r="AJV2">
        <v>222884</v>
      </c>
      <c r="AJW2">
        <v>250200</v>
      </c>
      <c r="AJX2" t="s">
        <v>289</v>
      </c>
      <c r="AJY2">
        <v>28885</v>
      </c>
      <c r="AJZ2">
        <v>30992</v>
      </c>
      <c r="AKA2">
        <v>30023</v>
      </c>
      <c r="AKB2">
        <v>28677</v>
      </c>
      <c r="AKC2">
        <v>36123</v>
      </c>
      <c r="AKD2">
        <v>40606</v>
      </c>
      <c r="AKE2">
        <v>39852</v>
      </c>
      <c r="AKF2">
        <v>49090</v>
      </c>
      <c r="AKG2">
        <v>54060</v>
      </c>
      <c r="AKH2">
        <v>59987</v>
      </c>
      <c r="AKI2">
        <v>65564</v>
      </c>
      <c r="AKJ2">
        <v>72313</v>
      </c>
      <c r="AKK2">
        <v>88461</v>
      </c>
      <c r="AKL2">
        <v>81844</v>
      </c>
      <c r="AKM2">
        <v>89757</v>
      </c>
      <c r="AKN2">
        <v>87912</v>
      </c>
      <c r="AKO2">
        <v>88648</v>
      </c>
      <c r="AKP2">
        <v>78584</v>
      </c>
      <c r="AKQ2" t="s">
        <v>289</v>
      </c>
      <c r="AKR2">
        <v>127603</v>
      </c>
      <c r="AKS2">
        <v>133081</v>
      </c>
      <c r="AKT2">
        <v>136603</v>
      </c>
      <c r="AKU2">
        <v>145357</v>
      </c>
      <c r="AKV2">
        <v>167919</v>
      </c>
      <c r="AKW2">
        <v>177179</v>
      </c>
      <c r="AKX2">
        <v>199393</v>
      </c>
      <c r="AKY2">
        <v>253769</v>
      </c>
      <c r="AKZ2">
        <v>309518</v>
      </c>
      <c r="ALA2">
        <v>324333</v>
      </c>
      <c r="ALB2">
        <v>351209</v>
      </c>
      <c r="ALC2">
        <v>381935</v>
      </c>
      <c r="ALD2">
        <v>409732</v>
      </c>
      <c r="ALE2">
        <v>422193</v>
      </c>
      <c r="ALF2">
        <v>458156</v>
      </c>
      <c r="ALG2">
        <v>488071</v>
      </c>
      <c r="ALH2">
        <v>497114</v>
      </c>
      <c r="ALI2">
        <v>528609</v>
      </c>
      <c r="ALJ2" t="s">
        <v>289</v>
      </c>
      <c r="ALK2">
        <v>55391</v>
      </c>
      <c r="ALL2">
        <v>57846</v>
      </c>
      <c r="ALM2">
        <v>61229</v>
      </c>
      <c r="ALN2">
        <v>68516</v>
      </c>
      <c r="ALO2">
        <v>76163</v>
      </c>
      <c r="ALP2">
        <v>77777</v>
      </c>
      <c r="ALQ2">
        <v>85936</v>
      </c>
      <c r="ALR2">
        <v>105640</v>
      </c>
      <c r="ALS2">
        <v>113061</v>
      </c>
      <c r="ALT2">
        <v>122192</v>
      </c>
      <c r="ALU2">
        <v>131103</v>
      </c>
      <c r="ALV2">
        <v>145387</v>
      </c>
      <c r="ALW2">
        <v>155722</v>
      </c>
      <c r="ALX2">
        <v>160112</v>
      </c>
      <c r="ALY2">
        <v>183536</v>
      </c>
      <c r="ALZ2">
        <v>187463</v>
      </c>
      <c r="AMA2">
        <v>194944</v>
      </c>
      <c r="AMB2">
        <v>200347</v>
      </c>
      <c r="AMC2" t="s">
        <v>289</v>
      </c>
      <c r="AMD2">
        <v>48692</v>
      </c>
      <c r="AME2">
        <v>53309</v>
      </c>
      <c r="AMF2">
        <v>53485</v>
      </c>
      <c r="AMG2">
        <v>56068</v>
      </c>
      <c r="AMH2">
        <v>64802</v>
      </c>
      <c r="AMI2">
        <v>69534</v>
      </c>
      <c r="AMJ2">
        <v>76900</v>
      </c>
      <c r="AMK2">
        <v>101236</v>
      </c>
      <c r="AML2">
        <v>105526</v>
      </c>
      <c r="AMM2">
        <v>118625</v>
      </c>
      <c r="AMN2">
        <v>130706</v>
      </c>
      <c r="AMO2">
        <v>148489</v>
      </c>
      <c r="AMP2">
        <v>177515</v>
      </c>
      <c r="AMQ2">
        <v>160389</v>
      </c>
      <c r="AMR2">
        <v>167968</v>
      </c>
      <c r="AMS2">
        <v>167924</v>
      </c>
      <c r="AMT2">
        <v>165410</v>
      </c>
      <c r="AMU2">
        <v>164393</v>
      </c>
      <c r="AMV2" t="s">
        <v>289</v>
      </c>
      <c r="AMW2">
        <v>7490</v>
      </c>
      <c r="AMX2">
        <v>7668</v>
      </c>
      <c r="AMY2">
        <v>7193</v>
      </c>
      <c r="AMZ2">
        <v>6830</v>
      </c>
      <c r="ANA2">
        <v>12291</v>
      </c>
      <c r="ANB2">
        <v>12907</v>
      </c>
      <c r="ANC2">
        <v>13104</v>
      </c>
      <c r="AND2">
        <v>22176</v>
      </c>
      <c r="ANE2">
        <v>59112</v>
      </c>
      <c r="ANF2">
        <v>59243</v>
      </c>
      <c r="ANG2">
        <v>59935</v>
      </c>
      <c r="ANH2">
        <v>61147</v>
      </c>
      <c r="ANI2">
        <v>62599</v>
      </c>
      <c r="ANJ2">
        <v>63419</v>
      </c>
      <c r="ANK2">
        <v>64613</v>
      </c>
      <c r="ANL2">
        <v>66214</v>
      </c>
      <c r="ANM2">
        <v>67968</v>
      </c>
      <c r="ANN2">
        <v>77689</v>
      </c>
      <c r="ANO2" t="s">
        <v>289</v>
      </c>
      <c r="ANP2" t="s">
        <v>289</v>
      </c>
      <c r="ANQ2" t="s">
        <v>289</v>
      </c>
      <c r="ANR2" t="s">
        <v>289</v>
      </c>
      <c r="ANS2" t="s">
        <v>289</v>
      </c>
      <c r="ANT2" t="s">
        <v>289</v>
      </c>
      <c r="ANU2" t="s">
        <v>289</v>
      </c>
      <c r="ANV2" t="s">
        <v>289</v>
      </c>
      <c r="ANW2" t="s">
        <v>289</v>
      </c>
      <c r="ANX2" t="s">
        <v>289</v>
      </c>
      <c r="ANY2" t="s">
        <v>289</v>
      </c>
      <c r="ANZ2" t="s">
        <v>289</v>
      </c>
      <c r="AOA2" t="s">
        <v>289</v>
      </c>
      <c r="AOB2" t="s">
        <v>289</v>
      </c>
      <c r="AOC2" t="s">
        <v>289</v>
      </c>
      <c r="AOD2" t="s">
        <v>289</v>
      </c>
      <c r="AOE2" t="s">
        <v>289</v>
      </c>
      <c r="AOF2" t="s">
        <v>289</v>
      </c>
      <c r="AOG2" t="s">
        <v>289</v>
      </c>
      <c r="AOH2" t="s">
        <v>289</v>
      </c>
      <c r="AOI2" t="s">
        <v>289</v>
      </c>
      <c r="AOJ2" t="s">
        <v>289</v>
      </c>
      <c r="AOK2" t="s">
        <v>289</v>
      </c>
      <c r="AOL2" t="s">
        <v>289</v>
      </c>
      <c r="AOM2" t="s">
        <v>289</v>
      </c>
      <c r="AON2" t="s">
        <v>289</v>
      </c>
      <c r="AOO2" t="s">
        <v>289</v>
      </c>
      <c r="AOP2" t="s">
        <v>289</v>
      </c>
      <c r="AOQ2" t="s">
        <v>289</v>
      </c>
      <c r="AOR2" t="s">
        <v>289</v>
      </c>
      <c r="AOS2" t="s">
        <v>289</v>
      </c>
      <c r="AOT2" t="s">
        <v>289</v>
      </c>
      <c r="AOU2" t="s">
        <v>289</v>
      </c>
      <c r="AOV2" t="s">
        <v>289</v>
      </c>
      <c r="AOW2" t="s">
        <v>289</v>
      </c>
      <c r="AOX2" t="s">
        <v>289</v>
      </c>
      <c r="AOY2" t="s">
        <v>289</v>
      </c>
      <c r="AOZ2" t="s">
        <v>289</v>
      </c>
      <c r="APA2" t="s">
        <v>289</v>
      </c>
      <c r="APB2" t="s">
        <v>289</v>
      </c>
      <c r="APC2" t="s">
        <v>289</v>
      </c>
      <c r="APD2" t="s">
        <v>289</v>
      </c>
      <c r="APE2" t="s">
        <v>289</v>
      </c>
      <c r="APF2" t="s">
        <v>289</v>
      </c>
      <c r="APG2" t="s">
        <v>289</v>
      </c>
      <c r="APH2" t="s">
        <v>289</v>
      </c>
      <c r="API2" t="s">
        <v>289</v>
      </c>
      <c r="APJ2" t="s">
        <v>289</v>
      </c>
      <c r="APK2" t="s">
        <v>289</v>
      </c>
      <c r="APL2" t="s">
        <v>289</v>
      </c>
      <c r="APM2" t="s">
        <v>289</v>
      </c>
      <c r="APN2" t="s">
        <v>289</v>
      </c>
      <c r="APO2" t="s">
        <v>289</v>
      </c>
      <c r="APP2" t="s">
        <v>289</v>
      </c>
      <c r="APQ2" t="s">
        <v>289</v>
      </c>
      <c r="APR2" t="s">
        <v>289</v>
      </c>
      <c r="APS2" t="s">
        <v>289</v>
      </c>
      <c r="APT2" t="s">
        <v>289</v>
      </c>
      <c r="APU2" t="s">
        <v>289</v>
      </c>
      <c r="APV2" t="s">
        <v>289</v>
      </c>
      <c r="APW2" t="s">
        <v>289</v>
      </c>
      <c r="APX2" t="s">
        <v>289</v>
      </c>
      <c r="APY2" t="s">
        <v>289</v>
      </c>
      <c r="APZ2" t="s">
        <v>289</v>
      </c>
      <c r="AQA2" t="s">
        <v>289</v>
      </c>
      <c r="AQB2" t="s">
        <v>289</v>
      </c>
      <c r="AQC2" t="s">
        <v>289</v>
      </c>
      <c r="AQD2" t="s">
        <v>289</v>
      </c>
      <c r="AQE2" t="s">
        <v>289</v>
      </c>
      <c r="AQF2" t="s">
        <v>289</v>
      </c>
      <c r="AQG2" t="s">
        <v>289</v>
      </c>
      <c r="AQH2" t="s">
        <v>289</v>
      </c>
      <c r="AQI2" t="s">
        <v>289</v>
      </c>
      <c r="AQJ2" t="s">
        <v>289</v>
      </c>
      <c r="AQK2" t="s">
        <v>289</v>
      </c>
      <c r="AQL2" t="s">
        <v>289</v>
      </c>
      <c r="AQM2" t="s">
        <v>289</v>
      </c>
      <c r="AQN2">
        <v>33</v>
      </c>
      <c r="AQO2">
        <v>1488</v>
      </c>
      <c r="AQP2">
        <v>1542</v>
      </c>
      <c r="AQQ2">
        <v>1589</v>
      </c>
      <c r="AQR2">
        <v>1589</v>
      </c>
      <c r="AQS2">
        <v>1740</v>
      </c>
      <c r="AQT2">
        <v>1899</v>
      </c>
      <c r="AQU2">
        <v>2164</v>
      </c>
      <c r="AQV2">
        <v>3517</v>
      </c>
      <c r="AQW2">
        <v>3589</v>
      </c>
      <c r="AQX2">
        <v>4009</v>
      </c>
      <c r="AQY2">
        <v>4091</v>
      </c>
      <c r="AQZ2">
        <v>4187</v>
      </c>
      <c r="ARA2">
        <v>4178</v>
      </c>
      <c r="ARB2">
        <v>4337</v>
      </c>
      <c r="ARC2">
        <v>4731</v>
      </c>
      <c r="ARD2">
        <v>5249</v>
      </c>
      <c r="ARE2">
        <v>5829</v>
      </c>
      <c r="ARF2" t="s">
        <v>289</v>
      </c>
      <c r="ARG2" t="s">
        <v>289</v>
      </c>
      <c r="ARH2" t="s">
        <v>289</v>
      </c>
      <c r="ARI2" t="s">
        <v>289</v>
      </c>
      <c r="ARJ2" t="s">
        <v>289</v>
      </c>
      <c r="ARK2" t="s">
        <v>289</v>
      </c>
      <c r="ARL2" t="s">
        <v>289</v>
      </c>
      <c r="ARM2" t="s">
        <v>289</v>
      </c>
      <c r="ARN2" t="s">
        <v>289</v>
      </c>
      <c r="ARO2" t="s">
        <v>289</v>
      </c>
      <c r="ARP2" t="s">
        <v>289</v>
      </c>
      <c r="ARQ2" t="s">
        <v>289</v>
      </c>
      <c r="ARR2" t="s">
        <v>289</v>
      </c>
      <c r="ARS2" t="s">
        <v>289</v>
      </c>
      <c r="ART2" t="s">
        <v>289</v>
      </c>
      <c r="ARU2" t="s">
        <v>289</v>
      </c>
      <c r="ARV2">
        <v>4731</v>
      </c>
      <c r="ARW2">
        <v>5249</v>
      </c>
      <c r="ARX2">
        <v>5829</v>
      </c>
      <c r="ARY2" t="s">
        <v>289</v>
      </c>
      <c r="ARZ2" t="s">
        <v>289</v>
      </c>
      <c r="ASA2" t="s">
        <v>289</v>
      </c>
      <c r="ASB2" t="s">
        <v>289</v>
      </c>
      <c r="ASC2" t="s">
        <v>289</v>
      </c>
      <c r="ASD2" t="s">
        <v>289</v>
      </c>
      <c r="ASE2" t="s">
        <v>289</v>
      </c>
      <c r="ASF2" t="s">
        <v>289</v>
      </c>
      <c r="ASG2" t="s">
        <v>289</v>
      </c>
      <c r="ASH2" t="s">
        <v>289</v>
      </c>
      <c r="ASI2" t="s">
        <v>289</v>
      </c>
      <c r="ASJ2" t="s">
        <v>289</v>
      </c>
      <c r="ASK2" t="s">
        <v>289</v>
      </c>
      <c r="ASL2" t="s">
        <v>289</v>
      </c>
      <c r="ASM2" t="s">
        <v>289</v>
      </c>
      <c r="ASN2" t="s">
        <v>289</v>
      </c>
      <c r="ASO2" t="s">
        <v>289</v>
      </c>
      <c r="ASP2" t="s">
        <v>289</v>
      </c>
      <c r="ASQ2" t="s">
        <v>289</v>
      </c>
      <c r="ASR2" t="s">
        <v>289</v>
      </c>
      <c r="ASS2" t="s">
        <v>289</v>
      </c>
      <c r="AST2" t="s">
        <v>289</v>
      </c>
      <c r="ASU2" t="s">
        <v>289</v>
      </c>
      <c r="ASV2" t="s">
        <v>289</v>
      </c>
      <c r="ASW2" t="s">
        <v>289</v>
      </c>
      <c r="ASX2" t="s">
        <v>289</v>
      </c>
      <c r="ASY2" t="s">
        <v>289</v>
      </c>
      <c r="ASZ2" t="s">
        <v>289</v>
      </c>
      <c r="ATA2" t="s">
        <v>289</v>
      </c>
      <c r="ATB2" t="s">
        <v>289</v>
      </c>
      <c r="ATC2" t="s">
        <v>289</v>
      </c>
      <c r="ATD2" t="s">
        <v>289</v>
      </c>
      <c r="ATE2" t="s">
        <v>289</v>
      </c>
      <c r="ATF2" t="s">
        <v>289</v>
      </c>
      <c r="ATG2" t="s">
        <v>289</v>
      </c>
      <c r="ATH2" t="s">
        <v>289</v>
      </c>
      <c r="ATI2" t="s">
        <v>289</v>
      </c>
      <c r="ATJ2" t="s">
        <v>289</v>
      </c>
      <c r="ATK2" t="s">
        <v>289</v>
      </c>
      <c r="ATL2" t="s">
        <v>289</v>
      </c>
      <c r="ATM2" t="s">
        <v>289</v>
      </c>
      <c r="ATN2" t="s">
        <v>289</v>
      </c>
      <c r="ATO2" t="s">
        <v>289</v>
      </c>
      <c r="ATP2" t="s">
        <v>289</v>
      </c>
      <c r="ATQ2" t="s">
        <v>289</v>
      </c>
      <c r="ATR2" t="s">
        <v>289</v>
      </c>
      <c r="ATS2" t="s">
        <v>289</v>
      </c>
      <c r="ATT2" t="s">
        <v>289</v>
      </c>
      <c r="ATU2" t="s">
        <v>289</v>
      </c>
      <c r="ATV2" t="s">
        <v>289</v>
      </c>
      <c r="ATW2" t="s">
        <v>289</v>
      </c>
      <c r="ATX2" t="s">
        <v>289</v>
      </c>
      <c r="ATY2" t="s">
        <v>289</v>
      </c>
      <c r="ATZ2" t="s">
        <v>289</v>
      </c>
      <c r="AUA2" t="s">
        <v>289</v>
      </c>
      <c r="AUB2" t="s">
        <v>289</v>
      </c>
      <c r="AUC2" t="s">
        <v>289</v>
      </c>
      <c r="AUD2" t="s">
        <v>289</v>
      </c>
      <c r="AUE2" t="s">
        <v>289</v>
      </c>
      <c r="AUF2" t="s">
        <v>289</v>
      </c>
      <c r="AUG2" t="s">
        <v>289</v>
      </c>
      <c r="AUH2" t="s">
        <v>289</v>
      </c>
      <c r="AUI2" t="s">
        <v>289</v>
      </c>
      <c r="AUJ2" t="s">
        <v>289</v>
      </c>
      <c r="AUK2" t="s">
        <v>289</v>
      </c>
      <c r="AUL2" t="s">
        <v>289</v>
      </c>
      <c r="AUM2" t="s">
        <v>289</v>
      </c>
      <c r="AUN2" t="s">
        <v>289</v>
      </c>
      <c r="AUO2" t="s">
        <v>289</v>
      </c>
      <c r="AUP2" t="s">
        <v>289</v>
      </c>
      <c r="AUQ2" t="s">
        <v>289</v>
      </c>
      <c r="AUR2" t="s">
        <v>289</v>
      </c>
      <c r="AUS2" t="s">
        <v>289</v>
      </c>
      <c r="AUT2" t="s">
        <v>289</v>
      </c>
      <c r="AUU2" t="s">
        <v>289</v>
      </c>
      <c r="AUV2" t="s">
        <v>289</v>
      </c>
      <c r="AUW2" t="s">
        <v>289</v>
      </c>
      <c r="AUX2" t="s">
        <v>289</v>
      </c>
      <c r="AUY2" t="s">
        <v>289</v>
      </c>
      <c r="AUZ2" t="s">
        <v>289</v>
      </c>
      <c r="AVA2" t="s">
        <v>289</v>
      </c>
      <c r="AVB2">
        <v>9474</v>
      </c>
      <c r="AVC2">
        <v>20539</v>
      </c>
      <c r="AVD2">
        <v>18670</v>
      </c>
      <c r="AVE2">
        <v>18291</v>
      </c>
      <c r="AVF2">
        <v>18488</v>
      </c>
      <c r="AVG2">
        <v>23178</v>
      </c>
      <c r="AVH2">
        <v>19123</v>
      </c>
      <c r="AVI2">
        <v>20872</v>
      </c>
      <c r="AVJ2">
        <v>19265</v>
      </c>
      <c r="AVK2">
        <v>18457</v>
      </c>
      <c r="AVL2">
        <v>28938</v>
      </c>
      <c r="AVM2">
        <v>25923</v>
      </c>
      <c r="AVN2">
        <v>33909</v>
      </c>
      <c r="AVO2">
        <v>39723</v>
      </c>
      <c r="AVP2" t="s">
        <v>289</v>
      </c>
      <c r="AVQ2" t="s">
        <v>289</v>
      </c>
      <c r="AVR2" t="s">
        <v>289</v>
      </c>
      <c r="AVS2" t="s">
        <v>289</v>
      </c>
      <c r="AVT2" t="s">
        <v>289</v>
      </c>
      <c r="AVU2" t="s">
        <v>289</v>
      </c>
      <c r="AVV2" t="s">
        <v>289</v>
      </c>
      <c r="AVW2" t="s">
        <v>289</v>
      </c>
      <c r="AVX2" t="s">
        <v>289</v>
      </c>
      <c r="AVY2" t="s">
        <v>289</v>
      </c>
      <c r="AVZ2" t="s">
        <v>289</v>
      </c>
      <c r="AWA2" t="s">
        <v>289</v>
      </c>
      <c r="AWB2" t="s">
        <v>289</v>
      </c>
      <c r="AWC2" t="s">
        <v>289</v>
      </c>
      <c r="AWD2" t="s">
        <v>289</v>
      </c>
      <c r="AWE2" t="s">
        <v>289</v>
      </c>
      <c r="AWF2" t="s">
        <v>289</v>
      </c>
      <c r="AWG2" t="s">
        <v>289</v>
      </c>
      <c r="AWH2" t="s">
        <v>289</v>
      </c>
      <c r="AWI2" t="s">
        <v>289</v>
      </c>
      <c r="AWJ2" t="s">
        <v>289</v>
      </c>
      <c r="AWK2" t="s">
        <v>289</v>
      </c>
      <c r="AWL2" t="s">
        <v>289</v>
      </c>
      <c r="AWM2" t="s">
        <v>289</v>
      </c>
      <c r="AWN2" t="s">
        <v>289</v>
      </c>
      <c r="AWO2" t="s">
        <v>289</v>
      </c>
      <c r="AWP2" t="s">
        <v>289</v>
      </c>
      <c r="AWQ2" t="s">
        <v>289</v>
      </c>
      <c r="AWR2" t="s">
        <v>289</v>
      </c>
      <c r="AWS2" t="s">
        <v>289</v>
      </c>
      <c r="AWT2" t="s">
        <v>289</v>
      </c>
      <c r="AWU2" t="s">
        <v>289</v>
      </c>
      <c r="AWV2" t="s">
        <v>289</v>
      </c>
      <c r="AWW2" t="s">
        <v>289</v>
      </c>
      <c r="AWX2" t="s">
        <v>289</v>
      </c>
      <c r="AWY2" t="s">
        <v>289</v>
      </c>
      <c r="AWZ2" t="s">
        <v>289</v>
      </c>
      <c r="AXA2" t="s">
        <v>289</v>
      </c>
      <c r="AXB2" t="s">
        <v>289</v>
      </c>
      <c r="AXC2" t="s">
        <v>289</v>
      </c>
      <c r="AXD2" t="s">
        <v>289</v>
      </c>
      <c r="AXE2" t="s">
        <v>289</v>
      </c>
      <c r="AXF2" t="s">
        <v>289</v>
      </c>
      <c r="AXG2" t="s">
        <v>289</v>
      </c>
      <c r="AXH2" t="s">
        <v>289</v>
      </c>
      <c r="AXI2" t="s">
        <v>289</v>
      </c>
      <c r="AXJ2" t="s">
        <v>289</v>
      </c>
      <c r="AXK2" t="s">
        <v>289</v>
      </c>
      <c r="AXL2" t="s">
        <v>289</v>
      </c>
      <c r="AXM2" t="s">
        <v>289</v>
      </c>
      <c r="AXN2" t="s">
        <v>289</v>
      </c>
      <c r="AXO2" t="s">
        <v>289</v>
      </c>
      <c r="AXP2" t="s">
        <v>289</v>
      </c>
      <c r="AXQ2" t="s">
        <v>289</v>
      </c>
      <c r="AXR2" t="s">
        <v>289</v>
      </c>
      <c r="AXS2" t="s">
        <v>289</v>
      </c>
      <c r="AXT2" t="s">
        <v>289</v>
      </c>
      <c r="AXU2" t="s">
        <v>289</v>
      </c>
      <c r="AXV2" t="s">
        <v>289</v>
      </c>
      <c r="AXW2" t="s">
        <v>289</v>
      </c>
      <c r="AXX2" t="s">
        <v>289</v>
      </c>
      <c r="AXY2" t="s">
        <v>289</v>
      </c>
      <c r="AXZ2" t="s">
        <v>289</v>
      </c>
      <c r="AYA2" t="s">
        <v>289</v>
      </c>
      <c r="AYB2" t="s">
        <v>289</v>
      </c>
      <c r="AYC2" t="s">
        <v>289</v>
      </c>
      <c r="AYD2" t="s">
        <v>289</v>
      </c>
      <c r="AYE2" t="s">
        <v>289</v>
      </c>
      <c r="AYF2" t="s">
        <v>289</v>
      </c>
      <c r="AYG2" t="s">
        <v>289</v>
      </c>
      <c r="AYH2" t="s">
        <v>289</v>
      </c>
      <c r="AYI2" t="s">
        <v>289</v>
      </c>
      <c r="AYJ2" t="s">
        <v>289</v>
      </c>
      <c r="AYK2" t="s">
        <v>289</v>
      </c>
      <c r="AYL2" t="s">
        <v>289</v>
      </c>
      <c r="AYM2" t="s">
        <v>289</v>
      </c>
      <c r="AYN2" t="s">
        <v>289</v>
      </c>
      <c r="AYO2" t="s">
        <v>289</v>
      </c>
      <c r="AYP2" t="s">
        <v>289</v>
      </c>
      <c r="AYQ2" t="s">
        <v>289</v>
      </c>
      <c r="AYR2" t="s">
        <v>289</v>
      </c>
      <c r="AYS2" t="s">
        <v>289</v>
      </c>
      <c r="AYT2" t="s">
        <v>289</v>
      </c>
      <c r="AYU2" t="s">
        <v>289</v>
      </c>
      <c r="AYV2" t="s">
        <v>289</v>
      </c>
      <c r="AYW2" t="s">
        <v>289</v>
      </c>
      <c r="AYX2" t="s">
        <v>289</v>
      </c>
      <c r="AYY2" t="s">
        <v>289</v>
      </c>
      <c r="AYZ2" t="s">
        <v>289</v>
      </c>
      <c r="AZA2" t="s">
        <v>289</v>
      </c>
      <c r="AZB2" t="s">
        <v>289</v>
      </c>
      <c r="AZC2" t="s">
        <v>289</v>
      </c>
      <c r="AZD2" t="s">
        <v>289</v>
      </c>
      <c r="AZE2" t="s">
        <v>289</v>
      </c>
      <c r="AZF2" t="s">
        <v>289</v>
      </c>
      <c r="AZG2" t="s">
        <v>289</v>
      </c>
      <c r="AZH2" t="s">
        <v>289</v>
      </c>
      <c r="AZI2" t="s">
        <v>289</v>
      </c>
      <c r="AZJ2" t="s">
        <v>289</v>
      </c>
      <c r="AZK2" t="s">
        <v>289</v>
      </c>
      <c r="AZL2">
        <v>4317</v>
      </c>
      <c r="AZM2">
        <v>925</v>
      </c>
      <c r="AZN2">
        <v>2713</v>
      </c>
      <c r="AZO2">
        <v>7748</v>
      </c>
      <c r="AZP2">
        <v>5282</v>
      </c>
      <c r="AZQ2">
        <v>4282</v>
      </c>
      <c r="AZR2">
        <v>3654</v>
      </c>
      <c r="AZS2">
        <v>3058</v>
      </c>
      <c r="AZT2">
        <v>2527</v>
      </c>
      <c r="AZU2">
        <v>2093</v>
      </c>
      <c r="AZV2">
        <v>2004</v>
      </c>
      <c r="AZW2">
        <v>2189</v>
      </c>
      <c r="AZX2">
        <v>2288</v>
      </c>
      <c r="AZY2">
        <v>5059</v>
      </c>
      <c r="AZZ2" t="s">
        <v>289</v>
      </c>
      <c r="BAA2" t="s">
        <v>289</v>
      </c>
      <c r="BAB2" t="s">
        <v>289</v>
      </c>
      <c r="BAC2" t="s">
        <v>289</v>
      </c>
      <c r="BAD2" t="s">
        <v>289</v>
      </c>
      <c r="BAE2" t="s">
        <v>289</v>
      </c>
      <c r="BAF2" t="s">
        <v>289</v>
      </c>
      <c r="BAG2" t="s">
        <v>289</v>
      </c>
      <c r="BAH2" t="s">
        <v>289</v>
      </c>
      <c r="BAI2" t="s">
        <v>289</v>
      </c>
      <c r="BAJ2" t="s">
        <v>289</v>
      </c>
      <c r="BAK2" t="s">
        <v>289</v>
      </c>
      <c r="BAL2" t="s">
        <v>289</v>
      </c>
      <c r="BAM2" t="s">
        <v>289</v>
      </c>
      <c r="BAN2" t="s">
        <v>289</v>
      </c>
      <c r="BAO2" t="s">
        <v>289</v>
      </c>
      <c r="BAP2" t="s">
        <v>289</v>
      </c>
      <c r="BAQ2" t="s">
        <v>289</v>
      </c>
      <c r="BAR2" t="s">
        <v>289</v>
      </c>
      <c r="BAS2" t="s">
        <v>289</v>
      </c>
      <c r="BAT2" t="s">
        <v>289</v>
      </c>
      <c r="BAU2" t="s">
        <v>289</v>
      </c>
      <c r="BAV2" t="s">
        <v>289</v>
      </c>
      <c r="BAW2" t="s">
        <v>289</v>
      </c>
      <c r="BAX2" t="s">
        <v>289</v>
      </c>
      <c r="BAY2" t="s">
        <v>289</v>
      </c>
      <c r="BAZ2" t="s">
        <v>289</v>
      </c>
      <c r="BBA2" t="s">
        <v>289</v>
      </c>
      <c r="BBB2" t="s">
        <v>289</v>
      </c>
      <c r="BBC2" t="s">
        <v>289</v>
      </c>
      <c r="BBD2" t="s">
        <v>289</v>
      </c>
      <c r="BBE2">
        <v>974</v>
      </c>
      <c r="BBF2">
        <v>996</v>
      </c>
      <c r="BBG2">
        <v>1318</v>
      </c>
      <c r="BBH2">
        <v>1474</v>
      </c>
      <c r="BBI2">
        <v>1902</v>
      </c>
      <c r="BBJ2">
        <v>1865</v>
      </c>
      <c r="BBK2">
        <v>3000</v>
      </c>
      <c r="BBL2" t="s">
        <v>289</v>
      </c>
      <c r="BBM2">
        <v>32461</v>
      </c>
      <c r="BBN2">
        <v>32933</v>
      </c>
      <c r="BBO2">
        <v>28379</v>
      </c>
      <c r="BBP2">
        <v>27669</v>
      </c>
      <c r="BBQ2">
        <v>33160</v>
      </c>
      <c r="BBR2">
        <v>24444</v>
      </c>
      <c r="BBS2">
        <v>25847</v>
      </c>
      <c r="BBT2">
        <v>31876</v>
      </c>
      <c r="BBU2">
        <v>39424</v>
      </c>
      <c r="BBV2">
        <v>42389</v>
      </c>
      <c r="BBW2">
        <v>46169</v>
      </c>
      <c r="BBX2">
        <v>83344</v>
      </c>
      <c r="BBY2">
        <v>92472</v>
      </c>
      <c r="BBZ2">
        <v>94965</v>
      </c>
      <c r="BCA2">
        <v>101672</v>
      </c>
      <c r="BCB2">
        <v>115090</v>
      </c>
      <c r="BCC2">
        <v>114570</v>
      </c>
      <c r="BCD2">
        <v>123394</v>
      </c>
      <c r="BCE2" t="s">
        <v>289</v>
      </c>
      <c r="BCF2">
        <v>10221</v>
      </c>
      <c r="BCG2">
        <v>7963</v>
      </c>
      <c r="BCH2">
        <v>9367</v>
      </c>
      <c r="BCI2">
        <v>10112</v>
      </c>
      <c r="BCJ2">
        <v>9474</v>
      </c>
      <c r="BCK2">
        <v>20539</v>
      </c>
      <c r="BCL2">
        <v>18670</v>
      </c>
      <c r="BCM2">
        <v>18291</v>
      </c>
      <c r="BCN2">
        <v>18488</v>
      </c>
      <c r="BCO2">
        <v>23178</v>
      </c>
      <c r="BCP2">
        <v>19123</v>
      </c>
      <c r="BCQ2">
        <v>20872</v>
      </c>
      <c r="BCR2">
        <v>19265</v>
      </c>
      <c r="BCS2">
        <v>18457</v>
      </c>
      <c r="BCT2">
        <v>28938</v>
      </c>
      <c r="BCU2">
        <v>25923</v>
      </c>
      <c r="BCV2">
        <v>33910</v>
      </c>
      <c r="BCW2">
        <v>39724</v>
      </c>
      <c r="BCX2" t="s">
        <v>289</v>
      </c>
      <c r="BCY2">
        <v>55391</v>
      </c>
      <c r="BCZ2">
        <v>57846</v>
      </c>
      <c r="BDA2">
        <v>61229</v>
      </c>
      <c r="BDB2">
        <v>68516</v>
      </c>
      <c r="BDC2">
        <v>76163</v>
      </c>
      <c r="BDD2">
        <v>77777</v>
      </c>
      <c r="BDE2">
        <v>85936</v>
      </c>
      <c r="BDF2">
        <v>105640</v>
      </c>
      <c r="BDG2">
        <v>113061</v>
      </c>
      <c r="BDH2">
        <v>122192</v>
      </c>
      <c r="BDI2">
        <v>131103</v>
      </c>
      <c r="BDJ2">
        <v>145387</v>
      </c>
      <c r="BDK2">
        <v>155722</v>
      </c>
      <c r="BDL2">
        <v>160112</v>
      </c>
      <c r="BDM2">
        <v>183536</v>
      </c>
      <c r="BDN2">
        <v>187463</v>
      </c>
      <c r="BDO2">
        <v>194944</v>
      </c>
      <c r="BDP2">
        <v>200347</v>
      </c>
      <c r="BDQ2" t="s">
        <v>289</v>
      </c>
      <c r="BDR2">
        <v>50757</v>
      </c>
      <c r="BDS2">
        <v>55566</v>
      </c>
      <c r="BDT2">
        <v>56071</v>
      </c>
      <c r="BDU2">
        <v>58343</v>
      </c>
      <c r="BDV2">
        <v>69679</v>
      </c>
      <c r="BDW2">
        <v>69534</v>
      </c>
      <c r="BDX2">
        <v>76900</v>
      </c>
      <c r="BDY2">
        <v>101236</v>
      </c>
      <c r="BDZ2">
        <v>105526</v>
      </c>
      <c r="BEA2">
        <v>118625</v>
      </c>
      <c r="BEB2">
        <v>130706</v>
      </c>
      <c r="BEC2">
        <v>148489</v>
      </c>
      <c r="BED2">
        <v>177515</v>
      </c>
      <c r="BEE2">
        <v>160389</v>
      </c>
      <c r="BEF2">
        <v>167968</v>
      </c>
      <c r="BEG2">
        <v>167924</v>
      </c>
      <c r="BEH2">
        <v>165410</v>
      </c>
      <c r="BEI2">
        <v>164393</v>
      </c>
      <c r="BEJ2" t="s">
        <v>289</v>
      </c>
      <c r="BEK2">
        <v>7490</v>
      </c>
      <c r="BEL2">
        <v>7668</v>
      </c>
      <c r="BEM2">
        <v>7193</v>
      </c>
      <c r="BEN2">
        <v>6830</v>
      </c>
      <c r="BEO2">
        <v>12291</v>
      </c>
      <c r="BEP2">
        <v>12907</v>
      </c>
      <c r="BEQ2">
        <v>13104</v>
      </c>
      <c r="BER2">
        <v>22176</v>
      </c>
      <c r="BES2">
        <v>59111</v>
      </c>
      <c r="BET2">
        <v>59243</v>
      </c>
      <c r="BEU2">
        <v>59935</v>
      </c>
      <c r="BEV2">
        <v>61147</v>
      </c>
      <c r="BEW2">
        <v>62599</v>
      </c>
      <c r="BEX2">
        <v>63419</v>
      </c>
      <c r="BEY2">
        <v>64613</v>
      </c>
      <c r="BEZ2">
        <v>66214</v>
      </c>
      <c r="BFA2">
        <v>67968</v>
      </c>
      <c r="BFB2">
        <v>77689</v>
      </c>
      <c r="BFC2" t="s">
        <v>289</v>
      </c>
      <c r="BFD2">
        <v>225</v>
      </c>
      <c r="BFE2">
        <v>238</v>
      </c>
      <c r="BFF2">
        <v>195</v>
      </c>
      <c r="BFG2">
        <v>201</v>
      </c>
      <c r="BFH2">
        <v>2771</v>
      </c>
      <c r="BFI2">
        <v>2929</v>
      </c>
      <c r="BFJ2">
        <v>3410</v>
      </c>
      <c r="BFK2">
        <v>4334</v>
      </c>
      <c r="BFL2">
        <v>23889</v>
      </c>
      <c r="BFM2">
        <v>23730</v>
      </c>
      <c r="BFN2">
        <v>23577</v>
      </c>
      <c r="BFO2">
        <v>23646</v>
      </c>
      <c r="BFP2">
        <v>23559</v>
      </c>
      <c r="BFQ2">
        <v>23442</v>
      </c>
      <c r="BFR2">
        <v>23317</v>
      </c>
      <c r="BFS2">
        <v>23247</v>
      </c>
      <c r="BFT2">
        <v>23318</v>
      </c>
      <c r="BFU2">
        <v>26174</v>
      </c>
      <c r="BFV2" t="s">
        <v>289</v>
      </c>
      <c r="BFW2">
        <v>32461</v>
      </c>
      <c r="BFX2">
        <v>32933</v>
      </c>
      <c r="BFY2">
        <v>28379</v>
      </c>
      <c r="BFZ2">
        <v>27669</v>
      </c>
      <c r="BGA2">
        <v>33160</v>
      </c>
      <c r="BGB2">
        <v>24444</v>
      </c>
      <c r="BGC2">
        <v>25847</v>
      </c>
      <c r="BGD2">
        <v>31876</v>
      </c>
      <c r="BGE2">
        <v>39424</v>
      </c>
      <c r="BGF2">
        <v>42388</v>
      </c>
      <c r="BGG2">
        <v>46169</v>
      </c>
      <c r="BGH2">
        <v>83344</v>
      </c>
      <c r="BGI2">
        <v>92472</v>
      </c>
      <c r="BGJ2">
        <v>94965</v>
      </c>
      <c r="BGK2">
        <v>101672</v>
      </c>
      <c r="BGL2">
        <v>115090</v>
      </c>
      <c r="BGM2">
        <v>114571</v>
      </c>
      <c r="BGN2">
        <v>123393</v>
      </c>
      <c r="BGO2" t="s">
        <v>289</v>
      </c>
      <c r="BGP2">
        <v>28885</v>
      </c>
      <c r="BGQ2">
        <v>30992</v>
      </c>
      <c r="BGR2">
        <v>30023</v>
      </c>
      <c r="BGS2">
        <v>28677</v>
      </c>
      <c r="BGT2">
        <v>41000</v>
      </c>
      <c r="BGU2">
        <v>40606</v>
      </c>
      <c r="BGV2">
        <v>39853</v>
      </c>
      <c r="BGW2">
        <v>49090</v>
      </c>
      <c r="BGX2">
        <v>54061</v>
      </c>
      <c r="BGY2">
        <v>59986</v>
      </c>
      <c r="BGZ2">
        <v>65564</v>
      </c>
      <c r="BHA2">
        <v>72312</v>
      </c>
      <c r="BHB2">
        <v>88462</v>
      </c>
      <c r="BHC2">
        <v>81844</v>
      </c>
      <c r="BHD2">
        <v>89757</v>
      </c>
      <c r="BHE2">
        <v>87912</v>
      </c>
      <c r="BHF2">
        <v>88649</v>
      </c>
      <c r="BHG2">
        <v>78584</v>
      </c>
      <c r="BHH2" t="s">
        <v>289</v>
      </c>
      <c r="BHI2" t="s">
        <v>289</v>
      </c>
      <c r="BHJ2" t="s">
        <v>289</v>
      </c>
      <c r="BHK2" t="s">
        <v>289</v>
      </c>
      <c r="BHL2" t="s">
        <v>289</v>
      </c>
      <c r="BHM2" t="s">
        <v>289</v>
      </c>
      <c r="BHN2">
        <v>40583</v>
      </c>
      <c r="BHO2">
        <v>39827</v>
      </c>
      <c r="BHP2">
        <v>49046</v>
      </c>
      <c r="BHQ2">
        <v>54028</v>
      </c>
      <c r="BHR2">
        <v>59936</v>
      </c>
      <c r="BHS2">
        <v>65530</v>
      </c>
      <c r="BHT2">
        <v>72272</v>
      </c>
      <c r="BHU2">
        <v>88409</v>
      </c>
      <c r="BHV2">
        <v>81793</v>
      </c>
      <c r="BHW2">
        <v>89707</v>
      </c>
      <c r="BHX2">
        <v>86910</v>
      </c>
      <c r="BHY2">
        <v>87644</v>
      </c>
      <c r="BHZ2">
        <v>77476</v>
      </c>
      <c r="BIA2" t="s">
        <v>289</v>
      </c>
      <c r="BIB2">
        <v>127603</v>
      </c>
      <c r="BIC2">
        <v>133081</v>
      </c>
      <c r="BID2">
        <v>136603</v>
      </c>
      <c r="BIE2">
        <v>145357</v>
      </c>
      <c r="BIF2">
        <v>167919</v>
      </c>
      <c r="BIG2">
        <v>177179</v>
      </c>
      <c r="BIH2">
        <v>199393</v>
      </c>
      <c r="BII2">
        <v>253769</v>
      </c>
      <c r="BIJ2">
        <v>309518</v>
      </c>
      <c r="BIK2">
        <v>324333</v>
      </c>
      <c r="BIL2">
        <v>351209</v>
      </c>
      <c r="BIM2">
        <v>381935</v>
      </c>
      <c r="BIN2">
        <v>409732</v>
      </c>
      <c r="BIO2">
        <v>422193</v>
      </c>
      <c r="BIP2">
        <v>458156</v>
      </c>
      <c r="BIQ2">
        <v>488071</v>
      </c>
      <c r="BIR2">
        <v>497114</v>
      </c>
      <c r="BIS2">
        <v>528609</v>
      </c>
      <c r="BIT2" t="s">
        <v>289</v>
      </c>
      <c r="BIU2" t="s">
        <v>289</v>
      </c>
      <c r="BIV2" t="s">
        <v>289</v>
      </c>
      <c r="BIW2" t="s">
        <v>289</v>
      </c>
      <c r="BIX2" t="s">
        <v>289</v>
      </c>
      <c r="BIY2" t="s">
        <v>289</v>
      </c>
      <c r="BIZ2" t="s">
        <v>289</v>
      </c>
      <c r="BJA2" t="s">
        <v>289</v>
      </c>
      <c r="BJB2" t="s">
        <v>289</v>
      </c>
      <c r="BJC2" t="s">
        <v>289</v>
      </c>
      <c r="BJD2" t="s">
        <v>289</v>
      </c>
      <c r="BJE2" t="s">
        <v>289</v>
      </c>
      <c r="BJF2" t="s">
        <v>289</v>
      </c>
      <c r="BJG2" t="s">
        <v>289</v>
      </c>
      <c r="BJH2" t="s">
        <v>289</v>
      </c>
      <c r="BJI2" t="s">
        <v>289</v>
      </c>
      <c r="BJJ2" t="s">
        <v>289</v>
      </c>
      <c r="BJK2" t="s">
        <v>289</v>
      </c>
      <c r="BJL2" t="s">
        <v>289</v>
      </c>
      <c r="BJM2" t="s">
        <v>289</v>
      </c>
      <c r="BJN2">
        <v>-5550</v>
      </c>
      <c r="BJO2">
        <v>-4434</v>
      </c>
      <c r="BJP2">
        <v>-3728</v>
      </c>
      <c r="BJQ2">
        <v>-4638</v>
      </c>
      <c r="BJR2">
        <v>-6883</v>
      </c>
      <c r="BJS2">
        <v>-5963</v>
      </c>
      <c r="BJT2">
        <v>-5758</v>
      </c>
      <c r="BJU2">
        <v>-8087</v>
      </c>
      <c r="BJV2">
        <v>-10493</v>
      </c>
      <c r="BJW2">
        <v>-11385</v>
      </c>
      <c r="BJX2">
        <v>-12012</v>
      </c>
      <c r="BJY2">
        <v>-13213</v>
      </c>
      <c r="BJZ2">
        <v>-13152</v>
      </c>
      <c r="BKA2">
        <v>-13052</v>
      </c>
      <c r="BKB2">
        <v>-13729</v>
      </c>
      <c r="BKC2">
        <v>-14230</v>
      </c>
      <c r="BKD2">
        <v>-11273</v>
      </c>
      <c r="BKE2">
        <v>-18498</v>
      </c>
      <c r="BKF2" t="s">
        <v>289</v>
      </c>
      <c r="BKG2">
        <v>8302</v>
      </c>
      <c r="BKH2">
        <v>8648</v>
      </c>
      <c r="BKI2">
        <v>8376</v>
      </c>
      <c r="BKJ2">
        <v>9058</v>
      </c>
      <c r="BKK2">
        <v>8406</v>
      </c>
      <c r="BKL2">
        <v>8861</v>
      </c>
      <c r="BKM2">
        <v>10089</v>
      </c>
      <c r="BKN2">
        <v>10333</v>
      </c>
      <c r="BKO2">
        <v>13114</v>
      </c>
      <c r="BKP2">
        <v>14650</v>
      </c>
      <c r="BKQ2">
        <v>16791</v>
      </c>
      <c r="BKR2">
        <v>19656</v>
      </c>
      <c r="BKS2">
        <v>20793</v>
      </c>
      <c r="BKT2">
        <v>22030</v>
      </c>
      <c r="BKU2">
        <v>22391</v>
      </c>
      <c r="BKV2">
        <v>24406</v>
      </c>
      <c r="BKW2">
        <v>25749</v>
      </c>
      <c r="BKX2">
        <v>27281</v>
      </c>
      <c r="BKY2" t="s">
        <v>289</v>
      </c>
      <c r="BKZ2">
        <v>1698</v>
      </c>
      <c r="BLA2">
        <v>2425</v>
      </c>
      <c r="BLB2">
        <v>3472</v>
      </c>
      <c r="BLC2">
        <v>6938</v>
      </c>
      <c r="BLD2">
        <v>6333</v>
      </c>
      <c r="BLE2">
        <v>1855</v>
      </c>
      <c r="BLF2">
        <v>7141</v>
      </c>
      <c r="BLG2">
        <v>11271</v>
      </c>
      <c r="BLH2">
        <v>11498</v>
      </c>
      <c r="BLI2">
        <v>11671</v>
      </c>
      <c r="BLJ2">
        <v>12697</v>
      </c>
      <c r="BLK2">
        <v>-4069</v>
      </c>
      <c r="BLL2">
        <v>7103</v>
      </c>
      <c r="BLM2">
        <v>13818</v>
      </c>
      <c r="BLN2">
        <v>13920</v>
      </c>
      <c r="BLO2">
        <v>14614</v>
      </c>
      <c r="BLP2">
        <v>10210</v>
      </c>
      <c r="BLQ2">
        <v>18574</v>
      </c>
      <c r="BLR2" t="s">
        <v>289</v>
      </c>
      <c r="BLS2">
        <v>10000</v>
      </c>
      <c r="BLT2">
        <v>11073</v>
      </c>
      <c r="BLU2">
        <v>11848</v>
      </c>
      <c r="BLV2">
        <v>15996</v>
      </c>
      <c r="BLW2">
        <v>14739</v>
      </c>
      <c r="BLX2">
        <v>10716</v>
      </c>
      <c r="BLY2">
        <v>17230</v>
      </c>
      <c r="BLZ2">
        <v>21604</v>
      </c>
      <c r="BMA2">
        <v>24612</v>
      </c>
      <c r="BMB2">
        <v>26321</v>
      </c>
      <c r="BMC2">
        <v>29488</v>
      </c>
      <c r="BMD2">
        <v>15587</v>
      </c>
      <c r="BME2">
        <v>27896</v>
      </c>
      <c r="BMF2">
        <v>35848</v>
      </c>
      <c r="BMG2">
        <v>36311</v>
      </c>
      <c r="BMH2">
        <v>39020</v>
      </c>
      <c r="BMI2">
        <v>35959</v>
      </c>
      <c r="BMJ2">
        <v>45855</v>
      </c>
      <c r="BMK2" t="s">
        <v>289</v>
      </c>
      <c r="BML2" t="s">
        <v>289</v>
      </c>
      <c r="BMM2" t="s">
        <v>289</v>
      </c>
      <c r="BMN2" t="s">
        <v>289</v>
      </c>
      <c r="BMO2" t="s">
        <v>289</v>
      </c>
      <c r="BMP2" t="s">
        <v>289</v>
      </c>
      <c r="BMQ2">
        <v>11269</v>
      </c>
      <c r="BMR2">
        <v>18521</v>
      </c>
      <c r="BMS2">
        <v>22285</v>
      </c>
      <c r="BMT2">
        <v>24729</v>
      </c>
      <c r="BMU2">
        <v>26585</v>
      </c>
      <c r="BMV2">
        <v>29836</v>
      </c>
      <c r="BMW2">
        <v>33485</v>
      </c>
      <c r="BMX2">
        <v>36721</v>
      </c>
      <c r="BMY2">
        <v>40221</v>
      </c>
      <c r="BMZ2">
        <v>40474</v>
      </c>
      <c r="BNA2">
        <v>39322</v>
      </c>
      <c r="BNB2">
        <v>37989</v>
      </c>
      <c r="BNC2">
        <v>47194</v>
      </c>
      <c r="BND2" t="s">
        <v>289</v>
      </c>
      <c r="BNE2">
        <v>88963</v>
      </c>
      <c r="BNF2">
        <v>95268</v>
      </c>
      <c r="BNG2">
        <v>104875</v>
      </c>
      <c r="BNH2">
        <v>108897</v>
      </c>
      <c r="BNI2">
        <v>113808</v>
      </c>
      <c r="BNJ2">
        <v>105187</v>
      </c>
      <c r="BNK2">
        <v>126875</v>
      </c>
      <c r="BNL2">
        <v>159337</v>
      </c>
      <c r="BNM2">
        <v>192676</v>
      </c>
      <c r="BNN2">
        <v>197007</v>
      </c>
      <c r="BNO2">
        <v>202458</v>
      </c>
      <c r="BNP2">
        <v>213292</v>
      </c>
      <c r="BNQ2">
        <v>217267</v>
      </c>
      <c r="BNR2">
        <v>230682</v>
      </c>
      <c r="BNS2">
        <v>235849</v>
      </c>
      <c r="BNT2">
        <v>252632</v>
      </c>
      <c r="BNU2">
        <v>222884</v>
      </c>
      <c r="BNV2" t="s">
        <v>289</v>
      </c>
      <c r="BNW2" t="s">
        <v>289</v>
      </c>
      <c r="BNX2">
        <v>4930</v>
      </c>
      <c r="BNY2">
        <v>5213</v>
      </c>
      <c r="BNZ2">
        <v>4786</v>
      </c>
      <c r="BOA2">
        <v>4830</v>
      </c>
      <c r="BOB2">
        <v>4625</v>
      </c>
      <c r="BOC2">
        <v>4574</v>
      </c>
      <c r="BOD2">
        <v>4731</v>
      </c>
      <c r="BOE2">
        <v>4917</v>
      </c>
      <c r="BOF2">
        <v>5969</v>
      </c>
      <c r="BOG2">
        <v>6689</v>
      </c>
      <c r="BOH2">
        <v>7509</v>
      </c>
      <c r="BOI2">
        <v>13085</v>
      </c>
      <c r="BOJ2">
        <v>15368</v>
      </c>
      <c r="BOK2">
        <v>16764</v>
      </c>
      <c r="BOL2">
        <v>17174</v>
      </c>
      <c r="BOM2">
        <v>19676</v>
      </c>
      <c r="BON2">
        <v>20500</v>
      </c>
      <c r="BOO2">
        <v>22542</v>
      </c>
      <c r="BOP2" t="s">
        <v>289</v>
      </c>
      <c r="BOQ2">
        <v>1698</v>
      </c>
      <c r="BOR2">
        <v>2425</v>
      </c>
      <c r="BOS2">
        <v>3472</v>
      </c>
      <c r="BOT2">
        <v>6938</v>
      </c>
      <c r="BOU2">
        <v>6333</v>
      </c>
      <c r="BOV2">
        <v>1855</v>
      </c>
      <c r="BOW2">
        <v>7141</v>
      </c>
      <c r="BOX2">
        <v>11271</v>
      </c>
      <c r="BOY2">
        <v>11498</v>
      </c>
      <c r="BOZ2">
        <v>11671</v>
      </c>
      <c r="BPA2">
        <v>12697</v>
      </c>
      <c r="BPB2">
        <v>-4069</v>
      </c>
      <c r="BPC2">
        <v>7103</v>
      </c>
      <c r="BPD2">
        <v>13818</v>
      </c>
      <c r="BPE2">
        <v>13920</v>
      </c>
      <c r="BPF2">
        <v>14614</v>
      </c>
      <c r="BPG2">
        <v>10210</v>
      </c>
      <c r="BPH2">
        <v>18574</v>
      </c>
      <c r="BPI2" t="s">
        <v>289</v>
      </c>
      <c r="BPJ2">
        <v>48107</v>
      </c>
      <c r="BPK2">
        <v>50026</v>
      </c>
      <c r="BPL2">
        <v>44299</v>
      </c>
      <c r="BPM2">
        <v>41265</v>
      </c>
      <c r="BPN2">
        <v>56136</v>
      </c>
      <c r="BPO2">
        <v>53730</v>
      </c>
      <c r="BPP2">
        <v>-16948</v>
      </c>
      <c r="BPQ2">
        <v>-15017</v>
      </c>
      <c r="BPR2">
        <v>-8634</v>
      </c>
      <c r="BPS2">
        <v>-15193</v>
      </c>
      <c r="BPT2">
        <v>-15900</v>
      </c>
      <c r="BPU2">
        <v>-23753</v>
      </c>
      <c r="BPV2">
        <v>-33951</v>
      </c>
      <c r="BPW2">
        <v>-30242</v>
      </c>
      <c r="BPX2">
        <v>-34402</v>
      </c>
      <c r="BPY2">
        <v>-33540</v>
      </c>
      <c r="BPZ2">
        <v>-39514</v>
      </c>
      <c r="BQA2">
        <v>-39561</v>
      </c>
      <c r="BQB2" t="s">
        <v>289</v>
      </c>
      <c r="BQC2">
        <v>88963</v>
      </c>
      <c r="BQD2">
        <v>93996</v>
      </c>
      <c r="BQE2">
        <v>104875</v>
      </c>
      <c r="BQF2">
        <v>108897</v>
      </c>
      <c r="BQG2">
        <v>113808</v>
      </c>
      <c r="BQH2">
        <v>105187</v>
      </c>
      <c r="BQI2">
        <v>126876</v>
      </c>
      <c r="BQJ2">
        <v>159337</v>
      </c>
      <c r="BQK2">
        <v>192676</v>
      </c>
      <c r="BQL2">
        <v>197007</v>
      </c>
      <c r="BQM2">
        <v>202458</v>
      </c>
      <c r="BQN2">
        <v>213292</v>
      </c>
      <c r="BQO2">
        <v>217267</v>
      </c>
      <c r="BQP2">
        <v>229550</v>
      </c>
      <c r="BQQ2">
        <v>235849</v>
      </c>
      <c r="BQR2">
        <v>252633</v>
      </c>
      <c r="BQS2">
        <v>222884</v>
      </c>
      <c r="BQT2">
        <v>250200</v>
      </c>
      <c r="BQU2" t="s">
        <v>289</v>
      </c>
      <c r="BQV2">
        <v>12633</v>
      </c>
      <c r="BQW2">
        <v>14003</v>
      </c>
      <c r="BQX2">
        <v>13854</v>
      </c>
      <c r="BQY2">
        <v>12603</v>
      </c>
      <c r="BQZ2">
        <v>12955</v>
      </c>
      <c r="BRA2">
        <v>13936</v>
      </c>
      <c r="BRB2">
        <v>15432</v>
      </c>
      <c r="BRC2">
        <v>16787</v>
      </c>
      <c r="BRD2">
        <v>23939</v>
      </c>
      <c r="BRE2">
        <v>21774</v>
      </c>
      <c r="BRF2">
        <v>29806</v>
      </c>
      <c r="BRG2">
        <v>27535</v>
      </c>
      <c r="BRH2">
        <v>33012</v>
      </c>
      <c r="BRI2">
        <v>32730</v>
      </c>
      <c r="BRJ2">
        <v>33097</v>
      </c>
      <c r="BRK2">
        <v>41389</v>
      </c>
      <c r="BRL2">
        <v>45081</v>
      </c>
      <c r="BRM2">
        <v>41550</v>
      </c>
      <c r="BRN2" t="s">
        <v>289</v>
      </c>
      <c r="BRO2" t="s">
        <v>289</v>
      </c>
      <c r="BRP2" t="s">
        <v>289</v>
      </c>
      <c r="BRQ2" t="s">
        <v>289</v>
      </c>
      <c r="BRR2" t="s">
        <v>289</v>
      </c>
      <c r="BRS2" t="s">
        <v>289</v>
      </c>
      <c r="BRT2">
        <v>-7911</v>
      </c>
      <c r="BRU2">
        <v>-7425</v>
      </c>
      <c r="BRV2">
        <v>-9753</v>
      </c>
      <c r="BRW2">
        <v>-13108</v>
      </c>
      <c r="BRX2">
        <v>-15406</v>
      </c>
      <c r="BRY2">
        <v>-16613</v>
      </c>
      <c r="BRZ2">
        <v>-18234</v>
      </c>
      <c r="BSA2">
        <v>-18902</v>
      </c>
      <c r="BSB2">
        <v>-18312</v>
      </c>
      <c r="BSC2">
        <v>-18963</v>
      </c>
      <c r="BSD2">
        <v>-19401</v>
      </c>
      <c r="BSE2">
        <v>-17746</v>
      </c>
      <c r="BSF2">
        <v>-18498</v>
      </c>
      <c r="BSG2" t="s">
        <v>289</v>
      </c>
      <c r="BSH2" t="s">
        <v>289</v>
      </c>
      <c r="BSI2" t="s">
        <v>289</v>
      </c>
      <c r="BSJ2" t="s">
        <v>289</v>
      </c>
      <c r="BSK2" t="s">
        <v>289</v>
      </c>
      <c r="BSL2" t="s">
        <v>289</v>
      </c>
      <c r="BSM2">
        <v>-1948</v>
      </c>
      <c r="BSN2">
        <v>-1667</v>
      </c>
      <c r="BSO2">
        <v>-1666</v>
      </c>
      <c r="BSP2">
        <v>-2615</v>
      </c>
      <c r="BSQ2">
        <v>-4021</v>
      </c>
      <c r="BSR2">
        <v>-4601</v>
      </c>
      <c r="BSS2">
        <v>-5021</v>
      </c>
      <c r="BST2">
        <v>-5750</v>
      </c>
      <c r="BSU2">
        <v>-5260</v>
      </c>
      <c r="BSV2">
        <v>-5234</v>
      </c>
      <c r="BSW2">
        <v>-5171</v>
      </c>
      <c r="BSX2">
        <v>-6473</v>
      </c>
      <c r="BSY2" t="s">
        <v>289</v>
      </c>
      <c r="BSZ2" t="s">
        <v>289</v>
      </c>
      <c r="BTA2">
        <v>-1501</v>
      </c>
      <c r="BTB2">
        <v>-1432</v>
      </c>
      <c r="BTC2">
        <v>-1478</v>
      </c>
      <c r="BTD2">
        <v>-1446</v>
      </c>
      <c r="BTE2">
        <v>-2216</v>
      </c>
      <c r="BTF2">
        <v>-1948</v>
      </c>
      <c r="BTG2">
        <v>-1667</v>
      </c>
      <c r="BTH2">
        <v>-1666</v>
      </c>
      <c r="BTI2">
        <v>-2615</v>
      </c>
      <c r="BTJ2">
        <v>-4021</v>
      </c>
      <c r="BTK2">
        <v>-4601</v>
      </c>
      <c r="BTL2">
        <v>-5021</v>
      </c>
      <c r="BTM2">
        <v>-5750</v>
      </c>
      <c r="BTN2">
        <v>-5260</v>
      </c>
      <c r="BTO2">
        <v>-5234</v>
      </c>
      <c r="BTP2">
        <v>-5171</v>
      </c>
      <c r="BTQ2">
        <v>-6473</v>
      </c>
      <c r="BTR2" t="s">
        <v>289</v>
      </c>
      <c r="BTS2" t="s">
        <v>289</v>
      </c>
      <c r="BTT2" t="s">
        <v>289</v>
      </c>
      <c r="BTU2" t="s">
        <v>289</v>
      </c>
      <c r="BTV2" t="s">
        <v>289</v>
      </c>
      <c r="BTW2" t="s">
        <v>289</v>
      </c>
      <c r="BTX2" t="s">
        <v>289</v>
      </c>
      <c r="BTY2" t="s">
        <v>289</v>
      </c>
      <c r="BTZ2" t="s">
        <v>289</v>
      </c>
      <c r="BUA2" t="s">
        <v>289</v>
      </c>
      <c r="BUB2" t="s">
        <v>289</v>
      </c>
      <c r="BUC2" t="s">
        <v>289</v>
      </c>
      <c r="BUD2" t="s">
        <v>289</v>
      </c>
      <c r="BUE2" t="s">
        <v>289</v>
      </c>
      <c r="BUF2" t="s">
        <v>289</v>
      </c>
      <c r="BUG2" t="s">
        <v>289</v>
      </c>
      <c r="BUH2" t="s">
        <v>289</v>
      </c>
      <c r="BUI2" t="s">
        <v>289</v>
      </c>
      <c r="BUJ2" t="s">
        <v>289</v>
      </c>
      <c r="BUK2" t="s">
        <v>289</v>
      </c>
      <c r="BUL2" t="s">
        <v>289</v>
      </c>
      <c r="BUM2">
        <v>-5550</v>
      </c>
      <c r="BUN2">
        <v>-4434</v>
      </c>
      <c r="BUO2">
        <v>-3728</v>
      </c>
      <c r="BUP2">
        <v>-4638</v>
      </c>
      <c r="BUQ2">
        <v>-6883</v>
      </c>
      <c r="BUR2" t="s">
        <v>289</v>
      </c>
      <c r="BUS2" t="s">
        <v>289</v>
      </c>
      <c r="BUT2" t="s">
        <v>289</v>
      </c>
      <c r="BUU2" t="s">
        <v>289</v>
      </c>
      <c r="BUV2" t="s">
        <v>289</v>
      </c>
      <c r="BUW2" t="s">
        <v>289</v>
      </c>
      <c r="BUX2" t="s">
        <v>289</v>
      </c>
      <c r="BUY2" t="s">
        <v>289</v>
      </c>
      <c r="BUZ2" t="s">
        <v>289</v>
      </c>
      <c r="BVA2" t="s">
        <v>289</v>
      </c>
      <c r="BVB2" t="s">
        <v>289</v>
      </c>
      <c r="BVC2" t="s">
        <v>289</v>
      </c>
      <c r="BVD2">
        <v>-18498</v>
      </c>
      <c r="BVE2" t="s">
        <v>289</v>
      </c>
      <c r="BVF2" t="s">
        <v>289</v>
      </c>
      <c r="BVG2" t="s">
        <v>289</v>
      </c>
      <c r="BVH2" t="s">
        <v>289</v>
      </c>
      <c r="BVI2" t="s">
        <v>289</v>
      </c>
      <c r="BVJ2" t="s">
        <v>289</v>
      </c>
      <c r="BVK2" t="s">
        <v>289</v>
      </c>
      <c r="BVL2" t="s">
        <v>289</v>
      </c>
      <c r="BVM2" t="s">
        <v>289</v>
      </c>
      <c r="BVN2" t="s">
        <v>289</v>
      </c>
      <c r="BVO2" t="s">
        <v>289</v>
      </c>
      <c r="BVP2" t="s">
        <v>289</v>
      </c>
      <c r="BVQ2" t="s">
        <v>289</v>
      </c>
      <c r="BVR2" t="s">
        <v>289</v>
      </c>
      <c r="BVS2" t="s">
        <v>289</v>
      </c>
      <c r="BVT2" t="s">
        <v>289</v>
      </c>
      <c r="BVU2" t="s">
        <v>289</v>
      </c>
      <c r="BVV2" t="s">
        <v>289</v>
      </c>
      <c r="BVW2" t="s">
        <v>289</v>
      </c>
      <c r="BVX2" t="s">
        <v>289</v>
      </c>
      <c r="BVY2" t="s">
        <v>289</v>
      </c>
      <c r="BVZ2" t="s">
        <v>289</v>
      </c>
      <c r="BWA2" t="s">
        <v>289</v>
      </c>
      <c r="BWB2" t="s">
        <v>289</v>
      </c>
      <c r="BWC2" t="s">
        <v>289</v>
      </c>
      <c r="BWD2">
        <v>5429</v>
      </c>
      <c r="BWE2">
        <v>6257</v>
      </c>
      <c r="BWF2">
        <v>7234</v>
      </c>
      <c r="BWG2">
        <v>8851</v>
      </c>
      <c r="BWH2">
        <v>10186</v>
      </c>
      <c r="BWI2">
        <v>11545</v>
      </c>
      <c r="BWJ2">
        <v>11853</v>
      </c>
      <c r="BWK2">
        <v>11509</v>
      </c>
      <c r="BWL2">
        <v>11614</v>
      </c>
      <c r="BWM2">
        <v>12116</v>
      </c>
      <c r="BWN2">
        <v>13199</v>
      </c>
      <c r="BWO2">
        <v>12056</v>
      </c>
      <c r="BWP2">
        <v>12790</v>
      </c>
      <c r="BWQ2" t="s">
        <v>289</v>
      </c>
      <c r="BWR2" t="s">
        <v>289</v>
      </c>
      <c r="BWS2" t="s">
        <v>289</v>
      </c>
      <c r="BWT2" t="s">
        <v>289</v>
      </c>
      <c r="BWU2" t="s">
        <v>289</v>
      </c>
      <c r="BWV2" t="s">
        <v>289</v>
      </c>
      <c r="BWW2" t="s">
        <v>289</v>
      </c>
      <c r="BWX2" t="s">
        <v>289</v>
      </c>
      <c r="BWY2" t="s">
        <v>289</v>
      </c>
      <c r="BWZ2" t="s">
        <v>289</v>
      </c>
      <c r="BXA2" t="s">
        <v>289</v>
      </c>
      <c r="BXB2" t="s">
        <v>289</v>
      </c>
      <c r="BXC2" t="s">
        <v>289</v>
      </c>
      <c r="BXD2" t="s">
        <v>289</v>
      </c>
      <c r="BXE2" t="s">
        <v>289</v>
      </c>
      <c r="BXF2" t="s">
        <v>289</v>
      </c>
      <c r="BXG2" t="s">
        <v>289</v>
      </c>
      <c r="BXH2" t="s">
        <v>289</v>
      </c>
      <c r="BXI2" t="s">
        <v>289</v>
      </c>
      <c r="BXJ2" t="s">
        <v>289</v>
      </c>
      <c r="BXK2" t="s">
        <v>289</v>
      </c>
      <c r="BXL2" t="s">
        <v>289</v>
      </c>
      <c r="BXM2" t="s">
        <v>289</v>
      </c>
      <c r="BXN2" t="s">
        <v>289</v>
      </c>
      <c r="BXO2" t="s">
        <v>289</v>
      </c>
      <c r="BXP2">
        <v>0</v>
      </c>
      <c r="BXQ2">
        <v>0</v>
      </c>
      <c r="BXR2">
        <v>0</v>
      </c>
      <c r="BXS2">
        <v>0</v>
      </c>
      <c r="BXT2">
        <v>0</v>
      </c>
      <c r="BXU2">
        <v>0</v>
      </c>
      <c r="BXV2">
        <v>0</v>
      </c>
      <c r="BXW2">
        <v>0</v>
      </c>
      <c r="BXX2">
        <v>0</v>
      </c>
      <c r="BXY2">
        <v>0</v>
      </c>
      <c r="BXZ2">
        <v>0</v>
      </c>
      <c r="BYA2">
        <v>0</v>
      </c>
      <c r="BYB2">
        <v>0</v>
      </c>
      <c r="BYC2" t="s">
        <v>289</v>
      </c>
      <c r="BYD2" t="s">
        <v>289</v>
      </c>
      <c r="BYE2" t="s">
        <v>289</v>
      </c>
      <c r="BYF2" t="s">
        <v>289</v>
      </c>
      <c r="BYG2" t="s">
        <v>289</v>
      </c>
      <c r="BYH2" t="s">
        <v>289</v>
      </c>
      <c r="BYI2" t="s">
        <v>289</v>
      </c>
      <c r="BYJ2" t="s">
        <v>289</v>
      </c>
      <c r="BYK2" t="s">
        <v>289</v>
      </c>
      <c r="BYL2" t="s">
        <v>289</v>
      </c>
      <c r="BYM2" t="s">
        <v>289</v>
      </c>
      <c r="BYN2" t="s">
        <v>289</v>
      </c>
      <c r="BYO2" t="s">
        <v>289</v>
      </c>
      <c r="BYP2" t="s">
        <v>289</v>
      </c>
      <c r="BYQ2" t="s">
        <v>289</v>
      </c>
      <c r="BYR2" t="s">
        <v>289</v>
      </c>
      <c r="BYS2" t="s">
        <v>289</v>
      </c>
      <c r="BYT2" t="s">
        <v>289</v>
      </c>
      <c r="BYU2" t="s">
        <v>289</v>
      </c>
      <c r="BYV2" t="s">
        <v>289</v>
      </c>
      <c r="BYW2" t="s">
        <v>289</v>
      </c>
      <c r="BYX2" t="s">
        <v>289</v>
      </c>
      <c r="BYY2" t="s">
        <v>289</v>
      </c>
      <c r="BYZ2" t="s">
        <v>289</v>
      </c>
      <c r="BZA2" t="s">
        <v>289</v>
      </c>
      <c r="BZB2" t="s">
        <v>289</v>
      </c>
      <c r="BZC2" t="s">
        <v>289</v>
      </c>
      <c r="BZD2" t="s">
        <v>289</v>
      </c>
      <c r="BZE2" t="s">
        <v>289</v>
      </c>
      <c r="BZF2" t="s">
        <v>289</v>
      </c>
      <c r="BZG2" t="s">
        <v>289</v>
      </c>
      <c r="BZH2" t="s">
        <v>289</v>
      </c>
      <c r="BZI2" t="s">
        <v>289</v>
      </c>
      <c r="BZJ2" t="s">
        <v>289</v>
      </c>
      <c r="BZK2" t="s">
        <v>289</v>
      </c>
      <c r="BZL2" t="s">
        <v>289</v>
      </c>
      <c r="BZM2" t="s">
        <v>289</v>
      </c>
      <c r="BZN2" t="s">
        <v>289</v>
      </c>
      <c r="BZO2" t="s">
        <v>289</v>
      </c>
      <c r="BZP2" t="s">
        <v>289</v>
      </c>
      <c r="BZQ2" t="s">
        <v>289</v>
      </c>
      <c r="BZR2" t="s">
        <v>289</v>
      </c>
      <c r="BZS2" t="s">
        <v>289</v>
      </c>
      <c r="BZT2" t="s">
        <v>289</v>
      </c>
      <c r="BZU2" t="s">
        <v>289</v>
      </c>
      <c r="BZV2" t="s">
        <v>289</v>
      </c>
      <c r="BZW2" t="s">
        <v>289</v>
      </c>
      <c r="BZX2" t="s">
        <v>289</v>
      </c>
      <c r="BZY2" t="s">
        <v>289</v>
      </c>
      <c r="BZZ2" t="s">
        <v>289</v>
      </c>
      <c r="CAA2" t="s">
        <v>289</v>
      </c>
      <c r="CAB2" t="s">
        <v>289</v>
      </c>
      <c r="CAC2" t="s">
        <v>289</v>
      </c>
      <c r="CAD2" t="s">
        <v>289</v>
      </c>
      <c r="CAE2" t="s">
        <v>289</v>
      </c>
      <c r="CAF2" t="s">
        <v>289</v>
      </c>
      <c r="CAG2" t="s">
        <v>289</v>
      </c>
      <c r="CAH2" t="s">
        <v>289</v>
      </c>
      <c r="CAI2" t="s">
        <v>289</v>
      </c>
      <c r="CAJ2" t="s">
        <v>289</v>
      </c>
      <c r="CAK2" t="s">
        <v>289</v>
      </c>
      <c r="CAL2" t="s">
        <v>289</v>
      </c>
      <c r="CAM2" t="s">
        <v>289</v>
      </c>
      <c r="CAN2" t="s">
        <v>289</v>
      </c>
      <c r="CAO2" t="s">
        <v>289</v>
      </c>
      <c r="CAP2" t="s">
        <v>289</v>
      </c>
      <c r="CAQ2" t="s">
        <v>289</v>
      </c>
      <c r="CAR2" t="s">
        <v>289</v>
      </c>
      <c r="CAS2" t="s">
        <v>289</v>
      </c>
      <c r="CAT2" t="s">
        <v>289</v>
      </c>
      <c r="CAU2" t="s">
        <v>289</v>
      </c>
      <c r="CAV2" t="s">
        <v>289</v>
      </c>
      <c r="CAW2" t="s">
        <v>289</v>
      </c>
      <c r="CAX2" t="s">
        <v>289</v>
      </c>
      <c r="CAY2" t="s">
        <v>289</v>
      </c>
      <c r="CAZ2" t="s">
        <v>289</v>
      </c>
      <c r="CBA2" t="s">
        <v>289</v>
      </c>
      <c r="CBB2">
        <v>3797</v>
      </c>
      <c r="CBC2">
        <v>4075</v>
      </c>
      <c r="CBD2">
        <v>4240</v>
      </c>
      <c r="CBE2">
        <v>4923</v>
      </c>
      <c r="CBF2">
        <v>5926</v>
      </c>
      <c r="CBG2">
        <v>5429</v>
      </c>
      <c r="CBH2">
        <v>6257</v>
      </c>
      <c r="CBI2">
        <v>7234</v>
      </c>
      <c r="CBJ2">
        <v>8851</v>
      </c>
      <c r="CBK2">
        <v>10186</v>
      </c>
      <c r="CBL2">
        <v>11545</v>
      </c>
      <c r="CBM2">
        <v>11853</v>
      </c>
      <c r="CBN2">
        <v>11509</v>
      </c>
      <c r="CBO2">
        <v>11614</v>
      </c>
      <c r="CBP2">
        <v>12116</v>
      </c>
      <c r="CBQ2">
        <v>13199</v>
      </c>
      <c r="CBR2">
        <v>12056</v>
      </c>
      <c r="CBS2">
        <v>12790</v>
      </c>
      <c r="CBT2" t="s">
        <v>289</v>
      </c>
      <c r="CBU2" t="s">
        <v>289</v>
      </c>
      <c r="CBV2" t="s">
        <v>289</v>
      </c>
      <c r="CBW2" t="s">
        <v>289</v>
      </c>
      <c r="CBX2" t="s">
        <v>289</v>
      </c>
      <c r="CBY2" t="s">
        <v>289</v>
      </c>
      <c r="CBZ2" t="s">
        <v>289</v>
      </c>
      <c r="CCA2" t="s">
        <v>289</v>
      </c>
      <c r="CCB2" t="s">
        <v>289</v>
      </c>
      <c r="CCC2" t="s">
        <v>289</v>
      </c>
      <c r="CCD2" t="s">
        <v>289</v>
      </c>
      <c r="CCE2" t="s">
        <v>289</v>
      </c>
      <c r="CCF2" t="s">
        <v>289</v>
      </c>
      <c r="CCG2" t="s">
        <v>289</v>
      </c>
      <c r="CCH2" t="s">
        <v>289</v>
      </c>
      <c r="CCI2" t="s">
        <v>289</v>
      </c>
      <c r="CCJ2" t="s">
        <v>289</v>
      </c>
      <c r="CCK2" t="s">
        <v>289</v>
      </c>
      <c r="CCL2" t="s">
        <v>289</v>
      </c>
      <c r="CCM2" t="s">
        <v>289</v>
      </c>
      <c r="CCN2" t="s">
        <v>289</v>
      </c>
      <c r="CCO2" t="s">
        <v>289</v>
      </c>
      <c r="CCP2" t="s">
        <v>289</v>
      </c>
      <c r="CCQ2" t="s">
        <v>289</v>
      </c>
      <c r="CCR2" t="s">
        <v>289</v>
      </c>
      <c r="CCS2" t="s">
        <v>289</v>
      </c>
      <c r="CCT2" t="s">
        <v>289</v>
      </c>
      <c r="CCU2" t="s">
        <v>289</v>
      </c>
      <c r="CCV2" t="s">
        <v>289</v>
      </c>
      <c r="CCW2" t="s">
        <v>289</v>
      </c>
      <c r="CCX2" t="s">
        <v>289</v>
      </c>
      <c r="CCY2" t="s">
        <v>289</v>
      </c>
      <c r="CCZ2" t="s">
        <v>289</v>
      </c>
      <c r="CDA2" t="s">
        <v>289</v>
      </c>
      <c r="CDB2" t="s">
        <v>289</v>
      </c>
      <c r="CDC2" t="s">
        <v>289</v>
      </c>
      <c r="CDD2" t="s">
        <v>289</v>
      </c>
      <c r="CDE2" t="s">
        <v>289</v>
      </c>
      <c r="CDF2" t="s">
        <v>289</v>
      </c>
      <c r="CDG2" t="s">
        <v>289</v>
      </c>
      <c r="CDH2" t="s">
        <v>289</v>
      </c>
      <c r="CDI2" t="s">
        <v>289</v>
      </c>
      <c r="CDJ2" t="s">
        <v>289</v>
      </c>
      <c r="CDK2" t="s">
        <v>289</v>
      </c>
      <c r="CDL2" t="s">
        <v>289</v>
      </c>
      <c r="CDM2" t="s">
        <v>289</v>
      </c>
      <c r="CDN2" t="s">
        <v>289</v>
      </c>
      <c r="CDO2" t="s">
        <v>289</v>
      </c>
      <c r="CDP2" t="s">
        <v>289</v>
      </c>
      <c r="CDQ2" t="s">
        <v>289</v>
      </c>
      <c r="CDR2" t="s">
        <v>289</v>
      </c>
      <c r="CDS2" t="s">
        <v>289</v>
      </c>
      <c r="CDT2" t="s">
        <v>289</v>
      </c>
      <c r="CDU2" t="s">
        <v>289</v>
      </c>
      <c r="CDV2" t="s">
        <v>289</v>
      </c>
      <c r="CDW2" t="s">
        <v>289</v>
      </c>
      <c r="CDX2" t="s">
        <v>289</v>
      </c>
      <c r="CDY2" t="s">
        <v>289</v>
      </c>
      <c r="CDZ2" t="s">
        <v>289</v>
      </c>
      <c r="CEA2" t="s">
        <v>289</v>
      </c>
      <c r="CEB2" t="s">
        <v>289</v>
      </c>
      <c r="CEC2" t="s">
        <v>289</v>
      </c>
      <c r="CED2" t="s">
        <v>289</v>
      </c>
      <c r="CEE2" t="s">
        <v>289</v>
      </c>
      <c r="CEF2" t="s">
        <v>289</v>
      </c>
      <c r="CEG2" t="s">
        <v>289</v>
      </c>
      <c r="CEH2" t="s">
        <v>289</v>
      </c>
      <c r="CEI2" t="s">
        <v>289</v>
      </c>
      <c r="CEJ2" t="s">
        <v>289</v>
      </c>
      <c r="CEK2" t="s">
        <v>289</v>
      </c>
      <c r="CEL2" t="s">
        <v>289</v>
      </c>
      <c r="CEM2" t="s">
        <v>289</v>
      </c>
      <c r="CEN2" t="s">
        <v>289</v>
      </c>
      <c r="CEO2" t="s">
        <v>289</v>
      </c>
      <c r="CEP2" t="s">
        <v>289</v>
      </c>
      <c r="CEQ2" t="s">
        <v>289</v>
      </c>
      <c r="CER2" t="s">
        <v>289</v>
      </c>
      <c r="CES2" t="s">
        <v>289</v>
      </c>
      <c r="CET2" t="s">
        <v>289</v>
      </c>
      <c r="CEU2" t="s">
        <v>289</v>
      </c>
      <c r="CEV2" t="s">
        <v>289</v>
      </c>
      <c r="CEW2" t="s">
        <v>289</v>
      </c>
      <c r="CEX2" t="s">
        <v>289</v>
      </c>
      <c r="CEY2" t="s">
        <v>289</v>
      </c>
      <c r="CEZ2" t="s">
        <v>289</v>
      </c>
      <c r="CFA2" t="s">
        <v>289</v>
      </c>
      <c r="CFB2" t="s">
        <v>289</v>
      </c>
      <c r="CFC2" t="s">
        <v>289</v>
      </c>
      <c r="CFD2" t="s">
        <v>289</v>
      </c>
      <c r="CFE2" t="s">
        <v>289</v>
      </c>
      <c r="CFF2" t="s">
        <v>289</v>
      </c>
      <c r="CFG2" t="s">
        <v>289</v>
      </c>
      <c r="CFH2" t="s">
        <v>289</v>
      </c>
      <c r="CFI2" t="s">
        <v>289</v>
      </c>
      <c r="CFJ2" t="s">
        <v>289</v>
      </c>
      <c r="CFK2" t="s">
        <v>289</v>
      </c>
      <c r="CFL2" t="s">
        <v>289</v>
      </c>
      <c r="CFM2" t="s">
        <v>289</v>
      </c>
      <c r="CFN2" t="s">
        <v>289</v>
      </c>
      <c r="CFO2" t="s">
        <v>289</v>
      </c>
      <c r="CFP2" t="s">
        <v>289</v>
      </c>
      <c r="CFQ2" t="s">
        <v>289</v>
      </c>
      <c r="CFR2" t="s">
        <v>289</v>
      </c>
      <c r="CFS2" t="s">
        <v>289</v>
      </c>
      <c r="CFT2" t="s">
        <v>289</v>
      </c>
      <c r="CFU2" t="s">
        <v>289</v>
      </c>
      <c r="CFV2" t="s">
        <v>289</v>
      </c>
      <c r="CFW2" t="s">
        <v>289</v>
      </c>
      <c r="CFX2" t="s">
        <v>289</v>
      </c>
      <c r="CFY2" t="s">
        <v>289</v>
      </c>
      <c r="CFZ2" t="s">
        <v>289</v>
      </c>
      <c r="CGA2" t="s">
        <v>289</v>
      </c>
      <c r="CGB2" t="s">
        <v>289</v>
      </c>
      <c r="CGC2" t="s">
        <v>289</v>
      </c>
      <c r="CGD2" t="s">
        <v>289</v>
      </c>
      <c r="CGE2">
        <v>-121</v>
      </c>
      <c r="CGF2">
        <v>50</v>
      </c>
      <c r="CGG2">
        <v>701</v>
      </c>
      <c r="CGH2">
        <v>-963</v>
      </c>
      <c r="CGI2">
        <v>-1283</v>
      </c>
      <c r="CGJ2">
        <v>-764</v>
      </c>
      <c r="CGK2">
        <v>-2444</v>
      </c>
      <c r="CGL2">
        <v>-8617</v>
      </c>
      <c r="CGM2">
        <v>-15280</v>
      </c>
      <c r="CGN2">
        <v>-2998</v>
      </c>
      <c r="CGO2">
        <v>-3181</v>
      </c>
      <c r="CGP2">
        <v>-3774</v>
      </c>
      <c r="CGQ2">
        <v>-1754</v>
      </c>
      <c r="CGR2">
        <v>-5011</v>
      </c>
      <c r="CGS2">
        <v>-6070</v>
      </c>
      <c r="CGT2">
        <v>-6394</v>
      </c>
      <c r="CGU2">
        <v>-3824</v>
      </c>
      <c r="CGV2">
        <v>-2504</v>
      </c>
      <c r="CGW2" t="s">
        <v>289</v>
      </c>
      <c r="CGX2">
        <v>255</v>
      </c>
      <c r="CGY2">
        <v>78</v>
      </c>
      <c r="CGZ2">
        <v>373</v>
      </c>
      <c r="CHA2">
        <v>734</v>
      </c>
      <c r="CHB2">
        <v>910</v>
      </c>
      <c r="CHC2">
        <v>701</v>
      </c>
      <c r="CHD2">
        <v>1944</v>
      </c>
      <c r="CHE2">
        <v>2253</v>
      </c>
      <c r="CHF2">
        <v>13568</v>
      </c>
      <c r="CHG2">
        <v>3588</v>
      </c>
      <c r="CHH2">
        <v>3988</v>
      </c>
      <c r="CHI2">
        <v>4387</v>
      </c>
      <c r="CHJ2">
        <v>3497</v>
      </c>
      <c r="CHK2">
        <v>3482</v>
      </c>
      <c r="CHL2">
        <v>3369</v>
      </c>
      <c r="CHM2">
        <v>3349</v>
      </c>
      <c r="CHN2">
        <v>2756</v>
      </c>
      <c r="CHO2">
        <v>2321</v>
      </c>
      <c r="CHP2" t="s">
        <v>289</v>
      </c>
      <c r="CHQ2">
        <v>23055</v>
      </c>
      <c r="CHR2">
        <v>25294</v>
      </c>
      <c r="CHS2">
        <v>26860</v>
      </c>
      <c r="CHT2">
        <v>28070</v>
      </c>
      <c r="CHU2">
        <v>32438</v>
      </c>
      <c r="CHV2">
        <v>33933</v>
      </c>
      <c r="CHW2">
        <v>36709</v>
      </c>
      <c r="CHX2">
        <v>45839</v>
      </c>
      <c r="CHY2">
        <v>54088</v>
      </c>
      <c r="CHZ2">
        <v>55566</v>
      </c>
      <c r="CIA2">
        <v>62045</v>
      </c>
      <c r="CIB2">
        <v>66049</v>
      </c>
      <c r="CIC2">
        <v>74892</v>
      </c>
      <c r="CID2">
        <v>78930</v>
      </c>
      <c r="CIE2">
        <v>84756</v>
      </c>
      <c r="CIF2">
        <v>93337</v>
      </c>
      <c r="CIG2">
        <v>89388</v>
      </c>
      <c r="CIH2">
        <v>94194</v>
      </c>
      <c r="CII2" t="s">
        <v>289</v>
      </c>
      <c r="CIJ2" t="s">
        <v>289</v>
      </c>
      <c r="CIK2" t="s">
        <v>289</v>
      </c>
      <c r="CIL2" t="s">
        <v>289</v>
      </c>
      <c r="CIM2" t="s">
        <v>289</v>
      </c>
      <c r="CIN2" t="s">
        <v>289</v>
      </c>
      <c r="CIO2" t="s">
        <v>289</v>
      </c>
      <c r="CIP2" t="s">
        <v>289</v>
      </c>
      <c r="CIQ2" t="s">
        <v>289</v>
      </c>
      <c r="CIR2" t="s">
        <v>289</v>
      </c>
      <c r="CIS2" t="s">
        <v>289</v>
      </c>
      <c r="CIT2" t="s">
        <v>289</v>
      </c>
      <c r="CIU2" t="s">
        <v>289</v>
      </c>
      <c r="CIV2" t="s">
        <v>289</v>
      </c>
      <c r="CIW2" t="s">
        <v>289</v>
      </c>
      <c r="CIX2" t="s">
        <v>289</v>
      </c>
      <c r="CIY2" t="s">
        <v>289</v>
      </c>
      <c r="CIZ2" t="s">
        <v>289</v>
      </c>
      <c r="CJA2" t="s">
        <v>289</v>
      </c>
      <c r="CJB2" t="s">
        <v>289</v>
      </c>
      <c r="CJC2" t="s">
        <v>289</v>
      </c>
      <c r="CJD2" t="s">
        <v>289</v>
      </c>
      <c r="CJE2" t="s">
        <v>289</v>
      </c>
      <c r="CJF2" t="s">
        <v>289</v>
      </c>
      <c r="CJG2" t="s">
        <v>289</v>
      </c>
      <c r="CJH2" t="s">
        <v>289</v>
      </c>
      <c r="CJI2" t="s">
        <v>289</v>
      </c>
      <c r="CJJ2" t="s">
        <v>289</v>
      </c>
      <c r="CJK2" t="s">
        <v>289</v>
      </c>
      <c r="CJL2" t="s">
        <v>289</v>
      </c>
      <c r="CJM2" t="s">
        <v>289</v>
      </c>
      <c r="CJN2" t="s">
        <v>289</v>
      </c>
      <c r="CJO2" t="s">
        <v>289</v>
      </c>
      <c r="CJP2" t="s">
        <v>289</v>
      </c>
      <c r="CJQ2" t="s">
        <v>289</v>
      </c>
      <c r="CJR2" t="s">
        <v>289</v>
      </c>
      <c r="CJS2" t="s">
        <v>289</v>
      </c>
      <c r="CJT2" t="s">
        <v>289</v>
      </c>
      <c r="CJU2" t="s">
        <v>289</v>
      </c>
      <c r="CJV2" t="s">
        <v>289</v>
      </c>
      <c r="CJW2" t="s">
        <v>289</v>
      </c>
      <c r="CJX2" t="s">
        <v>289</v>
      </c>
      <c r="CJY2" t="s">
        <v>289</v>
      </c>
      <c r="CJZ2" t="s">
        <v>289</v>
      </c>
      <c r="CKA2" t="s">
        <v>289</v>
      </c>
      <c r="CKB2" t="s">
        <v>289</v>
      </c>
      <c r="CKC2" t="s">
        <v>289</v>
      </c>
      <c r="CKD2" t="s">
        <v>289</v>
      </c>
      <c r="CKE2" t="s">
        <v>289</v>
      </c>
      <c r="CKF2" t="s">
        <v>289</v>
      </c>
      <c r="CKG2" t="s">
        <v>289</v>
      </c>
      <c r="CKH2" t="s">
        <v>289</v>
      </c>
      <c r="CKI2" t="s">
        <v>289</v>
      </c>
      <c r="CKJ2" t="s">
        <v>289</v>
      </c>
      <c r="CKK2" t="s">
        <v>289</v>
      </c>
      <c r="CKL2" t="s">
        <v>289</v>
      </c>
      <c r="CKM2" t="s">
        <v>289</v>
      </c>
      <c r="CKN2" t="s">
        <v>289</v>
      </c>
      <c r="CKO2" t="s">
        <v>289</v>
      </c>
      <c r="CKP2" t="s">
        <v>289</v>
      </c>
      <c r="CKQ2" t="s">
        <v>289</v>
      </c>
      <c r="CKR2" t="s">
        <v>289</v>
      </c>
      <c r="CKS2" t="s">
        <v>289</v>
      </c>
      <c r="CKT2" t="s">
        <v>289</v>
      </c>
      <c r="CKU2" t="s">
        <v>289</v>
      </c>
      <c r="CKV2" t="s">
        <v>289</v>
      </c>
      <c r="CKW2" t="s">
        <v>289</v>
      </c>
      <c r="CKX2" t="s">
        <v>289</v>
      </c>
      <c r="CKY2" t="s">
        <v>289</v>
      </c>
      <c r="CKZ2" t="s">
        <v>289</v>
      </c>
      <c r="CLA2" t="s">
        <v>289</v>
      </c>
      <c r="CLB2" t="s">
        <v>289</v>
      </c>
      <c r="CLC2" t="s">
        <v>289</v>
      </c>
      <c r="CLD2" t="s">
        <v>289</v>
      </c>
      <c r="CLE2" t="s">
        <v>289</v>
      </c>
      <c r="CLF2" t="s">
        <v>289</v>
      </c>
      <c r="CLG2" t="s">
        <v>289</v>
      </c>
      <c r="CLH2" t="s">
        <v>289</v>
      </c>
      <c r="CLI2" t="s">
        <v>289</v>
      </c>
      <c r="CLJ2" t="s">
        <v>289</v>
      </c>
      <c r="CLK2" t="s">
        <v>289</v>
      </c>
      <c r="CLL2" t="s">
        <v>289</v>
      </c>
      <c r="CLM2" t="s">
        <v>289</v>
      </c>
      <c r="CLN2" t="s">
        <v>289</v>
      </c>
      <c r="CLO2" t="s">
        <v>289</v>
      </c>
      <c r="CLP2" t="s">
        <v>289</v>
      </c>
      <c r="CLQ2" t="s">
        <v>289</v>
      </c>
      <c r="CLR2" t="s">
        <v>289</v>
      </c>
      <c r="CLS2" t="s">
        <v>289</v>
      </c>
      <c r="CLT2">
        <v>4936</v>
      </c>
      <c r="CLU2">
        <v>4360</v>
      </c>
      <c r="CLV2">
        <v>4590</v>
      </c>
      <c r="CLW2">
        <v>3924</v>
      </c>
      <c r="CLX2">
        <v>4400</v>
      </c>
      <c r="CLY2">
        <v>5625</v>
      </c>
      <c r="CLZ2" t="s">
        <v>289</v>
      </c>
      <c r="CMA2" t="s">
        <v>289</v>
      </c>
      <c r="CMB2" t="s">
        <v>289</v>
      </c>
      <c r="CMC2" t="s">
        <v>289</v>
      </c>
      <c r="CMD2" t="s">
        <v>289</v>
      </c>
      <c r="CME2" t="s">
        <v>289</v>
      </c>
      <c r="CMF2" t="s">
        <v>289</v>
      </c>
      <c r="CMG2" t="s">
        <v>289</v>
      </c>
      <c r="CMH2" t="s">
        <v>289</v>
      </c>
      <c r="CMI2" t="s">
        <v>289</v>
      </c>
      <c r="CMJ2" t="s">
        <v>289</v>
      </c>
      <c r="CMK2" t="s">
        <v>289</v>
      </c>
      <c r="CML2" t="s">
        <v>289</v>
      </c>
      <c r="CMM2" t="s">
        <v>289</v>
      </c>
      <c r="CMN2" t="s">
        <v>289</v>
      </c>
      <c r="CMO2" t="s">
        <v>289</v>
      </c>
      <c r="CMP2" t="s">
        <v>289</v>
      </c>
      <c r="CMQ2" t="s">
        <v>289</v>
      </c>
      <c r="CMR2" t="s">
        <v>289</v>
      </c>
      <c r="CMS2" t="s">
        <v>289</v>
      </c>
      <c r="CMT2" t="s">
        <v>289</v>
      </c>
      <c r="CMU2" t="s">
        <v>289</v>
      </c>
      <c r="CMV2" t="s">
        <v>289</v>
      </c>
      <c r="CMW2" t="s">
        <v>289</v>
      </c>
      <c r="CMX2" t="s">
        <v>289</v>
      </c>
      <c r="CMY2" t="s">
        <v>289</v>
      </c>
      <c r="CMZ2" t="s">
        <v>289</v>
      </c>
      <c r="CNA2" t="s">
        <v>289</v>
      </c>
      <c r="CNB2" t="s">
        <v>289</v>
      </c>
      <c r="CNC2" t="s">
        <v>289</v>
      </c>
      <c r="CND2" t="s">
        <v>289</v>
      </c>
      <c r="CNE2">
        <v>63184</v>
      </c>
      <c r="CNF2">
        <v>68402</v>
      </c>
      <c r="CNG2">
        <v>73249</v>
      </c>
      <c r="CNH2">
        <v>78692</v>
      </c>
      <c r="CNI2" t="s">
        <v>289</v>
      </c>
      <c r="CNJ2" t="s">
        <v>289</v>
      </c>
      <c r="CNK2" t="s">
        <v>289</v>
      </c>
      <c r="CNL2" t="s">
        <v>289</v>
      </c>
      <c r="CNM2">
        <v>9515</v>
      </c>
      <c r="CNN2">
        <v>7759</v>
      </c>
      <c r="CNO2">
        <v>11942</v>
      </c>
      <c r="CNP2">
        <v>12899</v>
      </c>
      <c r="CNQ2">
        <v>7744</v>
      </c>
      <c r="CNR2">
        <v>12741</v>
      </c>
      <c r="CNS2">
        <v>11455</v>
      </c>
      <c r="CNT2">
        <v>8500</v>
      </c>
      <c r="CNU2">
        <v>7208</v>
      </c>
      <c r="CNV2">
        <v>12595</v>
      </c>
      <c r="CNW2">
        <v>10784</v>
      </c>
      <c r="CNX2">
        <v>13679</v>
      </c>
      <c r="CNY2">
        <v>9430</v>
      </c>
      <c r="CNZ2">
        <v>-1186</v>
      </c>
      <c r="COA2">
        <v>7271</v>
      </c>
      <c r="COB2">
        <v>17983</v>
      </c>
      <c r="COC2">
        <v>24902</v>
      </c>
      <c r="COD2">
        <v>38632</v>
      </c>
      <c r="COE2" t="s">
        <v>289</v>
      </c>
      <c r="COF2">
        <v>4410.2344000000003</v>
      </c>
      <c r="COG2">
        <v>3858.7446</v>
      </c>
      <c r="COH2" t="s">
        <v>289</v>
      </c>
      <c r="COI2">
        <v>8916.8156999999992</v>
      </c>
      <c r="COJ2">
        <v>1576.1186</v>
      </c>
      <c r="COK2">
        <v>7608.7452000000003</v>
      </c>
      <c r="COL2">
        <v>6622.6731</v>
      </c>
      <c r="COM2">
        <v>1369.7156</v>
      </c>
      <c r="CON2">
        <v>-2083.9360000000001</v>
      </c>
      <c r="COO2">
        <v>2323.3235</v>
      </c>
      <c r="COP2">
        <v>-154.41749999999999</v>
      </c>
      <c r="COQ2" t="s">
        <v>289</v>
      </c>
      <c r="COR2">
        <v>-2740.9151999999999</v>
      </c>
      <c r="COS2">
        <v>-12295.5023</v>
      </c>
      <c r="COT2">
        <v>-5256.1403</v>
      </c>
      <c r="COU2">
        <v>6034.3557000000001</v>
      </c>
      <c r="COV2">
        <v>15014.5805</v>
      </c>
      <c r="COW2">
        <v>21401.141199999998</v>
      </c>
      <c r="COX2" t="s">
        <v>289</v>
      </c>
      <c r="COY2">
        <v>-341</v>
      </c>
      <c r="COZ2">
        <v>-961</v>
      </c>
      <c r="CPA2">
        <v>-472</v>
      </c>
      <c r="CPB2">
        <v>275</v>
      </c>
      <c r="CPC2">
        <v>-1841</v>
      </c>
      <c r="CPD2">
        <v>-1241</v>
      </c>
      <c r="CPE2">
        <v>-1944</v>
      </c>
      <c r="CPF2">
        <v>-7033</v>
      </c>
      <c r="CPG2">
        <v>-19972</v>
      </c>
      <c r="CPH2">
        <v>-4124</v>
      </c>
      <c r="CPI2">
        <v>-9301</v>
      </c>
      <c r="CPJ2">
        <v>5205</v>
      </c>
      <c r="CPK2">
        <v>-6498</v>
      </c>
      <c r="CPL2">
        <v>-22222</v>
      </c>
      <c r="CPM2">
        <v>-11847</v>
      </c>
      <c r="CPN2">
        <v>1315</v>
      </c>
      <c r="CPO2">
        <v>-449</v>
      </c>
      <c r="CPP2">
        <v>32</v>
      </c>
      <c r="CPQ2" t="s">
        <v>289</v>
      </c>
      <c r="CPR2" t="s">
        <v>289</v>
      </c>
      <c r="CPS2" t="s">
        <v>289</v>
      </c>
      <c r="CPT2" t="s">
        <v>289</v>
      </c>
      <c r="CPU2" t="s">
        <v>289</v>
      </c>
      <c r="CPV2" t="s">
        <v>289</v>
      </c>
      <c r="CPW2" t="s">
        <v>289</v>
      </c>
      <c r="CPX2" t="s">
        <v>289</v>
      </c>
      <c r="CPY2" t="s">
        <v>289</v>
      </c>
      <c r="CPZ2" t="s">
        <v>289</v>
      </c>
      <c r="CQA2" t="s">
        <v>289</v>
      </c>
      <c r="CQB2" t="s">
        <v>289</v>
      </c>
      <c r="CQC2" t="s">
        <v>289</v>
      </c>
      <c r="CQD2" t="s">
        <v>289</v>
      </c>
      <c r="CQE2" t="s">
        <v>289</v>
      </c>
      <c r="CQF2" t="s">
        <v>289</v>
      </c>
      <c r="CQG2" t="s">
        <v>289</v>
      </c>
      <c r="CQH2" t="s">
        <v>289</v>
      </c>
      <c r="CQI2" t="s">
        <v>289</v>
      </c>
      <c r="CQJ2" t="s">
        <v>289</v>
      </c>
      <c r="CQK2" t="s">
        <v>289</v>
      </c>
      <c r="CQL2" t="s">
        <v>289</v>
      </c>
      <c r="CQM2" t="s">
        <v>289</v>
      </c>
      <c r="CQN2" t="s">
        <v>289</v>
      </c>
      <c r="CQO2" t="s">
        <v>289</v>
      </c>
      <c r="CQP2" t="s">
        <v>289</v>
      </c>
      <c r="CQQ2" t="s">
        <v>289</v>
      </c>
      <c r="CQR2" t="s">
        <v>289</v>
      </c>
      <c r="CQS2" t="s">
        <v>289</v>
      </c>
      <c r="CQT2" t="s">
        <v>289</v>
      </c>
      <c r="CQU2" t="s">
        <v>289</v>
      </c>
      <c r="CQV2" t="s">
        <v>289</v>
      </c>
      <c r="CQW2" t="s">
        <v>289</v>
      </c>
      <c r="CQX2" t="s">
        <v>289</v>
      </c>
      <c r="CQY2" t="s">
        <v>289</v>
      </c>
      <c r="CQZ2">
        <v>-1980</v>
      </c>
      <c r="CRA2">
        <v>-9184</v>
      </c>
      <c r="CRB2">
        <v>-9332</v>
      </c>
      <c r="CRC2" t="s">
        <v>289</v>
      </c>
      <c r="CRD2" t="s">
        <v>289</v>
      </c>
      <c r="CRE2" t="s">
        <v>289</v>
      </c>
      <c r="CRF2" t="s">
        <v>289</v>
      </c>
      <c r="CRG2" t="s">
        <v>289</v>
      </c>
      <c r="CRH2" t="s">
        <v>289</v>
      </c>
      <c r="CRI2" t="s">
        <v>289</v>
      </c>
      <c r="CRJ2" t="s">
        <v>289</v>
      </c>
      <c r="CRK2" t="s">
        <v>289</v>
      </c>
      <c r="CRL2" t="s">
        <v>289</v>
      </c>
      <c r="CRM2" t="s">
        <v>289</v>
      </c>
      <c r="CRN2" t="s">
        <v>289</v>
      </c>
      <c r="CRO2" t="s">
        <v>289</v>
      </c>
      <c r="CRP2" t="s">
        <v>289</v>
      </c>
      <c r="CRQ2" t="s">
        <v>289</v>
      </c>
      <c r="CRR2" t="s">
        <v>289</v>
      </c>
      <c r="CRS2" t="s">
        <v>289</v>
      </c>
      <c r="CRT2" t="s">
        <v>289</v>
      </c>
      <c r="CRU2" t="s">
        <v>289</v>
      </c>
      <c r="CRV2" t="s">
        <v>289</v>
      </c>
      <c r="CRW2" t="s">
        <v>289</v>
      </c>
      <c r="CRX2" t="s">
        <v>289</v>
      </c>
      <c r="CRY2" t="s">
        <v>289</v>
      </c>
      <c r="CRZ2" t="s">
        <v>289</v>
      </c>
      <c r="CSA2" t="s">
        <v>289</v>
      </c>
      <c r="CSB2" t="s">
        <v>289</v>
      </c>
      <c r="CSC2" t="s">
        <v>289</v>
      </c>
      <c r="CSD2" t="s">
        <v>289</v>
      </c>
      <c r="CSE2" t="s">
        <v>289</v>
      </c>
      <c r="CSF2" t="s">
        <v>289</v>
      </c>
      <c r="CSG2" t="s">
        <v>289</v>
      </c>
      <c r="CSH2" t="s">
        <v>289</v>
      </c>
      <c r="CSI2" t="s">
        <v>289</v>
      </c>
      <c r="CSJ2" t="s">
        <v>289</v>
      </c>
      <c r="CSK2" t="s">
        <v>289</v>
      </c>
      <c r="CSL2" t="s">
        <v>289</v>
      </c>
      <c r="CSM2" t="s">
        <v>289</v>
      </c>
      <c r="CSN2" t="s">
        <v>289</v>
      </c>
      <c r="CSO2" t="s">
        <v>289</v>
      </c>
      <c r="CSP2" t="s">
        <v>289</v>
      </c>
      <c r="CSQ2" t="s">
        <v>289</v>
      </c>
      <c r="CSR2" t="s">
        <v>289</v>
      </c>
      <c r="CSS2" t="s">
        <v>289</v>
      </c>
      <c r="CST2" t="s">
        <v>289</v>
      </c>
      <c r="CSU2" t="s">
        <v>289</v>
      </c>
      <c r="CSV2" t="s">
        <v>289</v>
      </c>
      <c r="CSW2" t="s">
        <v>289</v>
      </c>
      <c r="CSX2" t="s">
        <v>289</v>
      </c>
      <c r="CSY2" t="s">
        <v>289</v>
      </c>
      <c r="CSZ2" t="s">
        <v>289</v>
      </c>
      <c r="CTA2" t="s">
        <v>289</v>
      </c>
      <c r="CTB2" t="s">
        <v>289</v>
      </c>
      <c r="CTC2" t="s">
        <v>289</v>
      </c>
      <c r="CTD2" t="s">
        <v>289</v>
      </c>
      <c r="CTE2" t="s">
        <v>289</v>
      </c>
      <c r="CTF2" t="s">
        <v>289</v>
      </c>
      <c r="CTG2" t="s">
        <v>289</v>
      </c>
      <c r="CTH2" t="s">
        <v>289</v>
      </c>
      <c r="CTI2" t="s">
        <v>289</v>
      </c>
      <c r="CTJ2" t="s">
        <v>289</v>
      </c>
      <c r="CTK2" t="s">
        <v>289</v>
      </c>
      <c r="CTL2" t="s">
        <v>289</v>
      </c>
      <c r="CTM2" t="s">
        <v>289</v>
      </c>
      <c r="CTN2" t="s">
        <v>289</v>
      </c>
      <c r="CTO2" t="s">
        <v>289</v>
      </c>
      <c r="CTP2" t="s">
        <v>289</v>
      </c>
      <c r="CTQ2" t="s">
        <v>289</v>
      </c>
      <c r="CTR2" t="s">
        <v>289</v>
      </c>
      <c r="CTS2" t="s">
        <v>289</v>
      </c>
      <c r="CTT2" t="s">
        <v>289</v>
      </c>
      <c r="CTU2" t="s">
        <v>289</v>
      </c>
      <c r="CTV2" t="s">
        <v>289</v>
      </c>
      <c r="CTW2" t="s">
        <v>289</v>
      </c>
      <c r="CTX2" t="s">
        <v>289</v>
      </c>
      <c r="CTY2" t="s">
        <v>289</v>
      </c>
      <c r="CTZ2" t="s">
        <v>289</v>
      </c>
      <c r="CUA2" t="s">
        <v>289</v>
      </c>
      <c r="CUB2">
        <v>-21</v>
      </c>
      <c r="CUC2">
        <v>-354</v>
      </c>
      <c r="CUD2">
        <v>-888</v>
      </c>
      <c r="CUE2">
        <v>-1172</v>
      </c>
      <c r="CUF2">
        <v>-2075</v>
      </c>
      <c r="CUG2">
        <v>-529</v>
      </c>
      <c r="CUH2">
        <v>-1554</v>
      </c>
      <c r="CUI2">
        <v>-3269</v>
      </c>
      <c r="CUJ2">
        <v>-5056</v>
      </c>
      <c r="CUK2">
        <v>-3107</v>
      </c>
      <c r="CUL2">
        <v>-4040</v>
      </c>
      <c r="CUM2">
        <v>-3238</v>
      </c>
      <c r="CUN2">
        <v>-3315</v>
      </c>
      <c r="CUO2">
        <v>-3664</v>
      </c>
      <c r="CUP2">
        <v>-3804</v>
      </c>
      <c r="CUQ2">
        <v>-2914</v>
      </c>
      <c r="CUR2">
        <v>-2646</v>
      </c>
      <c r="CUS2">
        <v>-4216</v>
      </c>
      <c r="CUT2" t="s">
        <v>289</v>
      </c>
      <c r="CUU2">
        <v>18541.25</v>
      </c>
      <c r="CUV2">
        <v>37704.364000000001</v>
      </c>
      <c r="CUW2">
        <v>-22787.832999999999</v>
      </c>
      <c r="CUX2">
        <v>18134.417000000001</v>
      </c>
      <c r="CUY2">
        <v>250082.14300000001</v>
      </c>
      <c r="CUZ2">
        <v>-20607.214</v>
      </c>
      <c r="CVA2">
        <v>9924.857</v>
      </c>
      <c r="CVB2">
        <v>31383.842000000001</v>
      </c>
      <c r="CVC2">
        <v>-20301</v>
      </c>
      <c r="CVD2">
        <v>9924.857</v>
      </c>
      <c r="CVE2">
        <v>221235.09099999999</v>
      </c>
      <c r="CVF2">
        <v>-16145.6</v>
      </c>
      <c r="CVG2">
        <v>18498.857</v>
      </c>
      <c r="CVH2">
        <v>45666.142999999996</v>
      </c>
      <c r="CVI2">
        <v>-19339.909</v>
      </c>
      <c r="CVJ2">
        <v>18498.857</v>
      </c>
      <c r="CVK2">
        <v>247553.391</v>
      </c>
      <c r="CVL2">
        <v>-16201.5</v>
      </c>
      <c r="CVM2">
        <v>22090.618999999999</v>
      </c>
      <c r="CVN2">
        <v>44369.610999999997</v>
      </c>
      <c r="CVO2">
        <v>-25245.143</v>
      </c>
      <c r="CVP2">
        <v>22090.618999999999</v>
      </c>
      <c r="CVQ2">
        <v>278170.7</v>
      </c>
      <c r="CVR2">
        <v>-19611.544999999998</v>
      </c>
      <c r="CVS2">
        <v>22221</v>
      </c>
      <c r="CVT2">
        <v>45314.167000000001</v>
      </c>
      <c r="CVU2">
        <v>-27233.388999999999</v>
      </c>
      <c r="CVV2">
        <v>22221</v>
      </c>
      <c r="CVW2">
        <v>290361.09999999998</v>
      </c>
      <c r="CVX2">
        <v>-20830</v>
      </c>
      <c r="CVY2">
        <v>23652.562999999998</v>
      </c>
      <c r="CVZ2">
        <v>45844.582999999999</v>
      </c>
      <c r="CWA2">
        <v>-30756.726999999999</v>
      </c>
      <c r="CWB2">
        <v>23652.562999999998</v>
      </c>
      <c r="CWC2">
        <v>298282.533</v>
      </c>
      <c r="CWD2">
        <v>-22177.332999999999</v>
      </c>
      <c r="CWE2">
        <v>25526.2</v>
      </c>
      <c r="CWF2">
        <v>49667</v>
      </c>
      <c r="CWG2">
        <v>-33433.5</v>
      </c>
      <c r="CWH2">
        <v>25526.2</v>
      </c>
      <c r="CWI2">
        <v>314244.33299999998</v>
      </c>
      <c r="CWJ2">
        <v>-23946.332999999999</v>
      </c>
      <c r="CWK2">
        <v>11457</v>
      </c>
      <c r="CWL2">
        <v>10709</v>
      </c>
      <c r="CWM2">
        <v>14470</v>
      </c>
      <c r="CWN2">
        <v>15662</v>
      </c>
      <c r="CWO2">
        <v>10799</v>
      </c>
      <c r="CWP2">
        <v>12741</v>
      </c>
      <c r="CWQ2">
        <v>11455</v>
      </c>
      <c r="CWR2">
        <v>8500</v>
      </c>
      <c r="CWS2">
        <v>7209</v>
      </c>
      <c r="CWT2">
        <v>12595</v>
      </c>
      <c r="CWU2">
        <v>10784</v>
      </c>
      <c r="CWV2">
        <v>13679</v>
      </c>
      <c r="CWW2">
        <v>9430</v>
      </c>
      <c r="CWX2">
        <v>-1185</v>
      </c>
      <c r="CWY2">
        <v>7272</v>
      </c>
      <c r="CWZ2">
        <v>17983</v>
      </c>
      <c r="CXA2">
        <v>24901</v>
      </c>
      <c r="CXB2">
        <v>38633</v>
      </c>
      <c r="CXC2" t="s">
        <v>289</v>
      </c>
      <c r="CXD2" t="s">
        <v>289</v>
      </c>
      <c r="CXE2" t="s">
        <v>289</v>
      </c>
      <c r="CXF2" t="s">
        <v>289</v>
      </c>
      <c r="CXG2" t="s">
        <v>289</v>
      </c>
      <c r="CXH2" t="s">
        <v>289</v>
      </c>
      <c r="CXI2" t="s">
        <v>289</v>
      </c>
      <c r="CXJ2" t="s">
        <v>289</v>
      </c>
      <c r="CXK2" t="s">
        <v>289</v>
      </c>
      <c r="CXL2" t="s">
        <v>289</v>
      </c>
      <c r="CXM2" t="s">
        <v>289</v>
      </c>
      <c r="CXN2" t="s">
        <v>289</v>
      </c>
      <c r="CXO2" t="s">
        <v>289</v>
      </c>
      <c r="CXP2" t="s">
        <v>289</v>
      </c>
      <c r="CXQ2" t="s">
        <v>289</v>
      </c>
      <c r="CXR2" t="s">
        <v>289</v>
      </c>
      <c r="CXS2" t="s">
        <v>289</v>
      </c>
      <c r="CXT2" t="s">
        <v>289</v>
      </c>
      <c r="CXU2" t="s">
        <v>289</v>
      </c>
      <c r="CXV2" t="s">
        <v>289</v>
      </c>
      <c r="CXW2" t="s">
        <v>289</v>
      </c>
      <c r="CXX2" t="s">
        <v>289</v>
      </c>
      <c r="CXY2" t="s">
        <v>289</v>
      </c>
      <c r="CXZ2" t="s">
        <v>289</v>
      </c>
      <c r="CYA2" t="s">
        <v>289</v>
      </c>
      <c r="CYB2" t="s">
        <v>289</v>
      </c>
      <c r="CYC2" t="s">
        <v>289</v>
      </c>
      <c r="CYD2" t="s">
        <v>289</v>
      </c>
      <c r="CYE2" t="s">
        <v>289</v>
      </c>
      <c r="CYF2" t="s">
        <v>289</v>
      </c>
      <c r="CYG2" t="s">
        <v>289</v>
      </c>
      <c r="CYH2" t="s">
        <v>289</v>
      </c>
      <c r="CYI2" t="s">
        <v>289</v>
      </c>
      <c r="CYJ2" t="s">
        <v>289</v>
      </c>
      <c r="CYK2" t="s">
        <v>289</v>
      </c>
      <c r="CYL2" t="s">
        <v>289</v>
      </c>
      <c r="CYM2" t="s">
        <v>289</v>
      </c>
      <c r="CYN2" t="s">
        <v>289</v>
      </c>
      <c r="CYO2" t="s">
        <v>289</v>
      </c>
      <c r="CYP2">
        <v>178</v>
      </c>
      <c r="CYQ2">
        <v>-720</v>
      </c>
      <c r="CYR2">
        <v>-147</v>
      </c>
      <c r="CYS2">
        <v>-1856</v>
      </c>
      <c r="CYT2">
        <v>-3056</v>
      </c>
      <c r="CYU2">
        <v>4155</v>
      </c>
      <c r="CYV2">
        <v>-2507</v>
      </c>
      <c r="CYW2">
        <v>-4234</v>
      </c>
      <c r="CYX2">
        <v>460</v>
      </c>
      <c r="CYY2">
        <v>-1021</v>
      </c>
      <c r="CYZ2">
        <v>-2214</v>
      </c>
      <c r="CZA2">
        <v>-3149</v>
      </c>
      <c r="CZB2">
        <v>-3637</v>
      </c>
      <c r="CZC2">
        <v>-4198</v>
      </c>
      <c r="CZD2">
        <v>-5372</v>
      </c>
      <c r="CZE2">
        <v>-674</v>
      </c>
      <c r="CZF2">
        <v>1334</v>
      </c>
      <c r="CZG2">
        <v>2110</v>
      </c>
      <c r="CZH2" t="s">
        <v>289</v>
      </c>
      <c r="CZI2">
        <v>-4</v>
      </c>
      <c r="CZJ2">
        <v>-757</v>
      </c>
      <c r="CZK2">
        <v>736</v>
      </c>
      <c r="CZL2">
        <v>-942</v>
      </c>
      <c r="CZM2" t="s">
        <v>289</v>
      </c>
      <c r="CZN2">
        <v>-254</v>
      </c>
      <c r="CZO2">
        <v>-3102</v>
      </c>
      <c r="CZP2">
        <v>-6811</v>
      </c>
      <c r="CZQ2">
        <v>-7814</v>
      </c>
      <c r="CZR2">
        <v>-6688</v>
      </c>
      <c r="CZS2">
        <v>-8808</v>
      </c>
      <c r="CZT2">
        <v>-7663</v>
      </c>
      <c r="CZU2">
        <v>-9490</v>
      </c>
      <c r="CZV2">
        <v>-11891</v>
      </c>
      <c r="CZW2">
        <v>-7282</v>
      </c>
      <c r="CZX2">
        <v>-13204</v>
      </c>
      <c r="CZY2">
        <v>-12914</v>
      </c>
      <c r="CZZ2">
        <v>-16205</v>
      </c>
      <c r="DAA2" t="s">
        <v>289</v>
      </c>
      <c r="DAB2" t="s">
        <v>289</v>
      </c>
      <c r="DAC2" t="s">
        <v>289</v>
      </c>
      <c r="DAD2" t="s">
        <v>289</v>
      </c>
      <c r="DAE2" t="s">
        <v>289</v>
      </c>
      <c r="DAF2" t="s">
        <v>289</v>
      </c>
      <c r="DAG2" t="s">
        <v>289</v>
      </c>
      <c r="DAH2" t="s">
        <v>289</v>
      </c>
      <c r="DAI2" t="s">
        <v>289</v>
      </c>
      <c r="DAJ2" t="s">
        <v>289</v>
      </c>
      <c r="DAK2" t="s">
        <v>289</v>
      </c>
      <c r="DAL2" t="s">
        <v>289</v>
      </c>
      <c r="DAM2" t="s">
        <v>289</v>
      </c>
      <c r="DAN2" t="s">
        <v>289</v>
      </c>
      <c r="DAO2" t="s">
        <v>289</v>
      </c>
      <c r="DAP2" t="s">
        <v>289</v>
      </c>
      <c r="DAQ2" t="s">
        <v>289</v>
      </c>
      <c r="DAR2" t="s">
        <v>289</v>
      </c>
      <c r="DAS2" t="s">
        <v>289</v>
      </c>
      <c r="DAT2" t="s">
        <v>289</v>
      </c>
      <c r="DAU2" t="s">
        <v>289</v>
      </c>
      <c r="DAV2" t="s">
        <v>289</v>
      </c>
      <c r="DAW2" t="s">
        <v>289</v>
      </c>
      <c r="DAX2" t="s">
        <v>289</v>
      </c>
      <c r="DAY2" t="s">
        <v>289</v>
      </c>
      <c r="DAZ2" t="s">
        <v>289</v>
      </c>
      <c r="DBA2" t="s">
        <v>289</v>
      </c>
      <c r="DBB2" t="s">
        <v>289</v>
      </c>
      <c r="DBC2" t="s">
        <v>289</v>
      </c>
      <c r="DBD2" t="s">
        <v>289</v>
      </c>
      <c r="DBE2" t="s">
        <v>289</v>
      </c>
      <c r="DBF2" t="s">
        <v>289</v>
      </c>
      <c r="DBG2" t="s">
        <v>289</v>
      </c>
      <c r="DBH2" t="s">
        <v>289</v>
      </c>
      <c r="DBI2" t="s">
        <v>289</v>
      </c>
      <c r="DBJ2" t="s">
        <v>289</v>
      </c>
      <c r="DBK2" t="s">
        <v>289</v>
      </c>
      <c r="DBL2" t="s">
        <v>289</v>
      </c>
      <c r="DBM2" t="s">
        <v>289</v>
      </c>
      <c r="DBN2" t="s">
        <v>289</v>
      </c>
      <c r="DBO2" t="s">
        <v>289</v>
      </c>
      <c r="DBP2" t="s">
        <v>289</v>
      </c>
      <c r="DBQ2" t="s">
        <v>289</v>
      </c>
      <c r="DBR2">
        <v>-1333</v>
      </c>
      <c r="DBS2" t="s">
        <v>289</v>
      </c>
      <c r="DBT2">
        <v>-1980</v>
      </c>
      <c r="DBU2">
        <v>-2241</v>
      </c>
      <c r="DBV2">
        <v>-56</v>
      </c>
      <c r="DBW2">
        <v>-1651</v>
      </c>
      <c r="DBX2">
        <v>-1433</v>
      </c>
      <c r="DBY2">
        <v>-1807</v>
      </c>
      <c r="DBZ2">
        <v>-2155</v>
      </c>
      <c r="DCA2">
        <v>-1660</v>
      </c>
      <c r="DCB2">
        <v>-6400</v>
      </c>
      <c r="DCC2">
        <v>-893</v>
      </c>
      <c r="DCD2">
        <v>712</v>
      </c>
      <c r="DCE2">
        <v>1888</v>
      </c>
      <c r="DCF2" t="s">
        <v>289</v>
      </c>
      <c r="DCG2">
        <v>687</v>
      </c>
      <c r="DCH2">
        <v>429</v>
      </c>
      <c r="DCI2">
        <v>700</v>
      </c>
      <c r="DCJ2">
        <v>2244</v>
      </c>
      <c r="DCK2">
        <v>815</v>
      </c>
      <c r="DCL2">
        <v>260</v>
      </c>
      <c r="DCM2">
        <v>4064</v>
      </c>
      <c r="DCN2">
        <v>3077</v>
      </c>
      <c r="DCO2">
        <v>-236</v>
      </c>
      <c r="DCP2">
        <v>2363</v>
      </c>
      <c r="DCQ2">
        <v>4764</v>
      </c>
      <c r="DCR2">
        <v>2807</v>
      </c>
      <c r="DCS2">
        <v>5048</v>
      </c>
      <c r="DCT2">
        <v>5302</v>
      </c>
      <c r="DCU2">
        <v>3645</v>
      </c>
      <c r="DCV2">
        <v>2297</v>
      </c>
      <c r="DCW2">
        <v>540</v>
      </c>
      <c r="DCX2">
        <v>1856</v>
      </c>
      <c r="DCY2" t="s">
        <v>289</v>
      </c>
      <c r="DCZ2" t="s">
        <v>289</v>
      </c>
      <c r="DDA2" t="s">
        <v>289</v>
      </c>
      <c r="DDB2" t="s">
        <v>289</v>
      </c>
      <c r="DDC2" t="s">
        <v>289</v>
      </c>
      <c r="DDD2" t="s">
        <v>289</v>
      </c>
      <c r="DDE2" t="s">
        <v>289</v>
      </c>
      <c r="DDF2" t="s">
        <v>289</v>
      </c>
      <c r="DDG2" t="s">
        <v>289</v>
      </c>
      <c r="DDH2" t="s">
        <v>289</v>
      </c>
      <c r="DDI2" t="s">
        <v>289</v>
      </c>
      <c r="DDJ2" t="s">
        <v>289</v>
      </c>
      <c r="DDK2" t="s">
        <v>289</v>
      </c>
      <c r="DDL2" t="s">
        <v>289</v>
      </c>
      <c r="DDM2" t="s">
        <v>289</v>
      </c>
      <c r="DDN2" t="s">
        <v>289</v>
      </c>
      <c r="DDO2" t="s">
        <v>289</v>
      </c>
      <c r="DDP2" t="s">
        <v>289</v>
      </c>
      <c r="DDQ2" t="s">
        <v>289</v>
      </c>
      <c r="DDR2" t="s">
        <v>289</v>
      </c>
      <c r="DDS2" t="s">
        <v>289</v>
      </c>
      <c r="DDT2" t="s">
        <v>289</v>
      </c>
      <c r="DDU2" t="s">
        <v>289</v>
      </c>
      <c r="DDV2" t="s">
        <v>289</v>
      </c>
      <c r="DDW2" t="s">
        <v>289</v>
      </c>
      <c r="DDX2" t="s">
        <v>289</v>
      </c>
      <c r="DDY2" t="s">
        <v>289</v>
      </c>
      <c r="DDZ2" t="s">
        <v>289</v>
      </c>
      <c r="DEA2" t="s">
        <v>289</v>
      </c>
      <c r="DEB2" t="s">
        <v>289</v>
      </c>
      <c r="DEC2" t="s">
        <v>289</v>
      </c>
      <c r="DED2" t="s">
        <v>289</v>
      </c>
      <c r="DEE2" t="s">
        <v>289</v>
      </c>
      <c r="DEF2" t="s">
        <v>289</v>
      </c>
      <c r="DEG2" t="s">
        <v>289</v>
      </c>
      <c r="DEH2" t="s">
        <v>289</v>
      </c>
      <c r="DEI2" t="s">
        <v>289</v>
      </c>
      <c r="DEJ2" t="s">
        <v>289</v>
      </c>
      <c r="DEK2" t="s">
        <v>289</v>
      </c>
      <c r="DEL2" t="s">
        <v>289</v>
      </c>
      <c r="DEM2" t="s">
        <v>289</v>
      </c>
      <c r="DEN2" t="s">
        <v>289</v>
      </c>
      <c r="DEO2" t="s">
        <v>289</v>
      </c>
      <c r="DEP2" t="s">
        <v>289</v>
      </c>
      <c r="DEQ2" t="s">
        <v>289</v>
      </c>
      <c r="DER2" t="s">
        <v>289</v>
      </c>
      <c r="DES2" t="s">
        <v>289</v>
      </c>
      <c r="DET2" t="s">
        <v>289</v>
      </c>
      <c r="DEU2" t="s">
        <v>289</v>
      </c>
      <c r="DEV2" t="s">
        <v>289</v>
      </c>
      <c r="DEW2" t="s">
        <v>289</v>
      </c>
      <c r="DEX2" t="s">
        <v>289</v>
      </c>
      <c r="DEY2" t="s">
        <v>289</v>
      </c>
      <c r="DEZ2" t="s">
        <v>289</v>
      </c>
      <c r="DFA2" t="s">
        <v>289</v>
      </c>
      <c r="DFB2" t="s">
        <v>289</v>
      </c>
      <c r="DFC2" t="s">
        <v>289</v>
      </c>
      <c r="DFD2" t="s">
        <v>289</v>
      </c>
      <c r="DFE2" t="s">
        <v>289</v>
      </c>
      <c r="DFF2" t="s">
        <v>289</v>
      </c>
      <c r="DFG2" t="s">
        <v>289</v>
      </c>
      <c r="DFH2" t="s">
        <v>289</v>
      </c>
      <c r="DFI2" t="s">
        <v>289</v>
      </c>
      <c r="DFJ2" t="s">
        <v>289</v>
      </c>
      <c r="DFK2" t="s">
        <v>289</v>
      </c>
      <c r="DFL2" t="s">
        <v>289</v>
      </c>
      <c r="DFM2" t="s">
        <v>289</v>
      </c>
      <c r="DFN2" t="s">
        <v>289</v>
      </c>
      <c r="DFO2" t="s">
        <v>289</v>
      </c>
      <c r="DFP2" t="s">
        <v>289</v>
      </c>
      <c r="DFQ2" t="s">
        <v>289</v>
      </c>
      <c r="DFR2" t="s">
        <v>289</v>
      </c>
      <c r="DFS2" t="s">
        <v>289</v>
      </c>
      <c r="DFT2" t="s">
        <v>289</v>
      </c>
      <c r="DFU2" t="s">
        <v>289</v>
      </c>
      <c r="DFV2" t="s">
        <v>289</v>
      </c>
      <c r="DFW2" t="s">
        <v>289</v>
      </c>
      <c r="DFX2" t="s">
        <v>289</v>
      </c>
      <c r="DFY2" t="s">
        <v>289</v>
      </c>
      <c r="DFZ2" t="s">
        <v>289</v>
      </c>
      <c r="DGA2" t="s">
        <v>289</v>
      </c>
      <c r="DGB2" t="s">
        <v>289</v>
      </c>
      <c r="DGC2" t="s">
        <v>289</v>
      </c>
      <c r="DGD2" t="s">
        <v>289</v>
      </c>
      <c r="DGE2" t="s">
        <v>289</v>
      </c>
      <c r="DGF2" t="s">
        <v>289</v>
      </c>
      <c r="DGG2" t="s">
        <v>289</v>
      </c>
      <c r="DGH2" t="s">
        <v>289</v>
      </c>
      <c r="DGI2" t="s">
        <v>289</v>
      </c>
      <c r="DGJ2" t="s">
        <v>289</v>
      </c>
      <c r="DGK2" t="s">
        <v>289</v>
      </c>
      <c r="DGL2" t="s">
        <v>289</v>
      </c>
      <c r="DGM2" t="s">
        <v>289</v>
      </c>
      <c r="DGN2" t="s">
        <v>289</v>
      </c>
      <c r="DGO2" t="s">
        <v>289</v>
      </c>
      <c r="DGP2" t="s">
        <v>289</v>
      </c>
      <c r="DGQ2" t="s">
        <v>289</v>
      </c>
      <c r="DGR2" t="s">
        <v>289</v>
      </c>
      <c r="DGS2" t="s">
        <v>289</v>
      </c>
      <c r="DGT2" t="s">
        <v>289</v>
      </c>
      <c r="DGU2" t="s">
        <v>289</v>
      </c>
      <c r="DGV2" t="s">
        <v>289</v>
      </c>
      <c r="DGW2" t="s">
        <v>289</v>
      </c>
      <c r="DGX2" t="s">
        <v>289</v>
      </c>
      <c r="DGY2" t="s">
        <v>289</v>
      </c>
      <c r="DGZ2" t="s">
        <v>289</v>
      </c>
      <c r="DHA2" t="s">
        <v>289</v>
      </c>
      <c r="DHB2" t="s">
        <v>289</v>
      </c>
      <c r="DHC2" t="s">
        <v>289</v>
      </c>
      <c r="DHD2" t="s">
        <v>289</v>
      </c>
      <c r="DHE2" t="s">
        <v>289</v>
      </c>
      <c r="DHF2" t="s">
        <v>289</v>
      </c>
      <c r="DHG2" t="s">
        <v>289</v>
      </c>
      <c r="DHH2" t="s">
        <v>289</v>
      </c>
      <c r="DHI2" t="s">
        <v>289</v>
      </c>
      <c r="DHJ2" t="s">
        <v>289</v>
      </c>
      <c r="DHK2" t="s">
        <v>289</v>
      </c>
      <c r="DHL2" t="s">
        <v>289</v>
      </c>
      <c r="DHM2" t="s">
        <v>289</v>
      </c>
      <c r="DHN2" t="s">
        <v>289</v>
      </c>
      <c r="DHO2" t="s">
        <v>289</v>
      </c>
      <c r="DHP2" t="s">
        <v>289</v>
      </c>
      <c r="DHQ2" t="s">
        <v>289</v>
      </c>
      <c r="DHR2" t="s">
        <v>289</v>
      </c>
      <c r="DHS2" t="s">
        <v>289</v>
      </c>
      <c r="DHT2" t="s">
        <v>289</v>
      </c>
      <c r="DHU2" t="s">
        <v>289</v>
      </c>
      <c r="DHV2" t="s">
        <v>289</v>
      </c>
      <c r="DHW2" t="s">
        <v>289</v>
      </c>
      <c r="DHX2" t="s">
        <v>289</v>
      </c>
      <c r="DHY2" t="s">
        <v>289</v>
      </c>
      <c r="DHZ2" t="s">
        <v>289</v>
      </c>
      <c r="DIA2" t="s">
        <v>289</v>
      </c>
      <c r="DIB2" t="s">
        <v>289</v>
      </c>
      <c r="DIC2" t="s">
        <v>289</v>
      </c>
      <c r="DID2" t="s">
        <v>289</v>
      </c>
      <c r="DIE2" t="s">
        <v>289</v>
      </c>
      <c r="DIF2" t="s">
        <v>289</v>
      </c>
      <c r="DIG2">
        <v>-1333</v>
      </c>
      <c r="DIH2" t="s">
        <v>289</v>
      </c>
      <c r="DII2">
        <v>-1980</v>
      </c>
      <c r="DIJ2">
        <v>-2241</v>
      </c>
      <c r="DIK2">
        <v>-56</v>
      </c>
      <c r="DIL2">
        <v>-1651</v>
      </c>
      <c r="DIM2">
        <v>-1433</v>
      </c>
      <c r="DIN2">
        <v>-1807</v>
      </c>
      <c r="DIO2">
        <v>-2155</v>
      </c>
      <c r="DIP2">
        <v>-1660</v>
      </c>
      <c r="DIQ2">
        <v>-6400</v>
      </c>
      <c r="DIR2">
        <v>-893</v>
      </c>
      <c r="DIS2">
        <v>712</v>
      </c>
      <c r="DIT2">
        <v>1888</v>
      </c>
      <c r="DIU2" t="s">
        <v>289</v>
      </c>
      <c r="DIV2">
        <v>178</v>
      </c>
      <c r="DIW2">
        <v>-720</v>
      </c>
      <c r="DIX2">
        <v>-147</v>
      </c>
      <c r="DIY2">
        <v>-1856</v>
      </c>
      <c r="DIZ2">
        <v>-3056</v>
      </c>
      <c r="DJA2">
        <v>4155</v>
      </c>
      <c r="DJB2">
        <v>-2507</v>
      </c>
      <c r="DJC2">
        <v>-4234</v>
      </c>
      <c r="DJD2">
        <v>460</v>
      </c>
      <c r="DJE2">
        <v>-1021</v>
      </c>
      <c r="DJF2">
        <v>-2214</v>
      </c>
      <c r="DJG2">
        <v>-3149</v>
      </c>
      <c r="DJH2">
        <v>-3637</v>
      </c>
      <c r="DJI2">
        <v>-4198</v>
      </c>
      <c r="DJJ2">
        <v>-5372</v>
      </c>
      <c r="DJK2">
        <v>-674</v>
      </c>
      <c r="DJL2">
        <v>1334</v>
      </c>
      <c r="DJM2">
        <v>2110</v>
      </c>
      <c r="DJN2" t="s">
        <v>289</v>
      </c>
      <c r="DJO2" t="s">
        <v>289</v>
      </c>
      <c r="DJP2" t="s">
        <v>289</v>
      </c>
      <c r="DJQ2" t="s">
        <v>289</v>
      </c>
      <c r="DJR2" t="s">
        <v>289</v>
      </c>
      <c r="DJS2" t="s">
        <v>289</v>
      </c>
      <c r="DJT2">
        <v>6</v>
      </c>
      <c r="DJU2">
        <v>962</v>
      </c>
      <c r="DJV2">
        <v>-3734</v>
      </c>
      <c r="DJW2">
        <v>-8050</v>
      </c>
      <c r="DJX2">
        <v>-4325</v>
      </c>
      <c r="DJY2">
        <v>-4044</v>
      </c>
      <c r="DJZ2">
        <v>-4856</v>
      </c>
      <c r="DKA2">
        <v>-4442</v>
      </c>
      <c r="DKB2">
        <v>-6589</v>
      </c>
      <c r="DKC2">
        <v>-3637</v>
      </c>
      <c r="DKD2">
        <v>-20057</v>
      </c>
      <c r="DKE2">
        <v>-11311</v>
      </c>
      <c r="DKF2">
        <v>-8061</v>
      </c>
      <c r="DKG2" t="s">
        <v>289</v>
      </c>
      <c r="DKH2">
        <v>683</v>
      </c>
      <c r="DKI2">
        <v>-328</v>
      </c>
      <c r="DKJ2">
        <v>1436</v>
      </c>
      <c r="DKK2">
        <v>1302</v>
      </c>
      <c r="DKL2">
        <v>815</v>
      </c>
      <c r="DKM2">
        <v>6</v>
      </c>
      <c r="DKN2">
        <v>962</v>
      </c>
      <c r="DKO2">
        <v>-3734</v>
      </c>
      <c r="DKP2">
        <v>-8050</v>
      </c>
      <c r="DKQ2">
        <v>-4325</v>
      </c>
      <c r="DKR2">
        <v>-4044</v>
      </c>
      <c r="DKS2">
        <v>-4856</v>
      </c>
      <c r="DKT2">
        <v>-4442</v>
      </c>
      <c r="DKU2">
        <v>-6589</v>
      </c>
      <c r="DKV2">
        <v>-3637</v>
      </c>
      <c r="DKW2">
        <v>-20057</v>
      </c>
      <c r="DKX2">
        <v>-11311</v>
      </c>
      <c r="DKY2">
        <v>-8061</v>
      </c>
      <c r="DKZ2" t="s">
        <v>289</v>
      </c>
      <c r="DLA2" t="s">
        <v>289</v>
      </c>
      <c r="DLB2" t="s">
        <v>289</v>
      </c>
      <c r="DLC2" t="s">
        <v>289</v>
      </c>
      <c r="DLD2" t="s">
        <v>289</v>
      </c>
      <c r="DLE2" t="s">
        <v>289</v>
      </c>
      <c r="DLF2" t="s">
        <v>289</v>
      </c>
      <c r="DLG2" t="s">
        <v>289</v>
      </c>
      <c r="DLH2" t="s">
        <v>289</v>
      </c>
      <c r="DLI2" t="s">
        <v>289</v>
      </c>
      <c r="DLJ2" t="s">
        <v>289</v>
      </c>
      <c r="DLK2" t="s">
        <v>289</v>
      </c>
      <c r="DLL2" t="s">
        <v>289</v>
      </c>
      <c r="DLM2" t="s">
        <v>289</v>
      </c>
      <c r="DLN2">
        <v>0</v>
      </c>
      <c r="DLO2">
        <v>0</v>
      </c>
      <c r="DLP2" t="s">
        <v>289</v>
      </c>
      <c r="DLQ2" t="s">
        <v>289</v>
      </c>
      <c r="DLR2" t="s">
        <v>289</v>
      </c>
      <c r="DLS2" t="s">
        <v>289</v>
      </c>
      <c r="DLT2">
        <v>861</v>
      </c>
      <c r="DLU2">
        <v>-1048</v>
      </c>
      <c r="DLV2">
        <v>1289</v>
      </c>
      <c r="DLW2">
        <v>-554</v>
      </c>
      <c r="DLX2">
        <v>-3574</v>
      </c>
      <c r="DLY2">
        <v>4161</v>
      </c>
      <c r="DLZ2">
        <v>-3525</v>
      </c>
      <c r="DMA2">
        <v>-10209</v>
      </c>
      <c r="DMB2">
        <v>-7646</v>
      </c>
      <c r="DMC2">
        <v>-6997</v>
      </c>
      <c r="DMD2">
        <v>-7691</v>
      </c>
      <c r="DME2">
        <v>-9812</v>
      </c>
      <c r="DMF2">
        <v>-10234</v>
      </c>
      <c r="DMG2">
        <v>-12447</v>
      </c>
      <c r="DMH2">
        <v>-15409</v>
      </c>
      <c r="DMI2">
        <v>-21624</v>
      </c>
      <c r="DMJ2">
        <v>-9265</v>
      </c>
      <c r="DMK2">
        <v>-4063</v>
      </c>
      <c r="DML2" t="s">
        <v>289</v>
      </c>
      <c r="DMM2" t="s">
        <v>289</v>
      </c>
      <c r="DMN2" t="s">
        <v>289</v>
      </c>
      <c r="DMO2" t="s">
        <v>289</v>
      </c>
      <c r="DMP2" t="s">
        <v>289</v>
      </c>
      <c r="DMQ2" t="s">
        <v>289</v>
      </c>
      <c r="DMR2" t="s">
        <v>289</v>
      </c>
      <c r="DMS2" t="s">
        <v>289</v>
      </c>
      <c r="DMT2" t="s">
        <v>289</v>
      </c>
      <c r="DMU2" t="s">
        <v>289</v>
      </c>
      <c r="DMV2" t="s">
        <v>289</v>
      </c>
      <c r="DMW2" t="s">
        <v>289</v>
      </c>
      <c r="DMX2" t="s">
        <v>289</v>
      </c>
      <c r="DMY2" t="s">
        <v>289</v>
      </c>
      <c r="DMZ2" t="s">
        <v>289</v>
      </c>
      <c r="DNA2" t="s">
        <v>289</v>
      </c>
      <c r="DNB2" t="s">
        <v>289</v>
      </c>
      <c r="DNC2" t="s">
        <v>289</v>
      </c>
      <c r="DND2" t="s">
        <v>289</v>
      </c>
      <c r="DNE2" t="s">
        <v>289</v>
      </c>
      <c r="DNF2" t="s">
        <v>289</v>
      </c>
      <c r="DNG2" t="s">
        <v>289</v>
      </c>
      <c r="DNH2" t="s">
        <v>289</v>
      </c>
      <c r="DNI2" t="s">
        <v>289</v>
      </c>
      <c r="DNJ2" t="s">
        <v>289</v>
      </c>
      <c r="DNK2" t="s">
        <v>289</v>
      </c>
      <c r="DNL2" t="s">
        <v>289</v>
      </c>
      <c r="DNM2" t="s">
        <v>289</v>
      </c>
      <c r="DNN2" t="s">
        <v>289</v>
      </c>
      <c r="DNO2" t="s">
        <v>289</v>
      </c>
      <c r="DNP2" t="s">
        <v>289</v>
      </c>
      <c r="DNQ2" t="s">
        <v>289</v>
      </c>
      <c r="DNR2" t="s">
        <v>289</v>
      </c>
      <c r="DNS2" t="s">
        <v>289</v>
      </c>
      <c r="DNT2" t="s">
        <v>289</v>
      </c>
      <c r="DNU2" t="s">
        <v>289</v>
      </c>
      <c r="DNV2" t="s">
        <v>289</v>
      </c>
      <c r="DNW2" t="s">
        <v>289</v>
      </c>
      <c r="DNX2" t="s">
        <v>289</v>
      </c>
      <c r="DNY2">
        <v>21</v>
      </c>
      <c r="DNZ2">
        <v>354</v>
      </c>
      <c r="DOA2">
        <v>888</v>
      </c>
      <c r="DOB2">
        <v>1172</v>
      </c>
      <c r="DOC2">
        <v>2075</v>
      </c>
      <c r="DOD2">
        <v>529</v>
      </c>
      <c r="DOE2">
        <v>1554</v>
      </c>
      <c r="DOF2">
        <v>3269</v>
      </c>
      <c r="DOG2">
        <v>5056</v>
      </c>
      <c r="DOH2">
        <v>3107</v>
      </c>
      <c r="DOI2">
        <v>4040</v>
      </c>
      <c r="DOJ2">
        <v>3238</v>
      </c>
      <c r="DOK2">
        <v>3315</v>
      </c>
      <c r="DOL2">
        <v>3664</v>
      </c>
      <c r="DOM2">
        <v>3804</v>
      </c>
      <c r="DON2">
        <v>2914</v>
      </c>
      <c r="DOO2">
        <v>2646</v>
      </c>
      <c r="DOP2">
        <v>4216</v>
      </c>
      <c r="DOQ2" t="s">
        <v>289</v>
      </c>
      <c r="DOR2">
        <v>2335</v>
      </c>
      <c r="DOS2">
        <v>2729</v>
      </c>
      <c r="DOT2">
        <v>3184</v>
      </c>
      <c r="DOU2">
        <v>2934</v>
      </c>
      <c r="DOV2">
        <v>3404</v>
      </c>
      <c r="DOW2">
        <v>3172</v>
      </c>
      <c r="DOX2">
        <v>3049</v>
      </c>
      <c r="DOY2">
        <v>4796</v>
      </c>
      <c r="DOZ2">
        <v>3915</v>
      </c>
      <c r="DPA2">
        <v>3864</v>
      </c>
      <c r="DPB2">
        <v>3397</v>
      </c>
      <c r="DPC2">
        <v>2440</v>
      </c>
      <c r="DPD2">
        <v>2716</v>
      </c>
      <c r="DPE2">
        <v>2332</v>
      </c>
      <c r="DPF2" t="s">
        <v>289</v>
      </c>
      <c r="DPG2">
        <v>2604</v>
      </c>
      <c r="DPH2">
        <v>2677</v>
      </c>
      <c r="DPI2">
        <v>2471</v>
      </c>
      <c r="DPJ2" t="s">
        <v>289</v>
      </c>
      <c r="DPK2" t="s">
        <v>289</v>
      </c>
      <c r="DPL2" t="s">
        <v>289</v>
      </c>
      <c r="DPM2" t="s">
        <v>289</v>
      </c>
      <c r="DPN2" t="s">
        <v>289</v>
      </c>
      <c r="DPO2" t="s">
        <v>289</v>
      </c>
      <c r="DPP2" t="s">
        <v>289</v>
      </c>
      <c r="DPQ2" t="s">
        <v>289</v>
      </c>
      <c r="DPR2" t="s">
        <v>289</v>
      </c>
      <c r="DPS2" t="s">
        <v>289</v>
      </c>
      <c r="DPT2" t="s">
        <v>289</v>
      </c>
      <c r="DPU2" t="s">
        <v>289</v>
      </c>
      <c r="DPV2" t="s">
        <v>289</v>
      </c>
      <c r="DPW2" t="s">
        <v>289</v>
      </c>
      <c r="DPX2" t="s">
        <v>289</v>
      </c>
      <c r="DPY2" t="s">
        <v>289</v>
      </c>
      <c r="DPZ2" t="s">
        <v>289</v>
      </c>
      <c r="DQA2" t="s">
        <v>289</v>
      </c>
      <c r="DQB2" t="s">
        <v>289</v>
      </c>
      <c r="DQC2" t="s">
        <v>289</v>
      </c>
    </row>
    <row r="3" spans="2:3149">
      <c r="B3" t="s">
        <v>3794</v>
      </c>
      <c r="C3" t="s">
        <v>3802</v>
      </c>
      <c r="D3" t="s">
        <v>3810</v>
      </c>
      <c r="E3" s="100">
        <v>44531</v>
      </c>
      <c r="F3" t="s">
        <v>3629</v>
      </c>
      <c r="G3">
        <v>201.9</v>
      </c>
      <c r="H3">
        <v>202.32488000000001</v>
      </c>
      <c r="I3">
        <v>36919.108699999997</v>
      </c>
      <c r="J3">
        <v>36996.801399999997</v>
      </c>
      <c r="K3" t="s">
        <v>289</v>
      </c>
      <c r="L3" t="s">
        <v>289</v>
      </c>
      <c r="M3" t="s">
        <v>289</v>
      </c>
      <c r="N3" t="s">
        <v>289</v>
      </c>
      <c r="O3" t="s">
        <v>289</v>
      </c>
      <c r="P3" t="s">
        <v>289</v>
      </c>
      <c r="Q3" t="s">
        <v>289</v>
      </c>
      <c r="R3" t="s">
        <v>289</v>
      </c>
      <c r="S3" t="s">
        <v>289</v>
      </c>
      <c r="T3" t="s">
        <v>289</v>
      </c>
      <c r="U3" t="s">
        <v>289</v>
      </c>
      <c r="V3" t="s">
        <v>289</v>
      </c>
      <c r="W3" t="s">
        <v>289</v>
      </c>
      <c r="X3" t="s">
        <v>289</v>
      </c>
      <c r="Y3" t="s">
        <v>289</v>
      </c>
      <c r="Z3" t="s">
        <v>289</v>
      </c>
      <c r="AA3" t="s">
        <v>289</v>
      </c>
      <c r="AB3" t="s">
        <v>289</v>
      </c>
      <c r="AC3" t="s">
        <v>289</v>
      </c>
      <c r="AD3" t="s">
        <v>289</v>
      </c>
      <c r="AE3" t="s">
        <v>289</v>
      </c>
      <c r="AF3" t="s">
        <v>289</v>
      </c>
      <c r="AG3" t="s">
        <v>289</v>
      </c>
      <c r="AH3" t="s">
        <v>289</v>
      </c>
      <c r="AI3" t="s">
        <v>289</v>
      </c>
      <c r="AJ3" t="s">
        <v>289</v>
      </c>
      <c r="AK3" t="s">
        <v>289</v>
      </c>
      <c r="AL3" t="s">
        <v>289</v>
      </c>
      <c r="AM3" t="s">
        <v>289</v>
      </c>
      <c r="AN3" t="s">
        <v>289</v>
      </c>
      <c r="AO3" t="s">
        <v>289</v>
      </c>
      <c r="AP3" t="s">
        <v>289</v>
      </c>
      <c r="AQ3" t="s">
        <v>289</v>
      </c>
      <c r="AR3" t="s">
        <v>289</v>
      </c>
      <c r="AS3" t="s">
        <v>289</v>
      </c>
      <c r="AT3" t="s">
        <v>289</v>
      </c>
      <c r="AU3" t="s">
        <v>289</v>
      </c>
      <c r="AV3" t="s">
        <v>289</v>
      </c>
      <c r="AW3" t="s">
        <v>289</v>
      </c>
      <c r="AX3" t="s">
        <v>289</v>
      </c>
      <c r="AY3" t="s">
        <v>289</v>
      </c>
      <c r="AZ3" t="s">
        <v>289</v>
      </c>
      <c r="BA3" t="s">
        <v>289</v>
      </c>
      <c r="BB3" t="s">
        <v>289</v>
      </c>
      <c r="BC3" t="s">
        <v>289</v>
      </c>
      <c r="BD3" t="s">
        <v>289</v>
      </c>
      <c r="BE3" t="s">
        <v>289</v>
      </c>
      <c r="BF3" t="s">
        <v>289</v>
      </c>
      <c r="BG3" t="s">
        <v>289</v>
      </c>
      <c r="BH3" t="s">
        <v>289</v>
      </c>
      <c r="BI3" t="s">
        <v>289</v>
      </c>
      <c r="BJ3" t="s">
        <v>289</v>
      </c>
      <c r="BK3" t="s">
        <v>289</v>
      </c>
      <c r="BL3" t="s">
        <v>289</v>
      </c>
      <c r="BM3" t="s">
        <v>289</v>
      </c>
      <c r="BN3" t="s">
        <v>289</v>
      </c>
      <c r="BO3" t="s">
        <v>289</v>
      </c>
      <c r="BP3" t="s">
        <v>289</v>
      </c>
      <c r="BQ3" t="s">
        <v>289</v>
      </c>
      <c r="BR3" t="s">
        <v>289</v>
      </c>
      <c r="BS3" t="s">
        <v>289</v>
      </c>
      <c r="BT3" t="s">
        <v>289</v>
      </c>
      <c r="BU3" t="s">
        <v>289</v>
      </c>
      <c r="BV3" t="s">
        <v>289</v>
      </c>
      <c r="BW3" t="s">
        <v>289</v>
      </c>
      <c r="BX3" t="s">
        <v>289</v>
      </c>
      <c r="BY3" t="s">
        <v>289</v>
      </c>
      <c r="BZ3" t="s">
        <v>289</v>
      </c>
      <c r="CA3" t="s">
        <v>289</v>
      </c>
      <c r="CB3" t="s">
        <v>289</v>
      </c>
      <c r="CC3" t="s">
        <v>289</v>
      </c>
      <c r="CD3" t="s">
        <v>289</v>
      </c>
      <c r="CE3" t="s">
        <v>289</v>
      </c>
      <c r="CF3" t="s">
        <v>289</v>
      </c>
      <c r="CG3" t="s">
        <v>289</v>
      </c>
      <c r="CH3" t="s">
        <v>289</v>
      </c>
      <c r="CI3" t="s">
        <v>289</v>
      </c>
      <c r="CJ3" t="s">
        <v>289</v>
      </c>
      <c r="CK3" t="s">
        <v>289</v>
      </c>
      <c r="CL3" t="s">
        <v>289</v>
      </c>
      <c r="CM3" t="s">
        <v>289</v>
      </c>
      <c r="CN3" t="s">
        <v>289</v>
      </c>
      <c r="CO3" t="s">
        <v>289</v>
      </c>
      <c r="CP3" t="s">
        <v>289</v>
      </c>
      <c r="CQ3" t="s">
        <v>289</v>
      </c>
      <c r="CR3" t="s">
        <v>289</v>
      </c>
      <c r="CS3" t="s">
        <v>289</v>
      </c>
      <c r="CT3" t="s">
        <v>289</v>
      </c>
      <c r="CU3" t="s">
        <v>289</v>
      </c>
      <c r="CV3" t="s">
        <v>289</v>
      </c>
      <c r="CW3" t="s">
        <v>289</v>
      </c>
      <c r="CX3" t="s">
        <v>289</v>
      </c>
      <c r="CY3" t="s">
        <v>289</v>
      </c>
      <c r="CZ3" t="s">
        <v>289</v>
      </c>
      <c r="DA3" t="s">
        <v>289</v>
      </c>
      <c r="DB3" t="s">
        <v>289</v>
      </c>
      <c r="DC3" t="s">
        <v>289</v>
      </c>
      <c r="DD3" t="s">
        <v>289</v>
      </c>
      <c r="DE3" t="s">
        <v>289</v>
      </c>
      <c r="DF3" t="s">
        <v>289</v>
      </c>
      <c r="DG3" t="s">
        <v>289</v>
      </c>
      <c r="DH3" t="s">
        <v>289</v>
      </c>
      <c r="DI3" t="s">
        <v>289</v>
      </c>
      <c r="DJ3" t="s">
        <v>289</v>
      </c>
      <c r="DK3" t="s">
        <v>289</v>
      </c>
      <c r="DL3" t="s">
        <v>289</v>
      </c>
      <c r="DM3" t="s">
        <v>289</v>
      </c>
      <c r="DN3" t="s">
        <v>289</v>
      </c>
      <c r="DO3" t="s">
        <v>289</v>
      </c>
      <c r="DP3" t="s">
        <v>289</v>
      </c>
      <c r="DQ3" t="s">
        <v>289</v>
      </c>
      <c r="DR3" t="s">
        <v>289</v>
      </c>
      <c r="DS3" t="s">
        <v>289</v>
      </c>
      <c r="DT3" t="s">
        <v>289</v>
      </c>
      <c r="DU3" t="s">
        <v>289</v>
      </c>
      <c r="DV3" t="s">
        <v>289</v>
      </c>
      <c r="DW3" t="s">
        <v>289</v>
      </c>
      <c r="DX3" t="s">
        <v>289</v>
      </c>
      <c r="DY3" t="s">
        <v>289</v>
      </c>
      <c r="DZ3" t="s">
        <v>289</v>
      </c>
      <c r="EA3" t="s">
        <v>289</v>
      </c>
      <c r="EB3" t="s">
        <v>289</v>
      </c>
      <c r="EC3" t="s">
        <v>289</v>
      </c>
      <c r="ED3" t="s">
        <v>289</v>
      </c>
      <c r="EE3" t="s">
        <v>289</v>
      </c>
      <c r="EF3" t="s">
        <v>289</v>
      </c>
      <c r="EG3" t="s">
        <v>289</v>
      </c>
      <c r="EH3" t="s">
        <v>289</v>
      </c>
      <c r="EI3" t="s">
        <v>289</v>
      </c>
      <c r="EJ3" t="s">
        <v>289</v>
      </c>
      <c r="EK3" t="s">
        <v>289</v>
      </c>
      <c r="EL3" t="s">
        <v>289</v>
      </c>
      <c r="EM3" t="s">
        <v>289</v>
      </c>
      <c r="EN3" t="s">
        <v>289</v>
      </c>
      <c r="EO3" t="s">
        <v>289</v>
      </c>
      <c r="EP3" t="s">
        <v>289</v>
      </c>
      <c r="EQ3" t="s">
        <v>289</v>
      </c>
      <c r="ER3" t="s">
        <v>289</v>
      </c>
      <c r="ES3" t="s">
        <v>289</v>
      </c>
      <c r="ET3" t="s">
        <v>289</v>
      </c>
      <c r="EU3" t="s">
        <v>289</v>
      </c>
      <c r="EV3" t="s">
        <v>289</v>
      </c>
      <c r="EW3" t="s">
        <v>289</v>
      </c>
      <c r="EX3" t="s">
        <v>289</v>
      </c>
      <c r="EY3" t="s">
        <v>289</v>
      </c>
      <c r="EZ3" t="s">
        <v>289</v>
      </c>
      <c r="FA3" t="s">
        <v>289</v>
      </c>
      <c r="FB3" t="s">
        <v>289</v>
      </c>
      <c r="FC3" t="s">
        <v>289</v>
      </c>
      <c r="FD3" t="s">
        <v>289</v>
      </c>
      <c r="FE3" t="s">
        <v>289</v>
      </c>
      <c r="FF3" t="s">
        <v>289</v>
      </c>
      <c r="FG3" t="s">
        <v>289</v>
      </c>
      <c r="FH3" t="s">
        <v>289</v>
      </c>
      <c r="FI3" t="s">
        <v>289</v>
      </c>
      <c r="FJ3" t="s">
        <v>289</v>
      </c>
      <c r="FK3" t="s">
        <v>289</v>
      </c>
      <c r="FL3" t="s">
        <v>289</v>
      </c>
      <c r="FM3" t="s">
        <v>289</v>
      </c>
      <c r="FN3" t="s">
        <v>289</v>
      </c>
      <c r="FO3" t="s">
        <v>289</v>
      </c>
      <c r="FP3" t="s">
        <v>289</v>
      </c>
      <c r="FQ3" t="s">
        <v>289</v>
      </c>
      <c r="FR3" t="s">
        <v>289</v>
      </c>
      <c r="FS3" t="s">
        <v>289</v>
      </c>
      <c r="FT3" t="s">
        <v>289</v>
      </c>
      <c r="FU3" t="s">
        <v>289</v>
      </c>
      <c r="FV3" t="s">
        <v>289</v>
      </c>
      <c r="FW3" t="s">
        <v>289</v>
      </c>
      <c r="FX3" t="s">
        <v>289</v>
      </c>
      <c r="FY3" t="s">
        <v>289</v>
      </c>
      <c r="FZ3" t="s">
        <v>289</v>
      </c>
      <c r="GA3" t="s">
        <v>289</v>
      </c>
      <c r="GB3" t="s">
        <v>289</v>
      </c>
      <c r="GC3" t="s">
        <v>289</v>
      </c>
      <c r="GD3" t="s">
        <v>289</v>
      </c>
      <c r="GE3" t="s">
        <v>289</v>
      </c>
      <c r="GF3" t="s">
        <v>289</v>
      </c>
      <c r="GG3" t="s">
        <v>289</v>
      </c>
      <c r="GH3" t="s">
        <v>289</v>
      </c>
      <c r="GI3" t="s">
        <v>289</v>
      </c>
      <c r="GJ3" t="s">
        <v>289</v>
      </c>
      <c r="GK3" t="s">
        <v>289</v>
      </c>
      <c r="GL3" t="s">
        <v>289</v>
      </c>
      <c r="GM3" t="s">
        <v>289</v>
      </c>
      <c r="GN3" t="s">
        <v>289</v>
      </c>
      <c r="GO3" t="s">
        <v>289</v>
      </c>
      <c r="GP3" t="s">
        <v>289</v>
      </c>
      <c r="GQ3" t="s">
        <v>289</v>
      </c>
      <c r="GR3" t="s">
        <v>289</v>
      </c>
      <c r="GS3" t="s">
        <v>289</v>
      </c>
      <c r="GT3" t="s">
        <v>289</v>
      </c>
      <c r="GU3" t="s">
        <v>289</v>
      </c>
      <c r="GV3" t="s">
        <v>289</v>
      </c>
      <c r="GW3" t="s">
        <v>289</v>
      </c>
      <c r="GX3" t="s">
        <v>289</v>
      </c>
      <c r="GY3" t="s">
        <v>289</v>
      </c>
      <c r="GZ3" t="s">
        <v>289</v>
      </c>
      <c r="HA3" t="s">
        <v>289</v>
      </c>
      <c r="HB3" t="s">
        <v>289</v>
      </c>
      <c r="HC3" t="s">
        <v>289</v>
      </c>
      <c r="HD3" t="s">
        <v>289</v>
      </c>
      <c r="HE3" t="s">
        <v>289</v>
      </c>
      <c r="HF3" t="s">
        <v>289</v>
      </c>
      <c r="HG3" t="s">
        <v>289</v>
      </c>
      <c r="HH3" t="s">
        <v>289</v>
      </c>
      <c r="HI3" t="s">
        <v>289</v>
      </c>
      <c r="HJ3" t="s">
        <v>289</v>
      </c>
      <c r="HK3" t="s">
        <v>289</v>
      </c>
      <c r="HL3" t="s">
        <v>289</v>
      </c>
      <c r="HM3" t="s">
        <v>289</v>
      </c>
      <c r="HN3" t="s">
        <v>289</v>
      </c>
      <c r="HO3" t="s">
        <v>289</v>
      </c>
      <c r="HP3" t="s">
        <v>289</v>
      </c>
      <c r="HQ3" t="s">
        <v>289</v>
      </c>
      <c r="HR3" t="s">
        <v>289</v>
      </c>
      <c r="HS3" t="s">
        <v>289</v>
      </c>
      <c r="HT3" t="s">
        <v>289</v>
      </c>
      <c r="HU3" t="s">
        <v>289</v>
      </c>
      <c r="HV3" t="s">
        <v>289</v>
      </c>
      <c r="HW3" t="s">
        <v>289</v>
      </c>
      <c r="HX3" t="s">
        <v>289</v>
      </c>
      <c r="HY3" t="s">
        <v>289</v>
      </c>
      <c r="HZ3" t="s">
        <v>289</v>
      </c>
      <c r="IA3" t="s">
        <v>289</v>
      </c>
      <c r="IB3" t="s">
        <v>289</v>
      </c>
      <c r="IC3" t="s">
        <v>289</v>
      </c>
      <c r="ID3" t="s">
        <v>289</v>
      </c>
      <c r="IE3" t="s">
        <v>289</v>
      </c>
      <c r="IF3" t="s">
        <v>289</v>
      </c>
      <c r="IG3" t="s">
        <v>289</v>
      </c>
      <c r="IH3" t="s">
        <v>289</v>
      </c>
      <c r="II3" t="s">
        <v>289</v>
      </c>
      <c r="IJ3" t="s">
        <v>289</v>
      </c>
      <c r="IK3" t="s">
        <v>289</v>
      </c>
      <c r="IL3" t="s">
        <v>289</v>
      </c>
      <c r="IM3" t="s">
        <v>289</v>
      </c>
      <c r="IN3" t="s">
        <v>289</v>
      </c>
      <c r="IO3" t="s">
        <v>289</v>
      </c>
      <c r="IP3" t="s">
        <v>289</v>
      </c>
      <c r="IQ3" t="s">
        <v>289</v>
      </c>
      <c r="IR3" t="s">
        <v>289</v>
      </c>
      <c r="IS3" t="s">
        <v>289</v>
      </c>
      <c r="IT3" t="s">
        <v>289</v>
      </c>
      <c r="IU3" t="s">
        <v>289</v>
      </c>
      <c r="IV3" t="s">
        <v>289</v>
      </c>
      <c r="IW3" t="s">
        <v>289</v>
      </c>
      <c r="IX3" t="s">
        <v>289</v>
      </c>
      <c r="IY3" t="s">
        <v>289</v>
      </c>
      <c r="IZ3" t="s">
        <v>289</v>
      </c>
      <c r="JA3" t="s">
        <v>289</v>
      </c>
      <c r="JB3" t="s">
        <v>289</v>
      </c>
      <c r="JC3" t="s">
        <v>289</v>
      </c>
      <c r="JD3" t="s">
        <v>289</v>
      </c>
      <c r="JE3" t="s">
        <v>289</v>
      </c>
      <c r="JF3" t="s">
        <v>289</v>
      </c>
      <c r="JG3" t="s">
        <v>289</v>
      </c>
      <c r="JH3" t="s">
        <v>289</v>
      </c>
      <c r="JI3" t="s">
        <v>289</v>
      </c>
      <c r="JJ3" t="s">
        <v>289</v>
      </c>
      <c r="JK3" t="s">
        <v>289</v>
      </c>
      <c r="JL3" t="s">
        <v>289</v>
      </c>
      <c r="JM3" t="s">
        <v>289</v>
      </c>
      <c r="JN3" t="s">
        <v>289</v>
      </c>
      <c r="JO3" t="s">
        <v>289</v>
      </c>
      <c r="JP3" t="s">
        <v>289</v>
      </c>
      <c r="JQ3" t="s">
        <v>289</v>
      </c>
      <c r="JR3" t="s">
        <v>289</v>
      </c>
      <c r="JS3" t="s">
        <v>289</v>
      </c>
      <c r="JT3" t="s">
        <v>289</v>
      </c>
      <c r="JU3" t="s">
        <v>289</v>
      </c>
      <c r="JV3" t="s">
        <v>289</v>
      </c>
      <c r="JW3" t="s">
        <v>289</v>
      </c>
      <c r="JX3" t="s">
        <v>289</v>
      </c>
      <c r="JY3" t="s">
        <v>289</v>
      </c>
      <c r="JZ3">
        <v>113.786</v>
      </c>
      <c r="KA3">
        <v>134.27799999999999</v>
      </c>
      <c r="KB3">
        <v>182.75299999999999</v>
      </c>
      <c r="KC3">
        <v>457.78399999999999</v>
      </c>
      <c r="KD3">
        <v>647.70600000000002</v>
      </c>
      <c r="KE3">
        <v>793.66399999999999</v>
      </c>
      <c r="KF3">
        <v>897.94600000000003</v>
      </c>
      <c r="KG3">
        <v>1362.4059999999999</v>
      </c>
      <c r="KH3">
        <v>1344.146</v>
      </c>
      <c r="KI3" t="s">
        <v>289</v>
      </c>
      <c r="KJ3" t="s">
        <v>289</v>
      </c>
      <c r="KK3" t="s">
        <v>289</v>
      </c>
      <c r="KL3" t="s">
        <v>289</v>
      </c>
      <c r="KM3" t="s">
        <v>289</v>
      </c>
      <c r="KN3" t="s">
        <v>289</v>
      </c>
      <c r="KO3" t="s">
        <v>289</v>
      </c>
      <c r="KP3" t="s">
        <v>289</v>
      </c>
      <c r="KQ3" t="s">
        <v>289</v>
      </c>
      <c r="KR3" t="s">
        <v>289</v>
      </c>
      <c r="KS3" t="s">
        <v>289</v>
      </c>
      <c r="KT3" t="s">
        <v>289</v>
      </c>
      <c r="KU3" t="s">
        <v>289</v>
      </c>
      <c r="KV3" t="s">
        <v>289</v>
      </c>
      <c r="KW3" t="s">
        <v>289</v>
      </c>
      <c r="KX3" t="s">
        <v>289</v>
      </c>
      <c r="KY3" t="s">
        <v>289</v>
      </c>
      <c r="KZ3" t="s">
        <v>289</v>
      </c>
      <c r="LA3" t="s">
        <v>289</v>
      </c>
      <c r="LB3" t="s">
        <v>289</v>
      </c>
      <c r="LC3" t="s">
        <v>289</v>
      </c>
      <c r="LD3" t="s">
        <v>289</v>
      </c>
      <c r="LE3" t="s">
        <v>289</v>
      </c>
      <c r="LF3" t="s">
        <v>289</v>
      </c>
      <c r="LG3" t="s">
        <v>289</v>
      </c>
      <c r="LH3" t="s">
        <v>289</v>
      </c>
      <c r="LI3" t="s">
        <v>289</v>
      </c>
      <c r="LJ3" t="s">
        <v>289</v>
      </c>
      <c r="LK3" t="s">
        <v>289</v>
      </c>
      <c r="LL3" t="s">
        <v>289</v>
      </c>
      <c r="LM3" t="s">
        <v>289</v>
      </c>
      <c r="LN3" t="s">
        <v>289</v>
      </c>
      <c r="LO3" t="s">
        <v>289</v>
      </c>
      <c r="LP3" t="s">
        <v>289</v>
      </c>
      <c r="LQ3" t="s">
        <v>289</v>
      </c>
      <c r="LR3" t="s">
        <v>289</v>
      </c>
      <c r="LS3" t="s">
        <v>289</v>
      </c>
      <c r="LT3" t="s">
        <v>289</v>
      </c>
      <c r="LU3" t="s">
        <v>289</v>
      </c>
      <c r="LV3" t="s">
        <v>289</v>
      </c>
      <c r="LW3" t="s">
        <v>289</v>
      </c>
      <c r="LX3" t="s">
        <v>289</v>
      </c>
      <c r="LY3" t="s">
        <v>289</v>
      </c>
      <c r="LZ3" t="s">
        <v>289</v>
      </c>
      <c r="MA3" t="s">
        <v>289</v>
      </c>
      <c r="MB3" t="s">
        <v>289</v>
      </c>
      <c r="MC3" t="s">
        <v>289</v>
      </c>
      <c r="MD3" t="s">
        <v>289</v>
      </c>
      <c r="ME3">
        <v>41.542999999999999</v>
      </c>
      <c r="MF3">
        <v>111.71599999999999</v>
      </c>
      <c r="MG3">
        <v>122.622</v>
      </c>
      <c r="MH3">
        <v>119.357</v>
      </c>
      <c r="MI3">
        <v>94.090999999999994</v>
      </c>
      <c r="MJ3">
        <v>60.744</v>
      </c>
      <c r="MK3">
        <v>73.683000000000007</v>
      </c>
      <c r="ML3">
        <v>152.221</v>
      </c>
      <c r="MM3">
        <v>168.75700000000001</v>
      </c>
      <c r="MN3" t="s">
        <v>289</v>
      </c>
      <c r="MO3" t="s">
        <v>289</v>
      </c>
      <c r="MP3" t="s">
        <v>289</v>
      </c>
      <c r="MQ3" t="s">
        <v>289</v>
      </c>
      <c r="MR3" t="s">
        <v>289</v>
      </c>
      <c r="MS3" t="s">
        <v>289</v>
      </c>
      <c r="MT3" t="s">
        <v>289</v>
      </c>
      <c r="MU3" t="s">
        <v>289</v>
      </c>
      <c r="MV3" t="s">
        <v>289</v>
      </c>
      <c r="MW3" t="s">
        <v>289</v>
      </c>
      <c r="MX3">
        <v>16.736000000000001</v>
      </c>
      <c r="MY3">
        <v>47.780999999999999</v>
      </c>
      <c r="MZ3">
        <v>65.801000000000002</v>
      </c>
      <c r="NA3">
        <v>47.215000000000003</v>
      </c>
      <c r="NB3">
        <v>30.805</v>
      </c>
      <c r="NC3">
        <v>33.447000000000003</v>
      </c>
      <c r="ND3">
        <v>16.445</v>
      </c>
      <c r="NE3">
        <v>95.209000000000003</v>
      </c>
      <c r="NF3">
        <v>94.808000000000007</v>
      </c>
      <c r="NG3" t="s">
        <v>289</v>
      </c>
      <c r="NH3" t="s">
        <v>289</v>
      </c>
      <c r="NI3" t="s">
        <v>289</v>
      </c>
      <c r="NJ3" t="s">
        <v>289</v>
      </c>
      <c r="NK3" t="s">
        <v>289</v>
      </c>
      <c r="NL3" t="s">
        <v>289</v>
      </c>
      <c r="NM3" t="s">
        <v>289</v>
      </c>
      <c r="NN3" t="s">
        <v>289</v>
      </c>
      <c r="NO3" t="s">
        <v>289</v>
      </c>
      <c r="NP3" t="s">
        <v>289</v>
      </c>
      <c r="NQ3" t="s">
        <v>289</v>
      </c>
      <c r="NR3" t="s">
        <v>289</v>
      </c>
      <c r="NS3" t="s">
        <v>289</v>
      </c>
      <c r="NT3" t="s">
        <v>289</v>
      </c>
      <c r="NU3" t="s">
        <v>289</v>
      </c>
      <c r="NV3" t="s">
        <v>289</v>
      </c>
      <c r="NW3" t="s">
        <v>289</v>
      </c>
      <c r="NX3" t="s">
        <v>289</v>
      </c>
      <c r="NY3" t="s">
        <v>289</v>
      </c>
      <c r="NZ3" t="s">
        <v>289</v>
      </c>
      <c r="OA3" t="s">
        <v>289</v>
      </c>
      <c r="OB3" t="s">
        <v>289</v>
      </c>
      <c r="OC3" t="s">
        <v>289</v>
      </c>
      <c r="OD3" t="s">
        <v>289</v>
      </c>
      <c r="OE3" t="s">
        <v>289</v>
      </c>
      <c r="OF3" t="s">
        <v>289</v>
      </c>
      <c r="OG3" t="s">
        <v>289</v>
      </c>
      <c r="OH3" t="s">
        <v>289</v>
      </c>
      <c r="OI3" t="s">
        <v>289</v>
      </c>
      <c r="OJ3" t="s">
        <v>289</v>
      </c>
      <c r="OK3" t="s">
        <v>289</v>
      </c>
      <c r="OL3" t="s">
        <v>289</v>
      </c>
      <c r="OM3" t="s">
        <v>289</v>
      </c>
      <c r="ON3" t="s">
        <v>289</v>
      </c>
      <c r="OO3" t="s">
        <v>289</v>
      </c>
      <c r="OP3" t="s">
        <v>289</v>
      </c>
      <c r="OQ3" t="s">
        <v>289</v>
      </c>
      <c r="OR3" t="s">
        <v>289</v>
      </c>
      <c r="OS3" t="s">
        <v>289</v>
      </c>
      <c r="OT3" t="s">
        <v>289</v>
      </c>
      <c r="OU3" t="s">
        <v>289</v>
      </c>
      <c r="OV3" t="s">
        <v>289</v>
      </c>
      <c r="OW3" t="s">
        <v>289</v>
      </c>
      <c r="OX3" t="s">
        <v>289</v>
      </c>
      <c r="OY3" t="s">
        <v>289</v>
      </c>
      <c r="OZ3" t="s">
        <v>289</v>
      </c>
      <c r="PA3" t="s">
        <v>289</v>
      </c>
      <c r="PB3" t="s">
        <v>289</v>
      </c>
      <c r="PC3" t="s">
        <v>289</v>
      </c>
      <c r="PD3" t="s">
        <v>289</v>
      </c>
      <c r="PE3" t="s">
        <v>289</v>
      </c>
      <c r="PF3" t="s">
        <v>289</v>
      </c>
      <c r="PG3" t="s">
        <v>289</v>
      </c>
      <c r="PH3" t="s">
        <v>289</v>
      </c>
      <c r="PI3" t="s">
        <v>289</v>
      </c>
      <c r="PJ3" t="s">
        <v>289</v>
      </c>
      <c r="PK3" t="s">
        <v>289</v>
      </c>
      <c r="PL3" t="s">
        <v>289</v>
      </c>
      <c r="PM3" t="s">
        <v>289</v>
      </c>
      <c r="PN3" t="s">
        <v>289</v>
      </c>
      <c r="PO3" t="s">
        <v>289</v>
      </c>
      <c r="PP3" t="s">
        <v>289</v>
      </c>
      <c r="PQ3" t="s">
        <v>289</v>
      </c>
      <c r="PR3" t="s">
        <v>289</v>
      </c>
      <c r="PS3" t="s">
        <v>289</v>
      </c>
      <c r="PT3" t="s">
        <v>289</v>
      </c>
      <c r="PU3" t="s">
        <v>289</v>
      </c>
      <c r="PV3" t="s">
        <v>289</v>
      </c>
      <c r="PW3" t="s">
        <v>289</v>
      </c>
      <c r="PX3" t="s">
        <v>289</v>
      </c>
      <c r="PY3" t="s">
        <v>289</v>
      </c>
      <c r="PZ3" t="s">
        <v>289</v>
      </c>
      <c r="QA3" t="s">
        <v>289</v>
      </c>
      <c r="QB3" t="s">
        <v>289</v>
      </c>
      <c r="QC3" t="s">
        <v>289</v>
      </c>
      <c r="QD3" t="s">
        <v>289</v>
      </c>
      <c r="QE3" t="s">
        <v>289</v>
      </c>
      <c r="QF3" t="s">
        <v>289</v>
      </c>
      <c r="QG3" t="s">
        <v>289</v>
      </c>
      <c r="QH3" t="s">
        <v>289</v>
      </c>
      <c r="QI3" t="s">
        <v>289</v>
      </c>
      <c r="QJ3" t="s">
        <v>289</v>
      </c>
      <c r="QK3" t="s">
        <v>289</v>
      </c>
      <c r="QL3" t="s">
        <v>289</v>
      </c>
      <c r="QM3" t="s">
        <v>289</v>
      </c>
      <c r="QN3" t="s">
        <v>289</v>
      </c>
      <c r="QO3" t="s">
        <v>289</v>
      </c>
      <c r="QP3" t="s">
        <v>289</v>
      </c>
      <c r="QQ3" t="s">
        <v>289</v>
      </c>
      <c r="QR3" t="s">
        <v>289</v>
      </c>
      <c r="QS3" t="s">
        <v>289</v>
      </c>
      <c r="QT3" t="s">
        <v>289</v>
      </c>
      <c r="QU3" t="s">
        <v>289</v>
      </c>
      <c r="QV3" t="s">
        <v>289</v>
      </c>
      <c r="QW3" t="s">
        <v>289</v>
      </c>
      <c r="QX3" t="s">
        <v>289</v>
      </c>
      <c r="QY3" t="s">
        <v>289</v>
      </c>
      <c r="QZ3" t="s">
        <v>289</v>
      </c>
      <c r="RA3" t="s">
        <v>289</v>
      </c>
      <c r="RB3" t="s">
        <v>289</v>
      </c>
      <c r="RC3" t="s">
        <v>289</v>
      </c>
      <c r="RD3" t="s">
        <v>289</v>
      </c>
      <c r="RE3" t="s">
        <v>289</v>
      </c>
      <c r="RF3" t="s">
        <v>289</v>
      </c>
      <c r="RG3">
        <v>237.54</v>
      </c>
      <c r="RH3">
        <v>270.25</v>
      </c>
      <c r="RI3">
        <v>288.98200000000003</v>
      </c>
      <c r="RJ3">
        <v>274.75700000000001</v>
      </c>
      <c r="RK3">
        <v>247.71700000000001</v>
      </c>
      <c r="RL3">
        <v>260.60599999999999</v>
      </c>
      <c r="RM3">
        <v>288.74799999999999</v>
      </c>
      <c r="RN3">
        <v>351.94600000000003</v>
      </c>
      <c r="RO3">
        <v>426.637</v>
      </c>
      <c r="RP3">
        <v>455.98899999999998</v>
      </c>
      <c r="RQ3" t="s">
        <v>289</v>
      </c>
      <c r="RR3" t="s">
        <v>289</v>
      </c>
      <c r="RS3" t="s">
        <v>289</v>
      </c>
      <c r="RT3" t="s">
        <v>289</v>
      </c>
      <c r="RU3" t="s">
        <v>289</v>
      </c>
      <c r="RV3" t="s">
        <v>289</v>
      </c>
      <c r="RW3" t="s">
        <v>289</v>
      </c>
      <c r="RX3" t="s">
        <v>289</v>
      </c>
      <c r="RY3" t="s">
        <v>289</v>
      </c>
      <c r="RZ3" t="s">
        <v>289</v>
      </c>
      <c r="SA3" t="s">
        <v>289</v>
      </c>
      <c r="SB3" t="s">
        <v>289</v>
      </c>
      <c r="SC3" t="s">
        <v>289</v>
      </c>
      <c r="SD3" t="s">
        <v>289</v>
      </c>
      <c r="SE3" t="s">
        <v>289</v>
      </c>
      <c r="SF3" t="s">
        <v>289</v>
      </c>
      <c r="SG3" t="s">
        <v>289</v>
      </c>
      <c r="SH3" t="s">
        <v>289</v>
      </c>
      <c r="SI3" t="s">
        <v>289</v>
      </c>
      <c r="SJ3" t="s">
        <v>289</v>
      </c>
      <c r="SK3" t="s">
        <v>289</v>
      </c>
      <c r="SL3" t="s">
        <v>289</v>
      </c>
      <c r="SM3" t="s">
        <v>289</v>
      </c>
      <c r="SN3" t="s">
        <v>289</v>
      </c>
      <c r="SO3" t="s">
        <v>289</v>
      </c>
      <c r="SP3" t="s">
        <v>289</v>
      </c>
      <c r="SQ3" t="s">
        <v>289</v>
      </c>
      <c r="SR3" t="s">
        <v>289</v>
      </c>
      <c r="SS3" t="s">
        <v>289</v>
      </c>
      <c r="ST3" t="s">
        <v>289</v>
      </c>
      <c r="SU3" t="s">
        <v>289</v>
      </c>
      <c r="SV3" t="s">
        <v>289</v>
      </c>
      <c r="SW3" t="s">
        <v>289</v>
      </c>
      <c r="SX3" t="s">
        <v>289</v>
      </c>
      <c r="SY3" t="s">
        <v>289</v>
      </c>
      <c r="SZ3" t="s">
        <v>289</v>
      </c>
      <c r="TA3" t="s">
        <v>289</v>
      </c>
      <c r="TB3" t="s">
        <v>289</v>
      </c>
      <c r="TC3" t="s">
        <v>289</v>
      </c>
      <c r="TD3" t="s">
        <v>289</v>
      </c>
      <c r="TE3" t="s">
        <v>289</v>
      </c>
      <c r="TF3" t="s">
        <v>289</v>
      </c>
      <c r="TG3" t="s">
        <v>289</v>
      </c>
      <c r="TH3" t="s">
        <v>289</v>
      </c>
      <c r="TI3" t="s">
        <v>289</v>
      </c>
      <c r="TJ3" t="s">
        <v>289</v>
      </c>
      <c r="TK3" t="s">
        <v>289</v>
      </c>
      <c r="TL3" t="s">
        <v>289</v>
      </c>
      <c r="TM3" t="s">
        <v>289</v>
      </c>
      <c r="TN3" t="s">
        <v>289</v>
      </c>
      <c r="TO3" t="s">
        <v>289</v>
      </c>
      <c r="TP3" t="s">
        <v>289</v>
      </c>
      <c r="TQ3" t="s">
        <v>289</v>
      </c>
      <c r="TR3" t="s">
        <v>289</v>
      </c>
      <c r="TS3" t="s">
        <v>289</v>
      </c>
      <c r="TT3" t="s">
        <v>289</v>
      </c>
      <c r="TU3" t="s">
        <v>289</v>
      </c>
      <c r="TV3" t="s">
        <v>289</v>
      </c>
      <c r="TW3" t="s">
        <v>289</v>
      </c>
      <c r="TX3" t="s">
        <v>289</v>
      </c>
      <c r="TY3" t="s">
        <v>289</v>
      </c>
      <c r="TZ3" t="s">
        <v>289</v>
      </c>
      <c r="UA3" t="s">
        <v>289</v>
      </c>
      <c r="UB3" t="s">
        <v>289</v>
      </c>
      <c r="UC3" t="s">
        <v>289</v>
      </c>
      <c r="UD3" t="s">
        <v>289</v>
      </c>
      <c r="UE3" t="s">
        <v>289</v>
      </c>
      <c r="UF3" t="s">
        <v>289</v>
      </c>
      <c r="UG3" t="s">
        <v>289</v>
      </c>
      <c r="UH3" t="s">
        <v>289</v>
      </c>
      <c r="UI3" t="s">
        <v>289</v>
      </c>
      <c r="UJ3" t="s">
        <v>289</v>
      </c>
      <c r="UK3" t="s">
        <v>289</v>
      </c>
      <c r="UL3" t="s">
        <v>289</v>
      </c>
      <c r="UM3" t="s">
        <v>289</v>
      </c>
      <c r="UN3" t="s">
        <v>289</v>
      </c>
      <c r="UO3" t="s">
        <v>289</v>
      </c>
      <c r="UP3" t="s">
        <v>289</v>
      </c>
      <c r="UQ3" t="s">
        <v>289</v>
      </c>
      <c r="UR3" t="s">
        <v>289</v>
      </c>
      <c r="US3" t="s">
        <v>289</v>
      </c>
      <c r="UT3" t="s">
        <v>289</v>
      </c>
      <c r="UU3" t="s">
        <v>289</v>
      </c>
      <c r="UV3" t="s">
        <v>289</v>
      </c>
      <c r="UW3" t="s">
        <v>289</v>
      </c>
      <c r="UX3" t="s">
        <v>289</v>
      </c>
      <c r="UY3">
        <v>787.178</v>
      </c>
      <c r="UZ3">
        <v>787.178</v>
      </c>
      <c r="VA3">
        <v>787.178</v>
      </c>
      <c r="VB3">
        <v>785.18200000000002</v>
      </c>
      <c r="VC3">
        <v>785.18200000000002</v>
      </c>
      <c r="VD3">
        <v>785.18200000000002</v>
      </c>
      <c r="VE3">
        <v>785.18200000000002</v>
      </c>
      <c r="VF3">
        <v>785.18200000000002</v>
      </c>
      <c r="VG3">
        <v>785.18200000000002</v>
      </c>
      <c r="VH3" t="s">
        <v>289</v>
      </c>
      <c r="VI3" t="s">
        <v>289</v>
      </c>
      <c r="VJ3" t="s">
        <v>289</v>
      </c>
      <c r="VK3" t="s">
        <v>289</v>
      </c>
      <c r="VL3" t="s">
        <v>289</v>
      </c>
      <c r="VM3" t="s">
        <v>289</v>
      </c>
      <c r="VN3" t="s">
        <v>289</v>
      </c>
      <c r="VO3" t="s">
        <v>289</v>
      </c>
      <c r="VP3" t="s">
        <v>289</v>
      </c>
      <c r="VQ3" t="s">
        <v>289</v>
      </c>
      <c r="VR3" t="s">
        <v>289</v>
      </c>
      <c r="VS3" t="s">
        <v>289</v>
      </c>
      <c r="VT3" t="s">
        <v>289</v>
      </c>
      <c r="VU3" t="s">
        <v>289</v>
      </c>
      <c r="VV3" t="s">
        <v>289</v>
      </c>
      <c r="VW3" t="s">
        <v>289</v>
      </c>
      <c r="VX3" t="s">
        <v>289</v>
      </c>
      <c r="VY3" t="s">
        <v>289</v>
      </c>
      <c r="VZ3" t="s">
        <v>289</v>
      </c>
      <c r="WA3" t="s">
        <v>289</v>
      </c>
      <c r="WB3" t="s">
        <v>289</v>
      </c>
      <c r="WC3" t="s">
        <v>289</v>
      </c>
      <c r="WD3" t="s">
        <v>289</v>
      </c>
      <c r="WE3" t="s">
        <v>289</v>
      </c>
      <c r="WF3" t="s">
        <v>289</v>
      </c>
      <c r="WG3" t="s">
        <v>289</v>
      </c>
      <c r="WH3" t="s">
        <v>289</v>
      </c>
      <c r="WI3" t="s">
        <v>289</v>
      </c>
      <c r="WJ3" t="s">
        <v>289</v>
      </c>
      <c r="WK3" t="s">
        <v>289</v>
      </c>
      <c r="WL3" t="s">
        <v>289</v>
      </c>
      <c r="WM3" t="s">
        <v>289</v>
      </c>
      <c r="WN3" t="s">
        <v>289</v>
      </c>
      <c r="WO3" t="s">
        <v>289</v>
      </c>
      <c r="WP3" t="s">
        <v>289</v>
      </c>
      <c r="WQ3" t="s">
        <v>289</v>
      </c>
      <c r="WR3" t="s">
        <v>289</v>
      </c>
      <c r="WS3" t="s">
        <v>289</v>
      </c>
      <c r="WT3" t="s">
        <v>289</v>
      </c>
      <c r="WU3" t="s">
        <v>289</v>
      </c>
      <c r="WV3" t="s">
        <v>289</v>
      </c>
      <c r="WW3" t="s">
        <v>289</v>
      </c>
      <c r="WX3" t="s">
        <v>289</v>
      </c>
      <c r="WY3" t="s">
        <v>289</v>
      </c>
      <c r="WZ3" t="s">
        <v>289</v>
      </c>
      <c r="XA3" t="s">
        <v>289</v>
      </c>
      <c r="XB3" t="s">
        <v>289</v>
      </c>
      <c r="XC3" t="s">
        <v>289</v>
      </c>
      <c r="XD3" t="s">
        <v>289</v>
      </c>
      <c r="XE3" t="s">
        <v>289</v>
      </c>
      <c r="XF3" t="s">
        <v>289</v>
      </c>
      <c r="XG3" t="s">
        <v>289</v>
      </c>
      <c r="XH3" t="s">
        <v>289</v>
      </c>
      <c r="XI3" t="s">
        <v>289</v>
      </c>
      <c r="XJ3" t="s">
        <v>289</v>
      </c>
      <c r="XK3" t="s">
        <v>289</v>
      </c>
      <c r="XL3" t="s">
        <v>289</v>
      </c>
      <c r="XM3" t="s">
        <v>289</v>
      </c>
      <c r="XN3" t="s">
        <v>289</v>
      </c>
      <c r="XO3" t="s">
        <v>289</v>
      </c>
      <c r="XP3" t="s">
        <v>289</v>
      </c>
      <c r="XQ3" t="s">
        <v>289</v>
      </c>
      <c r="XR3" t="s">
        <v>289</v>
      </c>
      <c r="XS3" t="s">
        <v>289</v>
      </c>
      <c r="XT3" t="s">
        <v>289</v>
      </c>
      <c r="XU3" t="s">
        <v>289</v>
      </c>
      <c r="XV3" t="s">
        <v>289</v>
      </c>
      <c r="XW3" t="s">
        <v>289</v>
      </c>
      <c r="XX3" t="s">
        <v>289</v>
      </c>
      <c r="XY3" t="s">
        <v>289</v>
      </c>
      <c r="XZ3" t="s">
        <v>289</v>
      </c>
      <c r="YA3" t="s">
        <v>289</v>
      </c>
      <c r="YB3" t="s">
        <v>289</v>
      </c>
      <c r="YC3" t="s">
        <v>289</v>
      </c>
      <c r="YD3" t="s">
        <v>289</v>
      </c>
      <c r="YE3" t="s">
        <v>289</v>
      </c>
      <c r="YF3" t="s">
        <v>289</v>
      </c>
      <c r="YG3" t="s">
        <v>289</v>
      </c>
      <c r="YH3" t="s">
        <v>289</v>
      </c>
      <c r="YI3" t="s">
        <v>289</v>
      </c>
      <c r="YJ3" t="s">
        <v>289</v>
      </c>
      <c r="YK3" t="s">
        <v>289</v>
      </c>
      <c r="YL3" t="s">
        <v>289</v>
      </c>
      <c r="YM3" t="s">
        <v>289</v>
      </c>
      <c r="YN3" t="s">
        <v>289</v>
      </c>
      <c r="YO3" t="s">
        <v>289</v>
      </c>
      <c r="YP3" t="s">
        <v>289</v>
      </c>
      <c r="YQ3" t="s">
        <v>289</v>
      </c>
      <c r="YR3" t="s">
        <v>289</v>
      </c>
      <c r="YS3" t="s">
        <v>289</v>
      </c>
      <c r="YT3" t="s">
        <v>289</v>
      </c>
      <c r="YU3" t="s">
        <v>289</v>
      </c>
      <c r="YV3" t="s">
        <v>289</v>
      </c>
      <c r="YW3" t="s">
        <v>289</v>
      </c>
      <c r="YX3" t="s">
        <v>289</v>
      </c>
      <c r="YY3" t="s">
        <v>289</v>
      </c>
      <c r="YZ3" t="s">
        <v>289</v>
      </c>
      <c r="ZA3" t="s">
        <v>289</v>
      </c>
      <c r="ZB3" t="s">
        <v>289</v>
      </c>
      <c r="ZC3" t="s">
        <v>289</v>
      </c>
      <c r="ZD3" t="s">
        <v>289</v>
      </c>
      <c r="ZE3" t="s">
        <v>289</v>
      </c>
      <c r="ZF3" t="s">
        <v>289</v>
      </c>
      <c r="ZG3" t="s">
        <v>289</v>
      </c>
      <c r="ZH3" t="s">
        <v>289</v>
      </c>
      <c r="ZI3">
        <v>37.911000000000001</v>
      </c>
      <c r="ZJ3">
        <v>47.430999999999997</v>
      </c>
      <c r="ZK3">
        <v>11.836</v>
      </c>
      <c r="ZL3">
        <v>33.935000000000002</v>
      </c>
      <c r="ZM3">
        <v>30.038</v>
      </c>
      <c r="ZN3">
        <v>32.134</v>
      </c>
      <c r="ZO3">
        <v>38.716000000000001</v>
      </c>
      <c r="ZP3">
        <v>42.841000000000001</v>
      </c>
      <c r="ZQ3">
        <v>54.509</v>
      </c>
      <c r="ZR3" t="s">
        <v>289</v>
      </c>
      <c r="ZS3" t="s">
        <v>289</v>
      </c>
      <c r="ZT3" t="s">
        <v>289</v>
      </c>
      <c r="ZU3" t="s">
        <v>289</v>
      </c>
      <c r="ZV3" t="s">
        <v>289</v>
      </c>
      <c r="ZW3" t="s">
        <v>289</v>
      </c>
      <c r="ZX3" t="s">
        <v>289</v>
      </c>
      <c r="ZY3" t="s">
        <v>289</v>
      </c>
      <c r="ZZ3" t="s">
        <v>289</v>
      </c>
      <c r="AAA3" t="s">
        <v>289</v>
      </c>
      <c r="AAB3" t="s">
        <v>289</v>
      </c>
      <c r="AAC3" t="s">
        <v>289</v>
      </c>
      <c r="AAD3" t="s">
        <v>289</v>
      </c>
      <c r="AAE3" t="s">
        <v>289</v>
      </c>
      <c r="AAF3" t="s">
        <v>289</v>
      </c>
      <c r="AAG3" t="s">
        <v>289</v>
      </c>
      <c r="AAH3" t="s">
        <v>289</v>
      </c>
      <c r="AAI3" t="s">
        <v>289</v>
      </c>
      <c r="AAJ3" t="s">
        <v>289</v>
      </c>
      <c r="AAK3" t="s">
        <v>289</v>
      </c>
      <c r="AAL3" t="s">
        <v>289</v>
      </c>
      <c r="AAM3" t="s">
        <v>289</v>
      </c>
      <c r="AAN3" t="s">
        <v>289</v>
      </c>
      <c r="AAO3" t="s">
        <v>289</v>
      </c>
      <c r="AAP3" t="s">
        <v>289</v>
      </c>
      <c r="AAQ3" t="s">
        <v>289</v>
      </c>
      <c r="AAR3" t="s">
        <v>289</v>
      </c>
      <c r="AAS3" t="s">
        <v>289</v>
      </c>
      <c r="AAT3" t="s">
        <v>289</v>
      </c>
      <c r="AAU3" t="s">
        <v>289</v>
      </c>
      <c r="AAV3" t="s">
        <v>289</v>
      </c>
      <c r="AAW3" t="s">
        <v>289</v>
      </c>
      <c r="AAX3" t="s">
        <v>289</v>
      </c>
      <c r="AAY3" t="s">
        <v>289</v>
      </c>
      <c r="AAZ3" t="s">
        <v>289</v>
      </c>
      <c r="ABA3" t="s">
        <v>289</v>
      </c>
      <c r="ABB3" t="s">
        <v>289</v>
      </c>
      <c r="ABC3" t="s">
        <v>289</v>
      </c>
      <c r="ABD3" t="s">
        <v>289</v>
      </c>
      <c r="ABE3" t="s">
        <v>289</v>
      </c>
      <c r="ABF3" t="s">
        <v>289</v>
      </c>
      <c r="ABG3" t="s">
        <v>289</v>
      </c>
      <c r="ABH3" t="s">
        <v>289</v>
      </c>
      <c r="ABI3" t="s">
        <v>289</v>
      </c>
      <c r="ABJ3" t="s">
        <v>289</v>
      </c>
      <c r="ABK3" t="s">
        <v>289</v>
      </c>
      <c r="ABL3" t="s">
        <v>289</v>
      </c>
      <c r="ABM3" t="s">
        <v>289</v>
      </c>
      <c r="ABN3" t="s">
        <v>289</v>
      </c>
      <c r="ABO3" t="s">
        <v>289</v>
      </c>
      <c r="ABP3" t="s">
        <v>289</v>
      </c>
      <c r="ABQ3" t="s">
        <v>289</v>
      </c>
      <c r="ABR3" t="s">
        <v>289</v>
      </c>
      <c r="ABS3" t="s">
        <v>289</v>
      </c>
      <c r="ABT3" t="s">
        <v>289</v>
      </c>
      <c r="ABU3" t="s">
        <v>289</v>
      </c>
      <c r="ABV3" t="s">
        <v>289</v>
      </c>
      <c r="ABW3" t="s">
        <v>289</v>
      </c>
      <c r="ABX3" t="s">
        <v>289</v>
      </c>
      <c r="ABY3" t="s">
        <v>289</v>
      </c>
      <c r="ABZ3" t="s">
        <v>289</v>
      </c>
      <c r="ACA3" t="s">
        <v>289</v>
      </c>
      <c r="ACB3" t="s">
        <v>289</v>
      </c>
      <c r="ACC3" t="s">
        <v>289</v>
      </c>
      <c r="ACD3" t="s">
        <v>289</v>
      </c>
      <c r="ACE3" t="s">
        <v>289</v>
      </c>
      <c r="ACF3" t="s">
        <v>289</v>
      </c>
      <c r="ACG3" t="s">
        <v>289</v>
      </c>
      <c r="ACH3" t="s">
        <v>289</v>
      </c>
      <c r="ACI3" t="s">
        <v>289</v>
      </c>
      <c r="ACJ3" t="s">
        <v>289</v>
      </c>
      <c r="ACK3" t="s">
        <v>289</v>
      </c>
      <c r="ACL3" t="s">
        <v>289</v>
      </c>
      <c r="ACM3" t="s">
        <v>289</v>
      </c>
      <c r="ACN3" t="s">
        <v>289</v>
      </c>
      <c r="ACO3" t="s">
        <v>289</v>
      </c>
      <c r="ACP3" t="s">
        <v>289</v>
      </c>
      <c r="ACQ3" t="s">
        <v>289</v>
      </c>
      <c r="ACR3" t="s">
        <v>289</v>
      </c>
      <c r="ACS3" t="s">
        <v>289</v>
      </c>
      <c r="ACT3" t="s">
        <v>289</v>
      </c>
      <c r="ACU3" t="s">
        <v>289</v>
      </c>
      <c r="ACV3" t="s">
        <v>289</v>
      </c>
      <c r="ACW3" t="s">
        <v>289</v>
      </c>
      <c r="ACX3" t="s">
        <v>289</v>
      </c>
      <c r="ACY3" t="s">
        <v>289</v>
      </c>
      <c r="ACZ3" t="s">
        <v>289</v>
      </c>
      <c r="ADA3" t="s">
        <v>289</v>
      </c>
      <c r="ADB3" t="s">
        <v>289</v>
      </c>
      <c r="ADC3" t="s">
        <v>289</v>
      </c>
      <c r="ADD3" t="s">
        <v>289</v>
      </c>
      <c r="ADE3" t="s">
        <v>289</v>
      </c>
      <c r="ADF3" t="s">
        <v>289</v>
      </c>
      <c r="ADG3" t="s">
        <v>289</v>
      </c>
      <c r="ADH3" t="s">
        <v>289</v>
      </c>
      <c r="ADI3" t="s">
        <v>289</v>
      </c>
      <c r="ADJ3" t="s">
        <v>289</v>
      </c>
      <c r="ADK3" t="s">
        <v>289</v>
      </c>
      <c r="ADL3" t="s">
        <v>289</v>
      </c>
      <c r="ADM3" t="s">
        <v>289</v>
      </c>
      <c r="ADN3" t="s">
        <v>289</v>
      </c>
      <c r="ADO3" t="s">
        <v>289</v>
      </c>
      <c r="ADP3" t="s">
        <v>289</v>
      </c>
      <c r="ADQ3" t="s">
        <v>289</v>
      </c>
      <c r="ADR3" t="s">
        <v>289</v>
      </c>
      <c r="ADS3" t="s">
        <v>289</v>
      </c>
      <c r="ADT3" t="s">
        <v>289</v>
      </c>
      <c r="ADU3" t="s">
        <v>289</v>
      </c>
      <c r="ADV3" t="s">
        <v>289</v>
      </c>
      <c r="ADW3" t="s">
        <v>289</v>
      </c>
      <c r="ADX3" t="s">
        <v>289</v>
      </c>
      <c r="ADY3" t="s">
        <v>289</v>
      </c>
      <c r="ADZ3" t="s">
        <v>289</v>
      </c>
      <c r="AEA3" t="s">
        <v>289</v>
      </c>
      <c r="AEB3" t="s">
        <v>289</v>
      </c>
      <c r="AEC3" t="s">
        <v>289</v>
      </c>
      <c r="AED3" t="s">
        <v>289</v>
      </c>
      <c r="AEE3" t="s">
        <v>289</v>
      </c>
      <c r="AEF3" t="s">
        <v>289</v>
      </c>
      <c r="AEG3" t="s">
        <v>289</v>
      </c>
      <c r="AEH3" t="s">
        <v>289</v>
      </c>
      <c r="AEI3" t="s">
        <v>289</v>
      </c>
      <c r="AEJ3" t="s">
        <v>289</v>
      </c>
      <c r="AEK3" t="s">
        <v>289</v>
      </c>
      <c r="AEL3">
        <v>242.167</v>
      </c>
      <c r="AEM3">
        <v>265.262</v>
      </c>
      <c r="AEN3">
        <v>307.81</v>
      </c>
      <c r="AEO3">
        <v>354.39400000000001</v>
      </c>
      <c r="AEP3">
        <v>440.45600000000002</v>
      </c>
      <c r="AEQ3">
        <v>645.79700000000003</v>
      </c>
      <c r="AER3">
        <v>837.93799999999999</v>
      </c>
      <c r="AES3">
        <v>979.29</v>
      </c>
      <c r="AET3">
        <v>1138.173</v>
      </c>
      <c r="AEU3" t="s">
        <v>289</v>
      </c>
      <c r="AEV3" t="s">
        <v>289</v>
      </c>
      <c r="AEW3" t="s">
        <v>289</v>
      </c>
      <c r="AEX3" t="s">
        <v>289</v>
      </c>
      <c r="AEY3" t="s">
        <v>289</v>
      </c>
      <c r="AEZ3" t="s">
        <v>289</v>
      </c>
      <c r="AFA3" t="s">
        <v>289</v>
      </c>
      <c r="AFB3" t="s">
        <v>289</v>
      </c>
      <c r="AFC3" t="s">
        <v>289</v>
      </c>
      <c r="AFD3" t="s">
        <v>289</v>
      </c>
      <c r="AFE3" t="s">
        <v>289</v>
      </c>
      <c r="AFF3" t="s">
        <v>289</v>
      </c>
      <c r="AFG3" t="s">
        <v>289</v>
      </c>
      <c r="AFH3" t="s">
        <v>289</v>
      </c>
      <c r="AFI3" t="s">
        <v>289</v>
      </c>
      <c r="AFJ3" t="s">
        <v>289</v>
      </c>
      <c r="AFK3" t="s">
        <v>289</v>
      </c>
      <c r="AFL3" t="s">
        <v>289</v>
      </c>
      <c r="AFM3" t="s">
        <v>289</v>
      </c>
      <c r="AFN3" t="s">
        <v>289</v>
      </c>
      <c r="AFO3" t="s">
        <v>289</v>
      </c>
      <c r="AFP3" t="s">
        <v>289</v>
      </c>
      <c r="AFQ3" t="s">
        <v>289</v>
      </c>
      <c r="AFR3" t="s">
        <v>289</v>
      </c>
      <c r="AFS3" t="s">
        <v>289</v>
      </c>
      <c r="AFT3" t="s">
        <v>289</v>
      </c>
      <c r="AFU3" t="s">
        <v>289</v>
      </c>
      <c r="AFV3" t="s">
        <v>289</v>
      </c>
      <c r="AFW3" t="s">
        <v>289</v>
      </c>
      <c r="AFX3" t="s">
        <v>289</v>
      </c>
      <c r="AFY3" t="s">
        <v>289</v>
      </c>
      <c r="AFZ3" t="s">
        <v>289</v>
      </c>
      <c r="AGA3" t="s">
        <v>289</v>
      </c>
      <c r="AGB3" t="s">
        <v>289</v>
      </c>
      <c r="AGC3" t="s">
        <v>289</v>
      </c>
      <c r="AGD3" t="s">
        <v>289</v>
      </c>
      <c r="AGE3" t="s">
        <v>289</v>
      </c>
      <c r="AGF3" t="s">
        <v>289</v>
      </c>
      <c r="AGG3" t="s">
        <v>289</v>
      </c>
      <c r="AGH3" t="s">
        <v>289</v>
      </c>
      <c r="AGI3" t="s">
        <v>289</v>
      </c>
      <c r="AGJ3" t="s">
        <v>289</v>
      </c>
      <c r="AGK3" t="s">
        <v>289</v>
      </c>
      <c r="AGL3" t="s">
        <v>289</v>
      </c>
      <c r="AGM3" t="s">
        <v>289</v>
      </c>
      <c r="AGN3" t="s">
        <v>289</v>
      </c>
      <c r="AGO3" t="s">
        <v>289</v>
      </c>
      <c r="AGP3" t="s">
        <v>289</v>
      </c>
      <c r="AGQ3" t="s">
        <v>289</v>
      </c>
      <c r="AGR3" t="s">
        <v>289</v>
      </c>
      <c r="AGS3" t="s">
        <v>289</v>
      </c>
      <c r="AGT3" t="s">
        <v>289</v>
      </c>
      <c r="AGU3" t="s">
        <v>289</v>
      </c>
      <c r="AGV3" t="s">
        <v>289</v>
      </c>
      <c r="AGW3" t="s">
        <v>289</v>
      </c>
      <c r="AGX3" t="s">
        <v>289</v>
      </c>
      <c r="AGY3" t="s">
        <v>289</v>
      </c>
      <c r="AGZ3" t="s">
        <v>289</v>
      </c>
      <c r="AHA3" t="s">
        <v>289</v>
      </c>
      <c r="AHB3" t="s">
        <v>289</v>
      </c>
      <c r="AHC3" t="s">
        <v>289</v>
      </c>
      <c r="AHD3" t="s">
        <v>289</v>
      </c>
      <c r="AHE3" t="s">
        <v>289</v>
      </c>
      <c r="AHF3" t="s">
        <v>289</v>
      </c>
      <c r="AHG3" t="s">
        <v>289</v>
      </c>
      <c r="AHH3" t="s">
        <v>289</v>
      </c>
      <c r="AHI3" t="s">
        <v>289</v>
      </c>
      <c r="AHJ3" t="s">
        <v>289</v>
      </c>
      <c r="AHK3" t="s">
        <v>289</v>
      </c>
      <c r="AHL3" t="s">
        <v>289</v>
      </c>
      <c r="AHM3" t="s">
        <v>289</v>
      </c>
      <c r="AHN3" t="s">
        <v>289</v>
      </c>
      <c r="AHO3" t="s">
        <v>289</v>
      </c>
      <c r="AHP3" t="s">
        <v>289</v>
      </c>
      <c r="AHQ3" t="s">
        <v>289</v>
      </c>
      <c r="AHR3" t="s">
        <v>289</v>
      </c>
      <c r="AHS3" t="s">
        <v>289</v>
      </c>
      <c r="AHT3" t="s">
        <v>289</v>
      </c>
      <c r="AHU3" t="s">
        <v>289</v>
      </c>
      <c r="AHV3" t="s">
        <v>289</v>
      </c>
      <c r="AHW3" t="s">
        <v>289</v>
      </c>
      <c r="AHX3" t="s">
        <v>289</v>
      </c>
      <c r="AHY3" t="s">
        <v>289</v>
      </c>
      <c r="AHZ3" t="s">
        <v>289</v>
      </c>
      <c r="AIA3" t="s">
        <v>289</v>
      </c>
      <c r="AIB3" t="s">
        <v>289</v>
      </c>
      <c r="AIC3" t="s">
        <v>289</v>
      </c>
      <c r="AID3" t="s">
        <v>289</v>
      </c>
      <c r="AIE3" t="s">
        <v>289</v>
      </c>
      <c r="AIF3" t="s">
        <v>289</v>
      </c>
      <c r="AIG3" t="s">
        <v>289</v>
      </c>
      <c r="AIH3" t="s">
        <v>289</v>
      </c>
      <c r="AII3" t="s">
        <v>289</v>
      </c>
      <c r="AIJ3" t="s">
        <v>289</v>
      </c>
      <c r="AIK3" t="s">
        <v>289</v>
      </c>
      <c r="AIL3" t="s">
        <v>289</v>
      </c>
      <c r="AIM3" t="s">
        <v>289</v>
      </c>
      <c r="AIN3" t="s">
        <v>289</v>
      </c>
      <c r="AIO3" t="s">
        <v>289</v>
      </c>
      <c r="AIP3" t="s">
        <v>289</v>
      </c>
      <c r="AIQ3" t="s">
        <v>289</v>
      </c>
      <c r="AIR3" t="s">
        <v>289</v>
      </c>
      <c r="AIS3" t="s">
        <v>289</v>
      </c>
      <c r="AIT3" t="s">
        <v>289</v>
      </c>
      <c r="AIU3" t="s">
        <v>289</v>
      </c>
      <c r="AIV3">
        <v>567.81399999999996</v>
      </c>
      <c r="AIW3">
        <v>585.18499999999995</v>
      </c>
      <c r="AIX3">
        <v>626.13</v>
      </c>
      <c r="AIY3">
        <v>669.28300000000002</v>
      </c>
      <c r="AIZ3">
        <v>710.26</v>
      </c>
      <c r="AJA3">
        <v>850.55</v>
      </c>
      <c r="AJB3">
        <v>1069.652</v>
      </c>
      <c r="AJC3">
        <v>1226.6300000000001</v>
      </c>
      <c r="AJD3">
        <v>1353.165</v>
      </c>
      <c r="AJE3" t="s">
        <v>289</v>
      </c>
      <c r="AJF3" t="s">
        <v>289</v>
      </c>
      <c r="AJG3" t="s">
        <v>289</v>
      </c>
      <c r="AJH3" t="s">
        <v>289</v>
      </c>
      <c r="AJI3" t="s">
        <v>289</v>
      </c>
      <c r="AJJ3" t="s">
        <v>289</v>
      </c>
      <c r="AJK3" t="s">
        <v>289</v>
      </c>
      <c r="AJL3" t="s">
        <v>289</v>
      </c>
      <c r="AJM3" t="s">
        <v>289</v>
      </c>
      <c r="AJN3">
        <v>2225.2069999999999</v>
      </c>
      <c r="AJO3">
        <v>2335.27</v>
      </c>
      <c r="AJP3">
        <v>2762.36</v>
      </c>
      <c r="AJQ3">
        <v>2854.3690000000001</v>
      </c>
      <c r="AJR3">
        <v>3105.0839999999998</v>
      </c>
      <c r="AJS3">
        <v>3416.89</v>
      </c>
      <c r="AJT3">
        <v>3420.3209999999999</v>
      </c>
      <c r="AJU3">
        <v>3766.6149999999998</v>
      </c>
      <c r="AJV3">
        <v>3459.79</v>
      </c>
      <c r="AJW3">
        <v>4270.8940000000002</v>
      </c>
      <c r="AJX3" t="s">
        <v>289</v>
      </c>
      <c r="AJY3" t="s">
        <v>289</v>
      </c>
      <c r="AJZ3" t="s">
        <v>289</v>
      </c>
      <c r="AKA3" t="s">
        <v>289</v>
      </c>
      <c r="AKB3" t="s">
        <v>289</v>
      </c>
      <c r="AKC3" t="s">
        <v>289</v>
      </c>
      <c r="AKD3" t="s">
        <v>289</v>
      </c>
      <c r="AKE3" t="s">
        <v>289</v>
      </c>
      <c r="AKF3" t="s">
        <v>289</v>
      </c>
      <c r="AKG3" t="s">
        <v>289</v>
      </c>
      <c r="AKH3" t="s">
        <v>289</v>
      </c>
      <c r="AKI3" t="s">
        <v>289</v>
      </c>
      <c r="AKJ3" t="s">
        <v>289</v>
      </c>
      <c r="AKK3" t="s">
        <v>289</v>
      </c>
      <c r="AKL3" t="s">
        <v>289</v>
      </c>
      <c r="AKM3" t="s">
        <v>289</v>
      </c>
      <c r="AKN3" t="s">
        <v>289</v>
      </c>
      <c r="AKO3" t="s">
        <v>289</v>
      </c>
      <c r="AKP3" t="s">
        <v>289</v>
      </c>
      <c r="AKQ3" t="s">
        <v>289</v>
      </c>
      <c r="AKR3" t="s">
        <v>289</v>
      </c>
      <c r="AKS3" t="s">
        <v>289</v>
      </c>
      <c r="AKT3" t="s">
        <v>289</v>
      </c>
      <c r="AKU3" t="s">
        <v>289</v>
      </c>
      <c r="AKV3" t="s">
        <v>289</v>
      </c>
      <c r="AKW3" t="s">
        <v>289</v>
      </c>
      <c r="AKX3" t="s">
        <v>289</v>
      </c>
      <c r="AKY3" t="s">
        <v>289</v>
      </c>
      <c r="AKZ3" t="s">
        <v>289</v>
      </c>
      <c r="ALA3">
        <v>3895.4749999999999</v>
      </c>
      <c r="ALB3">
        <v>4641.4269999999997</v>
      </c>
      <c r="ALC3">
        <v>3875.3989999999999</v>
      </c>
      <c r="ALD3">
        <v>3849.6039999999998</v>
      </c>
      <c r="ALE3">
        <v>4141.1040000000003</v>
      </c>
      <c r="ALF3">
        <v>4851.7330000000002</v>
      </c>
      <c r="ALG3">
        <v>5446.3720000000003</v>
      </c>
      <c r="ALH3">
        <v>6262.0469999999996</v>
      </c>
      <c r="ALI3">
        <v>6863.5050000000001</v>
      </c>
      <c r="ALJ3" t="s">
        <v>289</v>
      </c>
      <c r="ALK3" t="s">
        <v>289</v>
      </c>
      <c r="ALL3" t="s">
        <v>289</v>
      </c>
      <c r="ALM3" t="s">
        <v>289</v>
      </c>
      <c r="ALN3" t="s">
        <v>289</v>
      </c>
      <c r="ALO3" t="s">
        <v>289</v>
      </c>
      <c r="ALP3" t="s">
        <v>289</v>
      </c>
      <c r="ALQ3" t="s">
        <v>289</v>
      </c>
      <c r="ALR3" t="s">
        <v>289</v>
      </c>
      <c r="ALS3" t="s">
        <v>289</v>
      </c>
      <c r="ALT3">
        <v>2218.8620000000001</v>
      </c>
      <c r="ALU3">
        <v>2844.6550000000002</v>
      </c>
      <c r="ALV3">
        <v>2019.8230000000001</v>
      </c>
      <c r="ALW3">
        <v>1887.453</v>
      </c>
      <c r="ALX3">
        <v>2081.0770000000002</v>
      </c>
      <c r="ALY3">
        <v>2477.326</v>
      </c>
      <c r="ALZ3">
        <v>2641.201</v>
      </c>
      <c r="AMA3">
        <v>3075.8829999999998</v>
      </c>
      <c r="AMB3">
        <v>3363.7190000000001</v>
      </c>
      <c r="AMC3" t="s">
        <v>289</v>
      </c>
      <c r="AMD3" t="s">
        <v>289</v>
      </c>
      <c r="AME3" t="s">
        <v>289</v>
      </c>
      <c r="AMF3" t="s">
        <v>289</v>
      </c>
      <c r="AMG3" t="s">
        <v>289</v>
      </c>
      <c r="AMH3" t="s">
        <v>289</v>
      </c>
      <c r="AMI3" t="s">
        <v>289</v>
      </c>
      <c r="AMJ3" t="s">
        <v>289</v>
      </c>
      <c r="AMK3" t="s">
        <v>289</v>
      </c>
      <c r="AML3" t="s">
        <v>289</v>
      </c>
      <c r="AMM3" t="s">
        <v>289</v>
      </c>
      <c r="AMN3" t="s">
        <v>289</v>
      </c>
      <c r="AMO3" t="s">
        <v>289</v>
      </c>
      <c r="AMP3" t="s">
        <v>289</v>
      </c>
      <c r="AMQ3" t="s">
        <v>289</v>
      </c>
      <c r="AMR3" t="s">
        <v>289</v>
      </c>
      <c r="AMS3" t="s">
        <v>289</v>
      </c>
      <c r="AMT3" t="s">
        <v>289</v>
      </c>
      <c r="AMU3" t="s">
        <v>289</v>
      </c>
      <c r="AMV3" t="s">
        <v>289</v>
      </c>
      <c r="AMW3" t="s">
        <v>289</v>
      </c>
      <c r="AMX3" t="s">
        <v>289</v>
      </c>
      <c r="AMY3" t="s">
        <v>289</v>
      </c>
      <c r="AMZ3" t="s">
        <v>289</v>
      </c>
      <c r="ANA3" t="s">
        <v>289</v>
      </c>
      <c r="ANB3" t="s">
        <v>289</v>
      </c>
      <c r="ANC3" t="s">
        <v>289</v>
      </c>
      <c r="AND3" t="s">
        <v>289</v>
      </c>
      <c r="ANE3" t="s">
        <v>289</v>
      </c>
      <c r="ANF3" t="s">
        <v>289</v>
      </c>
      <c r="ANG3" t="s">
        <v>289</v>
      </c>
      <c r="ANH3" t="s">
        <v>289</v>
      </c>
      <c r="ANI3" t="s">
        <v>289</v>
      </c>
      <c r="ANJ3" t="s">
        <v>289</v>
      </c>
      <c r="ANK3" t="s">
        <v>289</v>
      </c>
      <c r="ANL3" t="s">
        <v>289</v>
      </c>
      <c r="ANM3" t="s">
        <v>289</v>
      </c>
      <c r="ANN3" t="s">
        <v>289</v>
      </c>
      <c r="ANO3" t="s">
        <v>289</v>
      </c>
      <c r="ANP3" t="s">
        <v>289</v>
      </c>
      <c r="ANQ3" t="s">
        <v>289</v>
      </c>
      <c r="ANR3" t="s">
        <v>289</v>
      </c>
      <c r="ANS3" t="s">
        <v>289</v>
      </c>
      <c r="ANT3" t="s">
        <v>289</v>
      </c>
      <c r="ANU3" t="s">
        <v>289</v>
      </c>
      <c r="ANV3" t="s">
        <v>289</v>
      </c>
      <c r="ANW3" t="s">
        <v>289</v>
      </c>
      <c r="ANX3" t="s">
        <v>289</v>
      </c>
      <c r="ANY3" t="s">
        <v>289</v>
      </c>
      <c r="ANZ3" t="s">
        <v>289</v>
      </c>
      <c r="AOA3" t="s">
        <v>289</v>
      </c>
      <c r="AOB3" t="s">
        <v>289</v>
      </c>
      <c r="AOC3" t="s">
        <v>289</v>
      </c>
      <c r="AOD3" t="s">
        <v>289</v>
      </c>
      <c r="AOE3" t="s">
        <v>289</v>
      </c>
      <c r="AOF3" t="s">
        <v>289</v>
      </c>
      <c r="AOG3" t="s">
        <v>289</v>
      </c>
      <c r="AOH3" t="s">
        <v>289</v>
      </c>
      <c r="AOI3" t="s">
        <v>289</v>
      </c>
      <c r="AOJ3" t="s">
        <v>289</v>
      </c>
      <c r="AOK3" t="s">
        <v>289</v>
      </c>
      <c r="AOL3" t="s">
        <v>289</v>
      </c>
      <c r="AOM3" t="s">
        <v>289</v>
      </c>
      <c r="AON3" t="s">
        <v>289</v>
      </c>
      <c r="AOO3" t="s">
        <v>289</v>
      </c>
      <c r="AOP3" t="s">
        <v>289</v>
      </c>
      <c r="AOQ3" t="s">
        <v>289</v>
      </c>
      <c r="AOR3" t="s">
        <v>289</v>
      </c>
      <c r="AOS3" t="s">
        <v>289</v>
      </c>
      <c r="AOT3" t="s">
        <v>289</v>
      </c>
      <c r="AOU3" t="s">
        <v>289</v>
      </c>
      <c r="AOV3" t="s">
        <v>289</v>
      </c>
      <c r="AOW3" t="s">
        <v>289</v>
      </c>
      <c r="AOX3" t="s">
        <v>289</v>
      </c>
      <c r="AOY3" t="s">
        <v>289</v>
      </c>
      <c r="AOZ3" t="s">
        <v>289</v>
      </c>
      <c r="APA3" t="s">
        <v>289</v>
      </c>
      <c r="APB3" t="s">
        <v>289</v>
      </c>
      <c r="APC3" t="s">
        <v>289</v>
      </c>
      <c r="APD3" t="s">
        <v>289</v>
      </c>
      <c r="APE3" t="s">
        <v>289</v>
      </c>
      <c r="APF3" t="s">
        <v>289</v>
      </c>
      <c r="APG3" t="s">
        <v>289</v>
      </c>
      <c r="APH3" t="s">
        <v>289</v>
      </c>
      <c r="API3" t="s">
        <v>289</v>
      </c>
      <c r="APJ3" t="s">
        <v>289</v>
      </c>
      <c r="APK3" t="s">
        <v>289</v>
      </c>
      <c r="APL3" t="s">
        <v>289</v>
      </c>
      <c r="APM3" t="s">
        <v>289</v>
      </c>
      <c r="APN3" t="s">
        <v>289</v>
      </c>
      <c r="APO3">
        <v>117.122</v>
      </c>
      <c r="APP3">
        <v>132.364</v>
      </c>
      <c r="APQ3">
        <v>160.464</v>
      </c>
      <c r="APR3">
        <v>208.685</v>
      </c>
      <c r="APS3">
        <v>225.892</v>
      </c>
      <c r="APT3" t="s">
        <v>289</v>
      </c>
      <c r="APU3" t="s">
        <v>289</v>
      </c>
      <c r="APV3" t="s">
        <v>289</v>
      </c>
      <c r="APW3" t="s">
        <v>289</v>
      </c>
      <c r="APX3" t="s">
        <v>289</v>
      </c>
      <c r="APY3" t="s">
        <v>289</v>
      </c>
      <c r="APZ3" t="s">
        <v>289</v>
      </c>
      <c r="AQA3" t="s">
        <v>289</v>
      </c>
      <c r="AQB3" t="s">
        <v>289</v>
      </c>
      <c r="AQC3" t="s">
        <v>289</v>
      </c>
      <c r="AQD3" t="s">
        <v>289</v>
      </c>
      <c r="AQE3" t="s">
        <v>289</v>
      </c>
      <c r="AQF3" t="s">
        <v>289</v>
      </c>
      <c r="AQG3" t="s">
        <v>289</v>
      </c>
      <c r="AQH3" t="s">
        <v>289</v>
      </c>
      <c r="AQI3" t="s">
        <v>289</v>
      </c>
      <c r="AQJ3" t="s">
        <v>289</v>
      </c>
      <c r="AQK3" t="s">
        <v>289</v>
      </c>
      <c r="AQL3" t="s">
        <v>289</v>
      </c>
      <c r="AQM3" t="s">
        <v>289</v>
      </c>
      <c r="AQN3" t="s">
        <v>289</v>
      </c>
      <c r="AQO3" t="s">
        <v>289</v>
      </c>
      <c r="AQP3" t="s">
        <v>289</v>
      </c>
      <c r="AQQ3" t="s">
        <v>289</v>
      </c>
      <c r="AQR3" t="s">
        <v>289</v>
      </c>
      <c r="AQS3" t="s">
        <v>289</v>
      </c>
      <c r="AQT3" t="s">
        <v>289</v>
      </c>
      <c r="AQU3" t="s">
        <v>289</v>
      </c>
      <c r="AQV3" t="s">
        <v>289</v>
      </c>
      <c r="AQW3" t="s">
        <v>289</v>
      </c>
      <c r="AQX3" t="s">
        <v>289</v>
      </c>
      <c r="AQY3" t="s">
        <v>289</v>
      </c>
      <c r="AQZ3" t="s">
        <v>289</v>
      </c>
      <c r="ARA3">
        <v>117.122</v>
      </c>
      <c r="ARB3">
        <v>132.364</v>
      </c>
      <c r="ARC3">
        <v>160.464</v>
      </c>
      <c r="ARD3">
        <v>208.685</v>
      </c>
      <c r="ARE3">
        <v>225.892</v>
      </c>
      <c r="ARF3" t="s">
        <v>289</v>
      </c>
      <c r="ARG3" t="s">
        <v>289</v>
      </c>
      <c r="ARH3" t="s">
        <v>289</v>
      </c>
      <c r="ARI3" t="s">
        <v>289</v>
      </c>
      <c r="ARJ3" t="s">
        <v>289</v>
      </c>
      <c r="ARK3" t="s">
        <v>289</v>
      </c>
      <c r="ARL3" t="s">
        <v>289</v>
      </c>
      <c r="ARM3" t="s">
        <v>289</v>
      </c>
      <c r="ARN3" t="s">
        <v>289</v>
      </c>
      <c r="ARO3" t="s">
        <v>289</v>
      </c>
      <c r="ARP3" t="s">
        <v>289</v>
      </c>
      <c r="ARQ3" t="s">
        <v>289</v>
      </c>
      <c r="ARR3" t="s">
        <v>289</v>
      </c>
      <c r="ARS3" t="s">
        <v>289</v>
      </c>
      <c r="ART3" t="s">
        <v>289</v>
      </c>
      <c r="ARU3" t="s">
        <v>289</v>
      </c>
      <c r="ARV3" t="s">
        <v>289</v>
      </c>
      <c r="ARW3" t="s">
        <v>289</v>
      </c>
      <c r="ARX3" t="s">
        <v>289</v>
      </c>
      <c r="ARY3" t="s">
        <v>289</v>
      </c>
      <c r="ARZ3" t="s">
        <v>289</v>
      </c>
      <c r="ASA3" t="s">
        <v>289</v>
      </c>
      <c r="ASB3" t="s">
        <v>289</v>
      </c>
      <c r="ASC3" t="s">
        <v>289</v>
      </c>
      <c r="ASD3" t="s">
        <v>289</v>
      </c>
      <c r="ASE3" t="s">
        <v>289</v>
      </c>
      <c r="ASF3" t="s">
        <v>289</v>
      </c>
      <c r="ASG3" t="s">
        <v>289</v>
      </c>
      <c r="ASH3" t="s">
        <v>289</v>
      </c>
      <c r="ASI3" t="s">
        <v>289</v>
      </c>
      <c r="ASJ3" t="s">
        <v>289</v>
      </c>
      <c r="ASK3" t="s">
        <v>289</v>
      </c>
      <c r="ASL3" t="s">
        <v>289</v>
      </c>
      <c r="ASM3" t="s">
        <v>289</v>
      </c>
      <c r="ASN3" t="s">
        <v>289</v>
      </c>
      <c r="ASO3" t="s">
        <v>289</v>
      </c>
      <c r="ASP3" t="s">
        <v>289</v>
      </c>
      <c r="ASQ3" t="s">
        <v>289</v>
      </c>
      <c r="ASR3" t="s">
        <v>289</v>
      </c>
      <c r="ASS3" t="s">
        <v>289</v>
      </c>
      <c r="AST3" t="s">
        <v>289</v>
      </c>
      <c r="ASU3" t="s">
        <v>289</v>
      </c>
      <c r="ASV3" t="s">
        <v>289</v>
      </c>
      <c r="ASW3" t="s">
        <v>289</v>
      </c>
      <c r="ASX3" t="s">
        <v>289</v>
      </c>
      <c r="ASY3" t="s">
        <v>289</v>
      </c>
      <c r="ASZ3" t="s">
        <v>289</v>
      </c>
      <c r="ATA3" t="s">
        <v>289</v>
      </c>
      <c r="ATB3" t="s">
        <v>289</v>
      </c>
      <c r="ATC3" t="s">
        <v>289</v>
      </c>
      <c r="ATD3" t="s">
        <v>289</v>
      </c>
      <c r="ATE3" t="s">
        <v>289</v>
      </c>
      <c r="ATF3" t="s">
        <v>289</v>
      </c>
      <c r="ATG3" t="s">
        <v>289</v>
      </c>
      <c r="ATH3" t="s">
        <v>289</v>
      </c>
      <c r="ATI3" t="s">
        <v>289</v>
      </c>
      <c r="ATJ3" t="s">
        <v>289</v>
      </c>
      <c r="ATK3" t="s">
        <v>289</v>
      </c>
      <c r="ATL3" t="s">
        <v>289</v>
      </c>
      <c r="ATM3" t="s">
        <v>289</v>
      </c>
      <c r="ATN3" t="s">
        <v>289</v>
      </c>
      <c r="ATO3" t="s">
        <v>289</v>
      </c>
      <c r="ATP3" t="s">
        <v>289</v>
      </c>
      <c r="ATQ3" t="s">
        <v>289</v>
      </c>
      <c r="ATR3" t="s">
        <v>289</v>
      </c>
      <c r="ATS3" t="s">
        <v>289</v>
      </c>
      <c r="ATT3" t="s">
        <v>289</v>
      </c>
      <c r="ATU3" t="s">
        <v>289</v>
      </c>
      <c r="ATV3" t="s">
        <v>289</v>
      </c>
      <c r="ATW3" t="s">
        <v>289</v>
      </c>
      <c r="ATX3" t="s">
        <v>289</v>
      </c>
      <c r="ATY3" t="s">
        <v>289</v>
      </c>
      <c r="ATZ3" t="s">
        <v>289</v>
      </c>
      <c r="AUA3" t="s">
        <v>289</v>
      </c>
      <c r="AUB3" t="s">
        <v>289</v>
      </c>
      <c r="AUC3" t="s">
        <v>289</v>
      </c>
      <c r="AUD3" t="s">
        <v>289</v>
      </c>
      <c r="AUE3" t="s">
        <v>289</v>
      </c>
      <c r="AUF3" t="s">
        <v>289</v>
      </c>
      <c r="AUG3" t="s">
        <v>289</v>
      </c>
      <c r="AUH3" t="s">
        <v>289</v>
      </c>
      <c r="AUI3" t="s">
        <v>289</v>
      </c>
      <c r="AUJ3" t="s">
        <v>289</v>
      </c>
      <c r="AUK3" t="s">
        <v>289</v>
      </c>
      <c r="AUL3" t="s">
        <v>289</v>
      </c>
      <c r="AUM3" t="s">
        <v>289</v>
      </c>
      <c r="AUN3" t="s">
        <v>289</v>
      </c>
      <c r="AUO3" t="s">
        <v>289</v>
      </c>
      <c r="AUP3" t="s">
        <v>289</v>
      </c>
      <c r="AUQ3" t="s">
        <v>289</v>
      </c>
      <c r="AUR3" t="s">
        <v>289</v>
      </c>
      <c r="AUS3" t="s">
        <v>289</v>
      </c>
      <c r="AUT3" t="s">
        <v>289</v>
      </c>
      <c r="AUU3" t="s">
        <v>289</v>
      </c>
      <c r="AUV3" t="s">
        <v>289</v>
      </c>
      <c r="AUW3" t="s">
        <v>289</v>
      </c>
      <c r="AUX3" t="s">
        <v>289</v>
      </c>
      <c r="AUY3" t="s">
        <v>289</v>
      </c>
      <c r="AUZ3" t="s">
        <v>289</v>
      </c>
      <c r="AVA3" t="s">
        <v>289</v>
      </c>
      <c r="AVB3" t="s">
        <v>289</v>
      </c>
      <c r="AVC3" t="s">
        <v>289</v>
      </c>
      <c r="AVD3" t="s">
        <v>289</v>
      </c>
      <c r="AVE3" t="s">
        <v>289</v>
      </c>
      <c r="AVF3" t="s">
        <v>289</v>
      </c>
      <c r="AVG3" t="s">
        <v>289</v>
      </c>
      <c r="AVH3" t="s">
        <v>289</v>
      </c>
      <c r="AVI3" t="s">
        <v>289</v>
      </c>
      <c r="AVJ3" t="s">
        <v>289</v>
      </c>
      <c r="AVK3" t="s">
        <v>289</v>
      </c>
      <c r="AVL3" t="s">
        <v>289</v>
      </c>
      <c r="AVM3" t="s">
        <v>289</v>
      </c>
      <c r="AVN3" t="s">
        <v>289</v>
      </c>
      <c r="AVO3" t="s">
        <v>289</v>
      </c>
      <c r="AVP3" t="s">
        <v>289</v>
      </c>
      <c r="AVQ3" t="s">
        <v>289</v>
      </c>
      <c r="AVR3" t="s">
        <v>289</v>
      </c>
      <c r="AVS3" t="s">
        <v>289</v>
      </c>
      <c r="AVT3" t="s">
        <v>289</v>
      </c>
      <c r="AVU3" t="s">
        <v>289</v>
      </c>
      <c r="AVV3" t="s">
        <v>289</v>
      </c>
      <c r="AVW3" t="s">
        <v>289</v>
      </c>
      <c r="AVX3" t="s">
        <v>289</v>
      </c>
      <c r="AVY3" t="s">
        <v>289</v>
      </c>
      <c r="AVZ3" t="s">
        <v>289</v>
      </c>
      <c r="AWA3" t="s">
        <v>289</v>
      </c>
      <c r="AWB3" t="s">
        <v>289</v>
      </c>
      <c r="AWC3" t="s">
        <v>289</v>
      </c>
      <c r="AWD3" t="s">
        <v>289</v>
      </c>
      <c r="AWE3" t="s">
        <v>289</v>
      </c>
      <c r="AWF3" t="s">
        <v>289</v>
      </c>
      <c r="AWG3" t="s">
        <v>289</v>
      </c>
      <c r="AWH3" t="s">
        <v>289</v>
      </c>
      <c r="AWI3" t="s">
        <v>289</v>
      </c>
      <c r="AWJ3" t="s">
        <v>289</v>
      </c>
      <c r="AWK3" t="s">
        <v>289</v>
      </c>
      <c r="AWL3" t="s">
        <v>289</v>
      </c>
      <c r="AWM3" t="s">
        <v>289</v>
      </c>
      <c r="AWN3" t="s">
        <v>289</v>
      </c>
      <c r="AWO3" t="s">
        <v>289</v>
      </c>
      <c r="AWP3" t="s">
        <v>289</v>
      </c>
      <c r="AWQ3" t="s">
        <v>289</v>
      </c>
      <c r="AWR3" t="s">
        <v>289</v>
      </c>
      <c r="AWS3" t="s">
        <v>289</v>
      </c>
      <c r="AWT3" t="s">
        <v>289</v>
      </c>
      <c r="AWU3" t="s">
        <v>289</v>
      </c>
      <c r="AWV3" t="s">
        <v>289</v>
      </c>
      <c r="AWW3" t="s">
        <v>289</v>
      </c>
      <c r="AWX3" t="s">
        <v>289</v>
      </c>
      <c r="AWY3" t="s">
        <v>289</v>
      </c>
      <c r="AWZ3" t="s">
        <v>289</v>
      </c>
      <c r="AXA3" t="s">
        <v>289</v>
      </c>
      <c r="AXB3" t="s">
        <v>289</v>
      </c>
      <c r="AXC3" t="s">
        <v>289</v>
      </c>
      <c r="AXD3" t="s">
        <v>289</v>
      </c>
      <c r="AXE3" t="s">
        <v>289</v>
      </c>
      <c r="AXF3" t="s">
        <v>289</v>
      </c>
      <c r="AXG3" t="s">
        <v>289</v>
      </c>
      <c r="AXH3" t="s">
        <v>289</v>
      </c>
      <c r="AXI3" t="s">
        <v>289</v>
      </c>
      <c r="AXJ3" t="s">
        <v>289</v>
      </c>
      <c r="AXK3" t="s">
        <v>289</v>
      </c>
      <c r="AXL3" t="s">
        <v>289</v>
      </c>
      <c r="AXM3" t="s">
        <v>289</v>
      </c>
      <c r="AXN3" t="s">
        <v>289</v>
      </c>
      <c r="AXO3" t="s">
        <v>289</v>
      </c>
      <c r="AXP3">
        <v>260.60599999999999</v>
      </c>
      <c r="AXQ3">
        <v>288.74799999999999</v>
      </c>
      <c r="AXR3">
        <v>351.94600000000003</v>
      </c>
      <c r="AXS3">
        <v>426.637</v>
      </c>
      <c r="AXT3">
        <v>455.98899999999998</v>
      </c>
      <c r="AXU3" t="s">
        <v>289</v>
      </c>
      <c r="AXV3" t="s">
        <v>289</v>
      </c>
      <c r="AXW3" t="s">
        <v>289</v>
      </c>
      <c r="AXX3" t="s">
        <v>289</v>
      </c>
      <c r="AXY3" t="s">
        <v>289</v>
      </c>
      <c r="AXZ3" t="s">
        <v>289</v>
      </c>
      <c r="AYA3" t="s">
        <v>289</v>
      </c>
      <c r="AYB3" t="s">
        <v>289</v>
      </c>
      <c r="AYC3" t="s">
        <v>289</v>
      </c>
      <c r="AYD3" t="s">
        <v>289</v>
      </c>
      <c r="AYE3" t="s">
        <v>289</v>
      </c>
      <c r="AYF3" t="s">
        <v>289</v>
      </c>
      <c r="AYG3" t="s">
        <v>289</v>
      </c>
      <c r="AYH3" t="s">
        <v>289</v>
      </c>
      <c r="AYI3" t="s">
        <v>289</v>
      </c>
      <c r="AYJ3" t="s">
        <v>289</v>
      </c>
      <c r="AYK3" t="s">
        <v>289</v>
      </c>
      <c r="AYL3" t="s">
        <v>289</v>
      </c>
      <c r="AYM3" t="s">
        <v>289</v>
      </c>
      <c r="AYN3" t="s">
        <v>289</v>
      </c>
      <c r="AYO3" t="s">
        <v>289</v>
      </c>
      <c r="AYP3" t="s">
        <v>289</v>
      </c>
      <c r="AYQ3" t="s">
        <v>289</v>
      </c>
      <c r="AYR3" t="s">
        <v>289</v>
      </c>
      <c r="AYS3" t="s">
        <v>289</v>
      </c>
      <c r="AYT3" t="s">
        <v>289</v>
      </c>
      <c r="AYU3" t="s">
        <v>289</v>
      </c>
      <c r="AYV3" t="s">
        <v>289</v>
      </c>
      <c r="AYW3" t="s">
        <v>289</v>
      </c>
      <c r="AYX3" t="s">
        <v>289</v>
      </c>
      <c r="AYY3" t="s">
        <v>289</v>
      </c>
      <c r="AYZ3" t="s">
        <v>289</v>
      </c>
      <c r="AZA3" t="s">
        <v>289</v>
      </c>
      <c r="AZB3" t="s">
        <v>289</v>
      </c>
      <c r="AZC3" t="s">
        <v>289</v>
      </c>
      <c r="AZD3" t="s">
        <v>289</v>
      </c>
      <c r="AZE3" t="s">
        <v>289</v>
      </c>
      <c r="AZF3" t="s">
        <v>289</v>
      </c>
      <c r="AZG3" t="s">
        <v>289</v>
      </c>
      <c r="AZH3" t="s">
        <v>289</v>
      </c>
      <c r="AZI3" t="s">
        <v>289</v>
      </c>
      <c r="AZJ3" t="s">
        <v>289</v>
      </c>
      <c r="AZK3" t="s">
        <v>289</v>
      </c>
      <c r="AZL3" t="s">
        <v>289</v>
      </c>
      <c r="AZM3" t="s">
        <v>289</v>
      </c>
      <c r="AZN3" t="s">
        <v>289</v>
      </c>
      <c r="AZO3" t="s">
        <v>289</v>
      </c>
      <c r="AZP3" t="s">
        <v>289</v>
      </c>
      <c r="AZQ3">
        <v>229.80600000000001</v>
      </c>
      <c r="AZR3">
        <v>249.74</v>
      </c>
      <c r="AZS3">
        <v>294.339</v>
      </c>
      <c r="AZT3">
        <v>341.00299999999999</v>
      </c>
      <c r="AZU3">
        <v>414.37599999999998</v>
      </c>
      <c r="AZV3">
        <v>620.09900000000005</v>
      </c>
      <c r="AZW3">
        <v>806.74800000000005</v>
      </c>
      <c r="AZX3">
        <v>944.04</v>
      </c>
      <c r="AZY3">
        <v>1112.126</v>
      </c>
      <c r="AZZ3" t="s">
        <v>289</v>
      </c>
      <c r="BAA3" t="s">
        <v>289</v>
      </c>
      <c r="BAB3" t="s">
        <v>289</v>
      </c>
      <c r="BAC3" t="s">
        <v>289</v>
      </c>
      <c r="BAD3" t="s">
        <v>289</v>
      </c>
      <c r="BAE3" t="s">
        <v>289</v>
      </c>
      <c r="BAF3" t="s">
        <v>289</v>
      </c>
      <c r="BAG3" t="s">
        <v>289</v>
      </c>
      <c r="BAH3" t="s">
        <v>289</v>
      </c>
      <c r="BAI3" t="s">
        <v>289</v>
      </c>
      <c r="BAJ3" t="s">
        <v>289</v>
      </c>
      <c r="BAK3" t="s">
        <v>289</v>
      </c>
      <c r="BAL3" t="s">
        <v>289</v>
      </c>
      <c r="BAM3" t="s">
        <v>289</v>
      </c>
      <c r="BAN3" t="s">
        <v>289</v>
      </c>
      <c r="BAO3" t="s">
        <v>289</v>
      </c>
      <c r="BAP3" t="s">
        <v>289</v>
      </c>
      <c r="BAQ3" t="s">
        <v>289</v>
      </c>
      <c r="BAR3" t="s">
        <v>289</v>
      </c>
      <c r="BAS3" t="s">
        <v>289</v>
      </c>
      <c r="BAT3" t="s">
        <v>289</v>
      </c>
      <c r="BAU3" t="s">
        <v>289</v>
      </c>
      <c r="BAV3" t="s">
        <v>289</v>
      </c>
      <c r="BAW3" t="s">
        <v>289</v>
      </c>
      <c r="BAX3" t="s">
        <v>289</v>
      </c>
      <c r="BAY3" t="s">
        <v>289</v>
      </c>
      <c r="BAZ3" t="s">
        <v>289</v>
      </c>
      <c r="BBA3" t="s">
        <v>289</v>
      </c>
      <c r="BBB3" t="s">
        <v>289</v>
      </c>
      <c r="BBC3" t="s">
        <v>289</v>
      </c>
      <c r="BBD3" t="s">
        <v>289</v>
      </c>
      <c r="BBE3" t="s">
        <v>289</v>
      </c>
      <c r="BBF3" t="s">
        <v>289</v>
      </c>
      <c r="BBG3" t="s">
        <v>289</v>
      </c>
      <c r="BBH3" t="s">
        <v>289</v>
      </c>
      <c r="BBI3" t="s">
        <v>289</v>
      </c>
      <c r="BBJ3" t="s">
        <v>289</v>
      </c>
      <c r="BBK3" t="s">
        <v>289</v>
      </c>
      <c r="BBL3" t="s">
        <v>289</v>
      </c>
      <c r="BBM3" t="s">
        <v>289</v>
      </c>
      <c r="BBN3" t="s">
        <v>289</v>
      </c>
      <c r="BBO3" t="s">
        <v>289</v>
      </c>
      <c r="BBP3" t="s">
        <v>289</v>
      </c>
      <c r="BBQ3" t="s">
        <v>289</v>
      </c>
      <c r="BBR3" t="s">
        <v>289</v>
      </c>
      <c r="BBS3" t="s">
        <v>289</v>
      </c>
      <c r="BBT3" t="s">
        <v>289</v>
      </c>
      <c r="BBU3" t="s">
        <v>289</v>
      </c>
      <c r="BBV3">
        <v>567.81399999999996</v>
      </c>
      <c r="BBW3">
        <v>585.18499999999995</v>
      </c>
      <c r="BBX3">
        <v>626.13</v>
      </c>
      <c r="BBY3">
        <v>669.28300000000002</v>
      </c>
      <c r="BBZ3">
        <v>710.26</v>
      </c>
      <c r="BCA3">
        <v>850.55</v>
      </c>
      <c r="BCB3">
        <v>1069.652</v>
      </c>
      <c r="BCC3">
        <v>1226.6300000000001</v>
      </c>
      <c r="BCD3">
        <v>1353.165</v>
      </c>
      <c r="BCE3" t="s">
        <v>289</v>
      </c>
      <c r="BCF3" t="s">
        <v>289</v>
      </c>
      <c r="BCG3" t="s">
        <v>289</v>
      </c>
      <c r="BCH3" t="s">
        <v>289</v>
      </c>
      <c r="BCI3" t="s">
        <v>289</v>
      </c>
      <c r="BCJ3" t="s">
        <v>289</v>
      </c>
      <c r="BCK3" t="s">
        <v>289</v>
      </c>
      <c r="BCL3" t="s">
        <v>289</v>
      </c>
      <c r="BCM3" t="s">
        <v>289</v>
      </c>
      <c r="BCN3" t="s">
        <v>289</v>
      </c>
      <c r="BCO3">
        <v>113.786</v>
      </c>
      <c r="BCP3">
        <v>134.27799999999999</v>
      </c>
      <c r="BCQ3">
        <v>182.75299999999999</v>
      </c>
      <c r="BCR3">
        <v>457.78399999999999</v>
      </c>
      <c r="BCS3">
        <v>647.70600000000002</v>
      </c>
      <c r="BCT3">
        <v>793.66399999999999</v>
      </c>
      <c r="BCU3">
        <v>897.94600000000003</v>
      </c>
      <c r="BCV3">
        <v>1362.4059999999999</v>
      </c>
      <c r="BCW3">
        <v>1344.146</v>
      </c>
      <c r="BCX3" t="s">
        <v>289</v>
      </c>
      <c r="BCY3" t="s">
        <v>289</v>
      </c>
      <c r="BCZ3" t="s">
        <v>289</v>
      </c>
      <c r="BDA3" t="s">
        <v>289</v>
      </c>
      <c r="BDB3" t="s">
        <v>289</v>
      </c>
      <c r="BDC3" t="s">
        <v>289</v>
      </c>
      <c r="BDD3" t="s">
        <v>289</v>
      </c>
      <c r="BDE3" t="s">
        <v>289</v>
      </c>
      <c r="BDF3" t="s">
        <v>289</v>
      </c>
      <c r="BDG3" t="s">
        <v>289</v>
      </c>
      <c r="BDH3">
        <v>2218.8620000000001</v>
      </c>
      <c r="BDI3">
        <v>2844.6550000000002</v>
      </c>
      <c r="BDJ3">
        <v>2019.8230000000001</v>
      </c>
      <c r="BDK3">
        <v>1887.453</v>
      </c>
      <c r="BDL3">
        <v>2081.0770000000002</v>
      </c>
      <c r="BDM3">
        <v>2477.326</v>
      </c>
      <c r="BDN3">
        <v>2641.201</v>
      </c>
      <c r="BDO3">
        <v>3075.8829999999998</v>
      </c>
      <c r="BDP3">
        <v>3363.7190000000001</v>
      </c>
      <c r="BDQ3" t="s">
        <v>289</v>
      </c>
      <c r="BDR3" t="s">
        <v>289</v>
      </c>
      <c r="BDS3" t="s">
        <v>289</v>
      </c>
      <c r="BDT3" t="s">
        <v>289</v>
      </c>
      <c r="BDU3" t="s">
        <v>289</v>
      </c>
      <c r="BDV3" t="s">
        <v>289</v>
      </c>
      <c r="BDW3" t="s">
        <v>289</v>
      </c>
      <c r="BDX3" t="s">
        <v>289</v>
      </c>
      <c r="BDY3" t="s">
        <v>289</v>
      </c>
      <c r="BDZ3" t="s">
        <v>289</v>
      </c>
      <c r="BEA3">
        <v>891.12699999999995</v>
      </c>
      <c r="BEB3">
        <v>1240.636</v>
      </c>
      <c r="BEC3">
        <v>1655.472</v>
      </c>
      <c r="BED3">
        <v>1095.9970000000001</v>
      </c>
      <c r="BEE3">
        <v>944.14</v>
      </c>
      <c r="BEF3">
        <v>1025.1369999999999</v>
      </c>
      <c r="BEG3">
        <v>1154.759</v>
      </c>
      <c r="BEH3">
        <v>1621.07</v>
      </c>
      <c r="BEI3">
        <v>1463.3810000000001</v>
      </c>
      <c r="BEJ3" t="s">
        <v>289</v>
      </c>
      <c r="BEK3" t="s">
        <v>289</v>
      </c>
      <c r="BEL3" t="s">
        <v>289</v>
      </c>
      <c r="BEM3" t="s">
        <v>289</v>
      </c>
      <c r="BEN3" t="s">
        <v>289</v>
      </c>
      <c r="BEO3" t="s">
        <v>289</v>
      </c>
      <c r="BEP3" t="s">
        <v>289</v>
      </c>
      <c r="BEQ3" t="s">
        <v>289</v>
      </c>
      <c r="BER3" t="s">
        <v>289</v>
      </c>
      <c r="BES3" t="s">
        <v>289</v>
      </c>
      <c r="BET3">
        <v>1029.345</v>
      </c>
      <c r="BEU3">
        <v>1052.44</v>
      </c>
      <c r="BEV3">
        <v>1094.9880000000001</v>
      </c>
      <c r="BEW3">
        <v>1139.576</v>
      </c>
      <c r="BEX3">
        <v>1225.6379999999999</v>
      </c>
      <c r="BEY3">
        <v>1430.979</v>
      </c>
      <c r="BEZ3">
        <v>1623.12</v>
      </c>
      <c r="BFA3">
        <v>1764.472</v>
      </c>
      <c r="BFB3">
        <v>1923.355</v>
      </c>
      <c r="BFC3" t="s">
        <v>289</v>
      </c>
      <c r="BFD3" t="s">
        <v>289</v>
      </c>
      <c r="BFE3" t="s">
        <v>289</v>
      </c>
      <c r="BFF3" t="s">
        <v>289</v>
      </c>
      <c r="BFG3" t="s">
        <v>289</v>
      </c>
      <c r="BFH3" t="s">
        <v>289</v>
      </c>
      <c r="BFI3" t="s">
        <v>289</v>
      </c>
      <c r="BFJ3" t="s">
        <v>289</v>
      </c>
      <c r="BFK3" t="s">
        <v>289</v>
      </c>
      <c r="BFL3" t="s">
        <v>289</v>
      </c>
      <c r="BFM3">
        <v>787.178</v>
      </c>
      <c r="BFN3">
        <v>787.178</v>
      </c>
      <c r="BFO3">
        <v>787.178</v>
      </c>
      <c r="BFP3">
        <v>785.18200000000002</v>
      </c>
      <c r="BFQ3">
        <v>785.18200000000002</v>
      </c>
      <c r="BFR3">
        <v>785.18200000000002</v>
      </c>
      <c r="BFS3">
        <v>785.18200000000002</v>
      </c>
      <c r="BFT3">
        <v>785.18200000000002</v>
      </c>
      <c r="BFU3">
        <v>785.18200000000002</v>
      </c>
      <c r="BFV3" t="s">
        <v>289</v>
      </c>
      <c r="BFW3" t="s">
        <v>289</v>
      </c>
      <c r="BFX3" t="s">
        <v>289</v>
      </c>
      <c r="BFY3" t="s">
        <v>289</v>
      </c>
      <c r="BFZ3" t="s">
        <v>289</v>
      </c>
      <c r="BGA3" t="s">
        <v>289</v>
      </c>
      <c r="BGB3" t="s">
        <v>289</v>
      </c>
      <c r="BGC3" t="s">
        <v>289</v>
      </c>
      <c r="BGD3" t="s">
        <v>289</v>
      </c>
      <c r="BGE3" t="s">
        <v>289</v>
      </c>
      <c r="BGF3">
        <v>567.81399999999996</v>
      </c>
      <c r="BGG3">
        <v>585.18499999999995</v>
      </c>
      <c r="BGH3">
        <v>626.13</v>
      </c>
      <c r="BGI3">
        <v>669.28300000000002</v>
      </c>
      <c r="BGJ3">
        <v>710.26</v>
      </c>
      <c r="BGK3">
        <v>850.55</v>
      </c>
      <c r="BGL3">
        <v>1069.652</v>
      </c>
      <c r="BGM3">
        <v>1226.6300000000001</v>
      </c>
      <c r="BGN3">
        <v>1353.165</v>
      </c>
      <c r="BGO3" t="s">
        <v>289</v>
      </c>
      <c r="BGP3" t="s">
        <v>289</v>
      </c>
      <c r="BGQ3" t="s">
        <v>289</v>
      </c>
      <c r="BGR3" t="s">
        <v>289</v>
      </c>
      <c r="BGS3" t="s">
        <v>289</v>
      </c>
      <c r="BGT3" t="s">
        <v>289</v>
      </c>
      <c r="BGU3" t="s">
        <v>289</v>
      </c>
      <c r="BGV3" t="s">
        <v>289</v>
      </c>
      <c r="BGW3" t="s">
        <v>289</v>
      </c>
      <c r="BGX3" t="s">
        <v>289</v>
      </c>
      <c r="BGY3">
        <v>296.78500000000003</v>
      </c>
      <c r="BGZ3">
        <v>491.32</v>
      </c>
      <c r="BHA3">
        <v>919.40899999999999</v>
      </c>
      <c r="BHB3">
        <v>399.87599999999998</v>
      </c>
      <c r="BHC3">
        <v>306.03100000000001</v>
      </c>
      <c r="BHD3">
        <v>352.40899999999999</v>
      </c>
      <c r="BHE3">
        <v>421.32299999999998</v>
      </c>
      <c r="BHF3">
        <v>889.22799999999995</v>
      </c>
      <c r="BHG3">
        <v>516.11900000000003</v>
      </c>
      <c r="BHH3" t="s">
        <v>289</v>
      </c>
      <c r="BHI3" t="s">
        <v>289</v>
      </c>
      <c r="BHJ3" t="s">
        <v>289</v>
      </c>
      <c r="BHK3" t="s">
        <v>289</v>
      </c>
      <c r="BHL3" t="s">
        <v>289</v>
      </c>
      <c r="BHM3" t="s">
        <v>289</v>
      </c>
      <c r="BHN3" t="s">
        <v>289</v>
      </c>
      <c r="BHO3" t="s">
        <v>289</v>
      </c>
      <c r="BHP3" t="s">
        <v>289</v>
      </c>
      <c r="BHQ3" t="s">
        <v>289</v>
      </c>
      <c r="BHR3">
        <v>296.78500000000003</v>
      </c>
      <c r="BHS3">
        <v>491.32</v>
      </c>
      <c r="BHT3">
        <v>919.40899999999999</v>
      </c>
      <c r="BHU3">
        <v>399.87599999999998</v>
      </c>
      <c r="BHV3">
        <v>306.03100000000001</v>
      </c>
      <c r="BHW3">
        <v>352.40899999999999</v>
      </c>
      <c r="BHX3">
        <v>421.32299999999998</v>
      </c>
      <c r="BHY3">
        <v>889.22799999999995</v>
      </c>
      <c r="BHZ3">
        <v>516.11900000000003</v>
      </c>
      <c r="BIA3" t="s">
        <v>289</v>
      </c>
      <c r="BIB3" t="s">
        <v>289</v>
      </c>
      <c r="BIC3" t="s">
        <v>289</v>
      </c>
      <c r="BID3" t="s">
        <v>289</v>
      </c>
      <c r="BIE3" t="s">
        <v>289</v>
      </c>
      <c r="BIF3" t="s">
        <v>289</v>
      </c>
      <c r="BIG3" t="s">
        <v>289</v>
      </c>
      <c r="BIH3" t="s">
        <v>289</v>
      </c>
      <c r="BII3" t="s">
        <v>289</v>
      </c>
      <c r="BIJ3" t="s">
        <v>289</v>
      </c>
      <c r="BIK3">
        <v>3895.4749999999999</v>
      </c>
      <c r="BIL3">
        <v>4641.4269999999997</v>
      </c>
      <c r="BIM3">
        <v>3875.3989999999999</v>
      </c>
      <c r="BIN3">
        <v>3849.6039999999998</v>
      </c>
      <c r="BIO3">
        <v>4141.1040000000003</v>
      </c>
      <c r="BIP3">
        <v>4851.7330000000002</v>
      </c>
      <c r="BIQ3">
        <v>5446.3720000000003</v>
      </c>
      <c r="BIR3">
        <v>6262.0469999999996</v>
      </c>
      <c r="BIS3">
        <v>6863.5050000000001</v>
      </c>
      <c r="BIT3" t="s">
        <v>289</v>
      </c>
      <c r="BIU3" t="s">
        <v>289</v>
      </c>
      <c r="BIV3" t="s">
        <v>289</v>
      </c>
      <c r="BIW3" t="s">
        <v>289</v>
      </c>
      <c r="BIX3" t="s">
        <v>289</v>
      </c>
      <c r="BIY3" t="s">
        <v>289</v>
      </c>
      <c r="BIZ3" t="s">
        <v>289</v>
      </c>
      <c r="BJA3" t="s">
        <v>289</v>
      </c>
      <c r="BJB3" t="s">
        <v>289</v>
      </c>
      <c r="BJC3" t="s">
        <v>289</v>
      </c>
      <c r="BJD3" t="s">
        <v>289</v>
      </c>
      <c r="BJE3" t="s">
        <v>289</v>
      </c>
      <c r="BJF3" t="s">
        <v>289</v>
      </c>
      <c r="BJG3" t="s">
        <v>289</v>
      </c>
      <c r="BJH3" t="s">
        <v>289</v>
      </c>
      <c r="BJI3" t="s">
        <v>289</v>
      </c>
      <c r="BJJ3" t="s">
        <v>289</v>
      </c>
      <c r="BJK3" t="s">
        <v>289</v>
      </c>
      <c r="BJL3" t="s">
        <v>289</v>
      </c>
      <c r="BJM3" t="s">
        <v>289</v>
      </c>
      <c r="BJN3" t="s">
        <v>289</v>
      </c>
      <c r="BJO3" t="s">
        <v>289</v>
      </c>
      <c r="BJP3" t="s">
        <v>289</v>
      </c>
      <c r="BJQ3" t="s">
        <v>289</v>
      </c>
      <c r="BJR3" t="s">
        <v>289</v>
      </c>
      <c r="BJS3" t="s">
        <v>289</v>
      </c>
      <c r="BJT3" t="s">
        <v>289</v>
      </c>
      <c r="BJU3" t="s">
        <v>289</v>
      </c>
      <c r="BJV3">
        <v>-161.38</v>
      </c>
      <c r="BJW3">
        <v>-161.65299999999999</v>
      </c>
      <c r="BJX3">
        <v>-169.363</v>
      </c>
      <c r="BJY3">
        <v>-184.91</v>
      </c>
      <c r="BJZ3">
        <v>-175.64699999999999</v>
      </c>
      <c r="BKA3">
        <v>-188.904</v>
      </c>
      <c r="BKB3">
        <v>-300.79399999999998</v>
      </c>
      <c r="BKC3">
        <v>-352.154</v>
      </c>
      <c r="BKD3">
        <v>-357.01799999999997</v>
      </c>
      <c r="BKE3">
        <v>-352.31599999999997</v>
      </c>
      <c r="BKF3" t="s">
        <v>289</v>
      </c>
      <c r="BKG3" t="s">
        <v>289</v>
      </c>
      <c r="BKH3" t="s">
        <v>289</v>
      </c>
      <c r="BKI3" t="s">
        <v>289</v>
      </c>
      <c r="BKJ3" t="s">
        <v>289</v>
      </c>
      <c r="BKK3" t="s">
        <v>289</v>
      </c>
      <c r="BKL3" t="s">
        <v>289</v>
      </c>
      <c r="BKM3" t="s">
        <v>289</v>
      </c>
      <c r="BKN3" t="s">
        <v>289</v>
      </c>
      <c r="BKO3">
        <v>237.54</v>
      </c>
      <c r="BKP3">
        <v>270.25</v>
      </c>
      <c r="BKQ3">
        <v>288.98200000000003</v>
      </c>
      <c r="BKR3">
        <v>274.75700000000001</v>
      </c>
      <c r="BKS3">
        <v>247.71700000000001</v>
      </c>
      <c r="BKT3">
        <v>260.60599999999999</v>
      </c>
      <c r="BKU3">
        <v>288.74799999999999</v>
      </c>
      <c r="BKV3">
        <v>351.94600000000003</v>
      </c>
      <c r="BKW3">
        <v>426.637</v>
      </c>
      <c r="BKX3">
        <v>455.98899999999998</v>
      </c>
      <c r="BKY3" t="s">
        <v>289</v>
      </c>
      <c r="BKZ3" t="s">
        <v>289</v>
      </c>
      <c r="BLA3" t="s">
        <v>289</v>
      </c>
      <c r="BLB3" t="s">
        <v>289</v>
      </c>
      <c r="BLC3" t="s">
        <v>289</v>
      </c>
      <c r="BLD3" t="s">
        <v>289</v>
      </c>
      <c r="BLE3" t="s">
        <v>289</v>
      </c>
      <c r="BLF3" t="s">
        <v>289</v>
      </c>
      <c r="BLG3" t="s">
        <v>289</v>
      </c>
      <c r="BLH3">
        <v>335.49700000000001</v>
      </c>
      <c r="BLI3">
        <v>363.54899999999998</v>
      </c>
      <c r="BLJ3">
        <v>389.46800000000002</v>
      </c>
      <c r="BLK3">
        <v>444.32</v>
      </c>
      <c r="BLL3">
        <v>595.08199999999999</v>
      </c>
      <c r="BLM3">
        <v>775.41600000000005</v>
      </c>
      <c r="BLN3">
        <v>826.50699999999995</v>
      </c>
      <c r="BLO3">
        <v>917.44600000000003</v>
      </c>
      <c r="BLP3">
        <v>716.12699999999995</v>
      </c>
      <c r="BLQ3">
        <v>1075.4880000000001</v>
      </c>
      <c r="BLR3" t="s">
        <v>289</v>
      </c>
      <c r="BLS3" t="s">
        <v>289</v>
      </c>
      <c r="BLT3" t="s">
        <v>289</v>
      </c>
      <c r="BLU3" t="s">
        <v>289</v>
      </c>
      <c r="BLV3" t="s">
        <v>289</v>
      </c>
      <c r="BLW3" t="s">
        <v>289</v>
      </c>
      <c r="BLX3" t="s">
        <v>289</v>
      </c>
      <c r="BLY3" t="s">
        <v>289</v>
      </c>
      <c r="BLZ3" t="s">
        <v>289</v>
      </c>
      <c r="BMA3">
        <v>573.03700000000003</v>
      </c>
      <c r="BMB3">
        <v>633.79899999999998</v>
      </c>
      <c r="BMC3">
        <v>678.45</v>
      </c>
      <c r="BMD3">
        <v>719.077</v>
      </c>
      <c r="BME3">
        <v>842.79899999999998</v>
      </c>
      <c r="BMF3">
        <v>1036.0219999999999</v>
      </c>
      <c r="BMG3">
        <v>1115.2550000000001</v>
      </c>
      <c r="BMH3">
        <v>1269.3920000000001</v>
      </c>
      <c r="BMI3">
        <v>1142.7639999999999</v>
      </c>
      <c r="BMJ3">
        <v>1531.4770000000001</v>
      </c>
      <c r="BMK3" t="s">
        <v>289</v>
      </c>
      <c r="BML3" t="s">
        <v>289</v>
      </c>
      <c r="BMM3" t="s">
        <v>289</v>
      </c>
      <c r="BMN3" t="s">
        <v>289</v>
      </c>
      <c r="BMO3" t="s">
        <v>289</v>
      </c>
      <c r="BMP3" t="s">
        <v>289</v>
      </c>
      <c r="BMQ3" t="s">
        <v>289</v>
      </c>
      <c r="BMR3" t="s">
        <v>289</v>
      </c>
      <c r="BMS3" t="s">
        <v>289</v>
      </c>
      <c r="BMT3">
        <v>573.03700000000003</v>
      </c>
      <c r="BMU3">
        <v>633.79899999999998</v>
      </c>
      <c r="BMV3">
        <v>692.73500000000001</v>
      </c>
      <c r="BMW3">
        <v>721.90200000000004</v>
      </c>
      <c r="BMX3">
        <v>874.07500000000005</v>
      </c>
      <c r="BMY3">
        <v>1031</v>
      </c>
      <c r="BMZ3">
        <v>1113.307</v>
      </c>
      <c r="BNA3">
        <v>1266.2940000000001</v>
      </c>
      <c r="BNB3">
        <v>913.24099999999999</v>
      </c>
      <c r="BNC3">
        <v>1524.5809999999999</v>
      </c>
      <c r="BND3" t="s">
        <v>289</v>
      </c>
      <c r="BNE3" t="s">
        <v>289</v>
      </c>
      <c r="BNF3" t="s">
        <v>289</v>
      </c>
      <c r="BNG3" t="s">
        <v>289</v>
      </c>
      <c r="BNH3" t="s">
        <v>289</v>
      </c>
      <c r="BNI3" t="s">
        <v>289</v>
      </c>
      <c r="BNJ3" t="s">
        <v>289</v>
      </c>
      <c r="BNK3" t="s">
        <v>289</v>
      </c>
      <c r="BNL3" t="s">
        <v>289</v>
      </c>
      <c r="BNM3" t="s">
        <v>289</v>
      </c>
      <c r="BNN3" t="s">
        <v>289</v>
      </c>
      <c r="BNO3" t="s">
        <v>289</v>
      </c>
      <c r="BNP3">
        <v>2854</v>
      </c>
      <c r="BNQ3">
        <v>3105</v>
      </c>
      <c r="BNR3">
        <v>3417</v>
      </c>
      <c r="BNS3">
        <v>3420</v>
      </c>
      <c r="BNT3">
        <v>3766</v>
      </c>
      <c r="BNU3">
        <v>3460</v>
      </c>
      <c r="BNV3">
        <v>4271</v>
      </c>
      <c r="BNW3" t="s">
        <v>289</v>
      </c>
      <c r="BNX3" t="s">
        <v>289</v>
      </c>
      <c r="BNY3" t="s">
        <v>289</v>
      </c>
      <c r="BNZ3" t="s">
        <v>289</v>
      </c>
      <c r="BOA3" t="s">
        <v>289</v>
      </c>
      <c r="BOB3" t="s">
        <v>289</v>
      </c>
      <c r="BOC3" t="s">
        <v>289</v>
      </c>
      <c r="BOD3" t="s">
        <v>289</v>
      </c>
      <c r="BOE3" t="s">
        <v>289</v>
      </c>
      <c r="BOF3" t="s">
        <v>289</v>
      </c>
      <c r="BOG3">
        <v>137.279</v>
      </c>
      <c r="BOH3">
        <v>149.953</v>
      </c>
      <c r="BOI3">
        <v>274.75700000000001</v>
      </c>
      <c r="BOJ3">
        <v>247.71700000000001</v>
      </c>
      <c r="BOK3">
        <v>143.48400000000001</v>
      </c>
      <c r="BOL3">
        <v>156.38399999999999</v>
      </c>
      <c r="BOM3">
        <v>191.482</v>
      </c>
      <c r="BON3">
        <v>217.952</v>
      </c>
      <c r="BOO3">
        <v>230.09700000000001</v>
      </c>
      <c r="BOP3" t="s">
        <v>289</v>
      </c>
      <c r="BOQ3" t="s">
        <v>289</v>
      </c>
      <c r="BOR3" t="s">
        <v>289</v>
      </c>
      <c r="BOS3" t="s">
        <v>289</v>
      </c>
      <c r="BOT3" t="s">
        <v>289</v>
      </c>
      <c r="BOU3" t="s">
        <v>289</v>
      </c>
      <c r="BOV3" t="s">
        <v>289</v>
      </c>
      <c r="BOW3" t="s">
        <v>289</v>
      </c>
      <c r="BOX3" t="s">
        <v>289</v>
      </c>
      <c r="BOY3">
        <v>335.49700000000001</v>
      </c>
      <c r="BOZ3">
        <v>363.54899999999998</v>
      </c>
      <c r="BPA3">
        <v>389.46800000000002</v>
      </c>
      <c r="BPB3">
        <v>444.32</v>
      </c>
      <c r="BPC3">
        <v>595.08199999999999</v>
      </c>
      <c r="BPD3">
        <v>775.41600000000005</v>
      </c>
      <c r="BPE3">
        <v>826.50699999999995</v>
      </c>
      <c r="BPF3">
        <v>917.44600000000003</v>
      </c>
      <c r="BPG3">
        <v>716.12699999999995</v>
      </c>
      <c r="BPH3">
        <v>1075.4880000000001</v>
      </c>
      <c r="BPI3" t="s">
        <v>289</v>
      </c>
      <c r="BPJ3" t="s">
        <v>289</v>
      </c>
      <c r="BPK3" t="s">
        <v>289</v>
      </c>
      <c r="BPL3" t="s">
        <v>289</v>
      </c>
      <c r="BPM3" t="s">
        <v>289</v>
      </c>
      <c r="BPN3" t="s">
        <v>289</v>
      </c>
      <c r="BPO3" t="s">
        <v>289</v>
      </c>
      <c r="BPP3" t="s">
        <v>289</v>
      </c>
      <c r="BPQ3" t="s">
        <v>289</v>
      </c>
      <c r="BPR3" t="s">
        <v>289</v>
      </c>
      <c r="BPS3">
        <v>203.518</v>
      </c>
      <c r="BPT3">
        <v>375.94200000000001</v>
      </c>
      <c r="BPU3">
        <v>2077.6370000000002</v>
      </c>
      <c r="BPV3">
        <v>1390.2570000000001</v>
      </c>
      <c r="BPW3">
        <v>1158.4749999999999</v>
      </c>
      <c r="BPX3">
        <v>1133.5029999999999</v>
      </c>
      <c r="BPY3">
        <v>1191.7909999999999</v>
      </c>
      <c r="BPZ3">
        <v>1362.3389999999999</v>
      </c>
      <c r="BQA3">
        <v>1342.075</v>
      </c>
      <c r="BQB3" t="s">
        <v>289</v>
      </c>
      <c r="BQC3" t="s">
        <v>289</v>
      </c>
      <c r="BQD3" t="s">
        <v>289</v>
      </c>
      <c r="BQE3" t="s">
        <v>289</v>
      </c>
      <c r="BQF3" t="s">
        <v>289</v>
      </c>
      <c r="BQG3" t="s">
        <v>289</v>
      </c>
      <c r="BQH3" t="s">
        <v>289</v>
      </c>
      <c r="BQI3" t="s">
        <v>289</v>
      </c>
      <c r="BQJ3" t="s">
        <v>289</v>
      </c>
      <c r="BQK3">
        <v>2225.2069999999999</v>
      </c>
      <c r="BQL3">
        <v>2335.27</v>
      </c>
      <c r="BQM3">
        <v>2762.36</v>
      </c>
      <c r="BQN3">
        <v>2854.3690000000001</v>
      </c>
      <c r="BQO3">
        <v>3105.0839999999998</v>
      </c>
      <c r="BQP3">
        <v>3416.89</v>
      </c>
      <c r="BQQ3">
        <v>3420.3209999999999</v>
      </c>
      <c r="BQR3">
        <v>3766.6149999999998</v>
      </c>
      <c r="BQS3">
        <v>3459.79</v>
      </c>
      <c r="BQT3">
        <v>4270.8940000000002</v>
      </c>
      <c r="BQU3" t="s">
        <v>289</v>
      </c>
      <c r="BQV3" t="s">
        <v>289</v>
      </c>
      <c r="BQW3" t="s">
        <v>289</v>
      </c>
      <c r="BQX3" t="s">
        <v>289</v>
      </c>
      <c r="BQY3" t="s">
        <v>289</v>
      </c>
      <c r="BQZ3" t="s">
        <v>289</v>
      </c>
      <c r="BRA3" t="s">
        <v>289</v>
      </c>
      <c r="BRB3" t="s">
        <v>289</v>
      </c>
      <c r="BRC3" t="s">
        <v>289</v>
      </c>
      <c r="BRD3" t="s">
        <v>289</v>
      </c>
      <c r="BRE3">
        <v>65.478999999999999</v>
      </c>
      <c r="BRF3">
        <v>76.813999999999993</v>
      </c>
      <c r="BRG3">
        <v>78.373000000000005</v>
      </c>
      <c r="BRH3">
        <v>91.024000000000001</v>
      </c>
      <c r="BRI3">
        <v>84.159000000000006</v>
      </c>
      <c r="BRJ3">
        <v>86.575000000000003</v>
      </c>
      <c r="BRK3">
        <v>88.116</v>
      </c>
      <c r="BRL3">
        <v>59.984999999999999</v>
      </c>
      <c r="BRM3">
        <v>101.2</v>
      </c>
      <c r="BRN3" t="s">
        <v>289</v>
      </c>
      <c r="BRO3" t="s">
        <v>289</v>
      </c>
      <c r="BRP3" t="s">
        <v>289</v>
      </c>
      <c r="BRQ3" t="s">
        <v>289</v>
      </c>
      <c r="BRR3" t="s">
        <v>289</v>
      </c>
      <c r="BRS3" t="s">
        <v>289</v>
      </c>
      <c r="BRT3" t="s">
        <v>289</v>
      </c>
      <c r="BRU3" t="s">
        <v>289</v>
      </c>
      <c r="BRV3" t="s">
        <v>289</v>
      </c>
      <c r="BRW3">
        <v>-258.35199999999998</v>
      </c>
      <c r="BRX3">
        <v>-270.90300000000002</v>
      </c>
      <c r="BRY3">
        <v>-329.99799999999999</v>
      </c>
      <c r="BRZ3">
        <v>-355.94299999999998</v>
      </c>
      <c r="BSA3">
        <v>-341.98700000000002</v>
      </c>
      <c r="BSB3">
        <v>-391.41</v>
      </c>
      <c r="BSC3">
        <v>-638.33600000000001</v>
      </c>
      <c r="BSD3">
        <v>-705.61199999999997</v>
      </c>
      <c r="BSE3">
        <v>-708.99599999999998</v>
      </c>
      <c r="BSF3">
        <v>-737.14300000000003</v>
      </c>
      <c r="BSG3" t="s">
        <v>289</v>
      </c>
      <c r="BSH3" t="s">
        <v>289</v>
      </c>
      <c r="BSI3" t="s">
        <v>289</v>
      </c>
      <c r="BSJ3" t="s">
        <v>289</v>
      </c>
      <c r="BSK3" t="s">
        <v>289</v>
      </c>
      <c r="BSL3" t="s">
        <v>289</v>
      </c>
      <c r="BSM3" t="s">
        <v>289</v>
      </c>
      <c r="BSN3" t="s">
        <v>289</v>
      </c>
      <c r="BSO3" t="s">
        <v>289</v>
      </c>
      <c r="BSP3">
        <v>-96.971999999999994</v>
      </c>
      <c r="BSQ3">
        <v>-109.25</v>
      </c>
      <c r="BSR3">
        <v>-160.63499999999999</v>
      </c>
      <c r="BSS3">
        <v>-171.03299999999999</v>
      </c>
      <c r="BST3">
        <v>-166.34</v>
      </c>
      <c r="BSU3">
        <v>-202.506</v>
      </c>
      <c r="BSV3">
        <v>-337.54199999999997</v>
      </c>
      <c r="BSW3">
        <v>-353.45800000000003</v>
      </c>
      <c r="BSX3">
        <v>-351.97800000000001</v>
      </c>
      <c r="BSY3">
        <v>-384.827</v>
      </c>
      <c r="BSZ3" t="s">
        <v>289</v>
      </c>
      <c r="BTA3" t="s">
        <v>289</v>
      </c>
      <c r="BTB3" t="s">
        <v>289</v>
      </c>
      <c r="BTC3" t="s">
        <v>289</v>
      </c>
      <c r="BTD3" t="s">
        <v>289</v>
      </c>
      <c r="BTE3" t="s">
        <v>289</v>
      </c>
      <c r="BTF3" t="s">
        <v>289</v>
      </c>
      <c r="BTG3" t="s">
        <v>289</v>
      </c>
      <c r="BTH3" t="s">
        <v>289</v>
      </c>
      <c r="BTI3">
        <v>-96.971999999999994</v>
      </c>
      <c r="BTJ3">
        <v>-109.25</v>
      </c>
      <c r="BTK3">
        <v>-160.63499999999999</v>
      </c>
      <c r="BTL3">
        <v>-171.03299999999999</v>
      </c>
      <c r="BTM3">
        <v>-166.34</v>
      </c>
      <c r="BTN3">
        <v>-202.506</v>
      </c>
      <c r="BTO3">
        <v>-337.54199999999997</v>
      </c>
      <c r="BTP3">
        <v>-353.45800000000003</v>
      </c>
      <c r="BTQ3">
        <v>-351.97800000000001</v>
      </c>
      <c r="BTR3">
        <v>-384.827</v>
      </c>
      <c r="BTS3" t="s">
        <v>289</v>
      </c>
      <c r="BTT3" t="s">
        <v>289</v>
      </c>
      <c r="BTU3" t="s">
        <v>289</v>
      </c>
      <c r="BTV3" t="s">
        <v>289</v>
      </c>
      <c r="BTW3" t="s">
        <v>289</v>
      </c>
      <c r="BTX3" t="s">
        <v>289</v>
      </c>
      <c r="BTY3" t="s">
        <v>289</v>
      </c>
      <c r="BTZ3" t="s">
        <v>289</v>
      </c>
      <c r="BUA3" t="s">
        <v>289</v>
      </c>
      <c r="BUB3" t="s">
        <v>289</v>
      </c>
      <c r="BUC3" t="s">
        <v>289</v>
      </c>
      <c r="BUD3" t="s">
        <v>289</v>
      </c>
      <c r="BUE3" t="s">
        <v>289</v>
      </c>
      <c r="BUF3" t="s">
        <v>289</v>
      </c>
      <c r="BUG3" t="s">
        <v>289</v>
      </c>
      <c r="BUH3" t="s">
        <v>289</v>
      </c>
      <c r="BUI3" t="s">
        <v>289</v>
      </c>
      <c r="BUJ3" t="s">
        <v>289</v>
      </c>
      <c r="BUK3" t="s">
        <v>289</v>
      </c>
      <c r="BUL3" t="s">
        <v>289</v>
      </c>
      <c r="BUM3" t="s">
        <v>289</v>
      </c>
      <c r="BUN3" t="s">
        <v>289</v>
      </c>
      <c r="BUO3" t="s">
        <v>289</v>
      </c>
      <c r="BUP3" t="s">
        <v>289</v>
      </c>
      <c r="BUQ3" t="s">
        <v>289</v>
      </c>
      <c r="BUR3" t="s">
        <v>289</v>
      </c>
      <c r="BUS3" t="s">
        <v>289</v>
      </c>
      <c r="BUT3" t="s">
        <v>289</v>
      </c>
      <c r="BUU3" t="s">
        <v>289</v>
      </c>
      <c r="BUV3" t="s">
        <v>289</v>
      </c>
      <c r="BUW3" t="s">
        <v>289</v>
      </c>
      <c r="BUX3" t="s">
        <v>289</v>
      </c>
      <c r="BUY3" t="s">
        <v>289</v>
      </c>
      <c r="BUZ3" t="s">
        <v>289</v>
      </c>
      <c r="BVA3" t="s">
        <v>289</v>
      </c>
      <c r="BVB3" t="s">
        <v>289</v>
      </c>
      <c r="BVC3" t="s">
        <v>289</v>
      </c>
      <c r="BVD3" t="s">
        <v>289</v>
      </c>
      <c r="BVE3" t="s">
        <v>289</v>
      </c>
      <c r="BVF3" t="s">
        <v>289</v>
      </c>
      <c r="BVG3" t="s">
        <v>289</v>
      </c>
      <c r="BVH3" t="s">
        <v>289</v>
      </c>
      <c r="BVI3" t="s">
        <v>289</v>
      </c>
      <c r="BVJ3" t="s">
        <v>289</v>
      </c>
      <c r="BVK3" t="s">
        <v>289</v>
      </c>
      <c r="BVL3" t="s">
        <v>289</v>
      </c>
      <c r="BVM3" t="s">
        <v>289</v>
      </c>
      <c r="BVN3" t="s">
        <v>289</v>
      </c>
      <c r="BVO3" t="s">
        <v>289</v>
      </c>
      <c r="BVP3" t="s">
        <v>289</v>
      </c>
      <c r="BVQ3" t="s">
        <v>289</v>
      </c>
      <c r="BVR3" t="s">
        <v>289</v>
      </c>
      <c r="BVS3" t="s">
        <v>289</v>
      </c>
      <c r="BVT3" t="s">
        <v>289</v>
      </c>
      <c r="BVU3" t="s">
        <v>289</v>
      </c>
      <c r="BVV3" t="s">
        <v>289</v>
      </c>
      <c r="BVW3" t="s">
        <v>289</v>
      </c>
      <c r="BVX3" t="s">
        <v>289</v>
      </c>
      <c r="BVY3" t="s">
        <v>289</v>
      </c>
      <c r="BVZ3" t="s">
        <v>289</v>
      </c>
      <c r="BWA3" t="s">
        <v>289</v>
      </c>
      <c r="BWB3" t="s">
        <v>289</v>
      </c>
      <c r="BWC3" t="s">
        <v>289</v>
      </c>
      <c r="BWD3" t="s">
        <v>289</v>
      </c>
      <c r="BWE3" t="s">
        <v>289</v>
      </c>
      <c r="BWF3" t="s">
        <v>289</v>
      </c>
      <c r="BWG3">
        <v>431.45600000000002</v>
      </c>
      <c r="BWH3">
        <v>479.29399999999998</v>
      </c>
      <c r="BWI3">
        <v>540.83299999999997</v>
      </c>
      <c r="BWJ3">
        <v>561.58199999999999</v>
      </c>
      <c r="BWK3">
        <v>613.63499999999999</v>
      </c>
      <c r="BWL3">
        <v>657.11900000000003</v>
      </c>
      <c r="BWM3">
        <v>643.03800000000001</v>
      </c>
      <c r="BWN3">
        <v>699.21100000000001</v>
      </c>
      <c r="BWO3">
        <v>707.38499999999999</v>
      </c>
      <c r="BWP3">
        <v>768.10400000000004</v>
      </c>
      <c r="BWQ3" t="s">
        <v>289</v>
      </c>
      <c r="BWR3" t="s">
        <v>289</v>
      </c>
      <c r="BWS3" t="s">
        <v>289</v>
      </c>
      <c r="BWT3" t="s">
        <v>289</v>
      </c>
      <c r="BWU3" t="s">
        <v>289</v>
      </c>
      <c r="BWV3" t="s">
        <v>289</v>
      </c>
      <c r="BWW3" t="s">
        <v>289</v>
      </c>
      <c r="BWX3" t="s">
        <v>289</v>
      </c>
      <c r="BWY3" t="s">
        <v>289</v>
      </c>
      <c r="BWZ3">
        <v>431.45600000000002</v>
      </c>
      <c r="BXA3">
        <v>479.29399999999998</v>
      </c>
      <c r="BXB3">
        <v>540.83299999999997</v>
      </c>
      <c r="BXC3">
        <v>561.58199999999999</v>
      </c>
      <c r="BXD3">
        <v>613.63499999999999</v>
      </c>
      <c r="BXE3">
        <v>657.11900000000003</v>
      </c>
      <c r="BXF3">
        <v>643.03800000000001</v>
      </c>
      <c r="BXG3">
        <v>699.21100000000001</v>
      </c>
      <c r="BXH3">
        <v>707.38499999999999</v>
      </c>
      <c r="BXI3">
        <v>768.10400000000004</v>
      </c>
      <c r="BXJ3" t="s">
        <v>289</v>
      </c>
      <c r="BXK3" t="s">
        <v>289</v>
      </c>
      <c r="BXL3" t="s">
        <v>289</v>
      </c>
      <c r="BXM3" t="s">
        <v>289</v>
      </c>
      <c r="BXN3" t="s">
        <v>289</v>
      </c>
      <c r="BXO3" t="s">
        <v>289</v>
      </c>
      <c r="BXP3" t="s">
        <v>289</v>
      </c>
      <c r="BXQ3" t="s">
        <v>289</v>
      </c>
      <c r="BXR3" t="s">
        <v>289</v>
      </c>
      <c r="BXS3">
        <v>0</v>
      </c>
      <c r="BXT3">
        <v>0</v>
      </c>
      <c r="BXU3">
        <v>0</v>
      </c>
      <c r="BXV3">
        <v>0</v>
      </c>
      <c r="BXW3">
        <v>0</v>
      </c>
      <c r="BXX3">
        <v>0</v>
      </c>
      <c r="BXY3">
        <v>0</v>
      </c>
      <c r="BXZ3">
        <v>0</v>
      </c>
      <c r="BYA3">
        <v>0</v>
      </c>
      <c r="BYB3">
        <v>0</v>
      </c>
      <c r="BYC3" t="s">
        <v>289</v>
      </c>
      <c r="BYD3" t="s">
        <v>289</v>
      </c>
      <c r="BYE3" t="s">
        <v>289</v>
      </c>
      <c r="BYF3" t="s">
        <v>289</v>
      </c>
      <c r="BYG3" t="s">
        <v>289</v>
      </c>
      <c r="BYH3" t="s">
        <v>289</v>
      </c>
      <c r="BYI3" t="s">
        <v>289</v>
      </c>
      <c r="BYJ3" t="s">
        <v>289</v>
      </c>
      <c r="BYK3" t="s">
        <v>289</v>
      </c>
      <c r="BYL3" t="s">
        <v>289</v>
      </c>
      <c r="BYM3" t="s">
        <v>289</v>
      </c>
      <c r="BYN3" t="s">
        <v>289</v>
      </c>
      <c r="BYO3" t="s">
        <v>289</v>
      </c>
      <c r="BYP3" t="s">
        <v>289</v>
      </c>
      <c r="BYQ3" t="s">
        <v>289</v>
      </c>
      <c r="BYR3" t="s">
        <v>289</v>
      </c>
      <c r="BYS3" t="s">
        <v>289</v>
      </c>
      <c r="BYT3" t="s">
        <v>289</v>
      </c>
      <c r="BYU3" t="s">
        <v>289</v>
      </c>
      <c r="BYV3" t="s">
        <v>289</v>
      </c>
      <c r="BYW3" t="s">
        <v>289</v>
      </c>
      <c r="BYX3" t="s">
        <v>289</v>
      </c>
      <c r="BYY3" t="s">
        <v>289</v>
      </c>
      <c r="BYZ3" t="s">
        <v>289</v>
      </c>
      <c r="BZA3" t="s">
        <v>289</v>
      </c>
      <c r="BZB3" t="s">
        <v>289</v>
      </c>
      <c r="BZC3" t="s">
        <v>289</v>
      </c>
      <c r="BZD3" t="s">
        <v>289</v>
      </c>
      <c r="BZE3" t="s">
        <v>289</v>
      </c>
      <c r="BZF3" t="s">
        <v>289</v>
      </c>
      <c r="BZG3" t="s">
        <v>289</v>
      </c>
      <c r="BZH3" t="s">
        <v>289</v>
      </c>
      <c r="BZI3" t="s">
        <v>289</v>
      </c>
      <c r="BZJ3" t="s">
        <v>289</v>
      </c>
      <c r="BZK3" t="s">
        <v>289</v>
      </c>
      <c r="BZL3" t="s">
        <v>289</v>
      </c>
      <c r="BZM3" t="s">
        <v>289</v>
      </c>
      <c r="BZN3" t="s">
        <v>289</v>
      </c>
      <c r="BZO3" t="s">
        <v>289</v>
      </c>
      <c r="BZP3" t="s">
        <v>289</v>
      </c>
      <c r="BZQ3" t="s">
        <v>289</v>
      </c>
      <c r="BZR3" t="s">
        <v>289</v>
      </c>
      <c r="BZS3" t="s">
        <v>289</v>
      </c>
      <c r="BZT3" t="s">
        <v>289</v>
      </c>
      <c r="BZU3" t="s">
        <v>289</v>
      </c>
      <c r="BZV3" t="s">
        <v>289</v>
      </c>
      <c r="BZW3" t="s">
        <v>289</v>
      </c>
      <c r="BZX3" t="s">
        <v>289</v>
      </c>
      <c r="BZY3" t="s">
        <v>289</v>
      </c>
      <c r="BZZ3" t="s">
        <v>289</v>
      </c>
      <c r="CAA3" t="s">
        <v>289</v>
      </c>
      <c r="CAB3" t="s">
        <v>289</v>
      </c>
      <c r="CAC3" t="s">
        <v>289</v>
      </c>
      <c r="CAD3" t="s">
        <v>289</v>
      </c>
      <c r="CAE3" t="s">
        <v>289</v>
      </c>
      <c r="CAF3" t="s">
        <v>289</v>
      </c>
      <c r="CAG3" t="s">
        <v>289</v>
      </c>
      <c r="CAH3" t="s">
        <v>289</v>
      </c>
      <c r="CAI3" t="s">
        <v>289</v>
      </c>
      <c r="CAJ3" t="s">
        <v>289</v>
      </c>
      <c r="CAK3" t="s">
        <v>289</v>
      </c>
      <c r="CAL3" t="s">
        <v>289</v>
      </c>
      <c r="CAM3" t="s">
        <v>289</v>
      </c>
      <c r="CAN3" t="s">
        <v>289</v>
      </c>
      <c r="CAO3" t="s">
        <v>289</v>
      </c>
      <c r="CAP3" t="s">
        <v>289</v>
      </c>
      <c r="CAQ3" t="s">
        <v>289</v>
      </c>
      <c r="CAR3" t="s">
        <v>289</v>
      </c>
      <c r="CAS3" t="s">
        <v>289</v>
      </c>
      <c r="CAT3" t="s">
        <v>289</v>
      </c>
      <c r="CAU3" t="s">
        <v>289</v>
      </c>
      <c r="CAV3" t="s">
        <v>289</v>
      </c>
      <c r="CAW3" t="s">
        <v>289</v>
      </c>
      <c r="CAX3" t="s">
        <v>289</v>
      </c>
      <c r="CAY3" t="s">
        <v>289</v>
      </c>
      <c r="CAZ3" t="s">
        <v>289</v>
      </c>
      <c r="CBA3" t="s">
        <v>289</v>
      </c>
      <c r="CBB3" t="s">
        <v>289</v>
      </c>
      <c r="CBC3" t="s">
        <v>289</v>
      </c>
      <c r="CBD3" t="s">
        <v>289</v>
      </c>
      <c r="CBE3" t="s">
        <v>289</v>
      </c>
      <c r="CBF3" t="s">
        <v>289</v>
      </c>
      <c r="CBG3" t="s">
        <v>289</v>
      </c>
      <c r="CBH3" t="s">
        <v>289</v>
      </c>
      <c r="CBI3" t="s">
        <v>289</v>
      </c>
      <c r="CBJ3">
        <v>431.45600000000002</v>
      </c>
      <c r="CBK3">
        <v>479.29399999999998</v>
      </c>
      <c r="CBL3">
        <v>540.83299999999997</v>
      </c>
      <c r="CBM3">
        <v>561.58199999999999</v>
      </c>
      <c r="CBN3">
        <v>613.63499999999999</v>
      </c>
      <c r="CBO3">
        <v>657.11900000000003</v>
      </c>
      <c r="CBP3">
        <v>643.03800000000001</v>
      </c>
      <c r="CBQ3">
        <v>699.21100000000001</v>
      </c>
      <c r="CBR3">
        <v>707.38499999999999</v>
      </c>
      <c r="CBS3">
        <v>768.10400000000004</v>
      </c>
      <c r="CBT3" t="s">
        <v>289</v>
      </c>
      <c r="CBU3" t="s">
        <v>289</v>
      </c>
      <c r="CBV3" t="s">
        <v>289</v>
      </c>
      <c r="CBW3" t="s">
        <v>289</v>
      </c>
      <c r="CBX3" t="s">
        <v>289</v>
      </c>
      <c r="CBY3" t="s">
        <v>289</v>
      </c>
      <c r="CBZ3" t="s">
        <v>289</v>
      </c>
      <c r="CCA3" t="s">
        <v>289</v>
      </c>
      <c r="CCB3" t="s">
        <v>289</v>
      </c>
      <c r="CCC3" t="s">
        <v>289</v>
      </c>
      <c r="CCD3" t="s">
        <v>289</v>
      </c>
      <c r="CCE3" t="s">
        <v>289</v>
      </c>
      <c r="CCF3" t="s">
        <v>289</v>
      </c>
      <c r="CCG3" t="s">
        <v>289</v>
      </c>
      <c r="CCH3" t="s">
        <v>289</v>
      </c>
      <c r="CCI3" t="s">
        <v>289</v>
      </c>
      <c r="CCJ3" t="s">
        <v>289</v>
      </c>
      <c r="CCK3" t="s">
        <v>289</v>
      </c>
      <c r="CCL3" t="s">
        <v>289</v>
      </c>
      <c r="CCM3" t="s">
        <v>289</v>
      </c>
      <c r="CCN3" t="s">
        <v>289</v>
      </c>
      <c r="CCO3" t="s">
        <v>289</v>
      </c>
      <c r="CCP3" t="s">
        <v>289</v>
      </c>
      <c r="CCQ3" t="s">
        <v>289</v>
      </c>
      <c r="CCR3" t="s">
        <v>289</v>
      </c>
      <c r="CCS3" t="s">
        <v>289</v>
      </c>
      <c r="CCT3" t="s">
        <v>289</v>
      </c>
      <c r="CCU3" t="s">
        <v>289</v>
      </c>
      <c r="CCV3" t="s">
        <v>289</v>
      </c>
      <c r="CCW3" t="s">
        <v>289</v>
      </c>
      <c r="CCX3" t="s">
        <v>289</v>
      </c>
      <c r="CCY3" t="s">
        <v>289</v>
      </c>
      <c r="CCZ3" t="s">
        <v>289</v>
      </c>
      <c r="CDA3" t="s">
        <v>289</v>
      </c>
      <c r="CDB3" t="s">
        <v>289</v>
      </c>
      <c r="CDC3" t="s">
        <v>289</v>
      </c>
      <c r="CDD3" t="s">
        <v>289</v>
      </c>
      <c r="CDE3" t="s">
        <v>289</v>
      </c>
      <c r="CDF3" t="s">
        <v>289</v>
      </c>
      <c r="CDG3" t="s">
        <v>289</v>
      </c>
      <c r="CDH3" t="s">
        <v>289</v>
      </c>
      <c r="CDI3" t="s">
        <v>289</v>
      </c>
      <c r="CDJ3" t="s">
        <v>289</v>
      </c>
      <c r="CDK3" t="s">
        <v>289</v>
      </c>
      <c r="CDL3" t="s">
        <v>289</v>
      </c>
      <c r="CDM3" t="s">
        <v>289</v>
      </c>
      <c r="CDN3" t="s">
        <v>289</v>
      </c>
      <c r="CDO3" t="s">
        <v>289</v>
      </c>
      <c r="CDP3" t="s">
        <v>289</v>
      </c>
      <c r="CDQ3" t="s">
        <v>289</v>
      </c>
      <c r="CDR3" t="s">
        <v>289</v>
      </c>
      <c r="CDS3" t="s">
        <v>289</v>
      </c>
      <c r="CDT3" t="s">
        <v>289</v>
      </c>
      <c r="CDU3" t="s">
        <v>289</v>
      </c>
      <c r="CDV3" t="s">
        <v>289</v>
      </c>
      <c r="CDW3" t="s">
        <v>289</v>
      </c>
      <c r="CDX3" t="s">
        <v>289</v>
      </c>
      <c r="CDY3" t="s">
        <v>289</v>
      </c>
      <c r="CDZ3" t="s">
        <v>289</v>
      </c>
      <c r="CEA3" t="s">
        <v>289</v>
      </c>
      <c r="CEB3" t="s">
        <v>289</v>
      </c>
      <c r="CEC3" t="s">
        <v>289</v>
      </c>
      <c r="CED3" t="s">
        <v>289</v>
      </c>
      <c r="CEE3" t="s">
        <v>289</v>
      </c>
      <c r="CEF3" t="s">
        <v>289</v>
      </c>
      <c r="CEG3" t="s">
        <v>289</v>
      </c>
      <c r="CEH3" t="s">
        <v>289</v>
      </c>
      <c r="CEI3" t="s">
        <v>289</v>
      </c>
      <c r="CEJ3" t="s">
        <v>289</v>
      </c>
      <c r="CEK3" t="s">
        <v>289</v>
      </c>
      <c r="CEL3" t="s">
        <v>289</v>
      </c>
      <c r="CEM3" t="s">
        <v>289</v>
      </c>
      <c r="CEN3" t="s">
        <v>289</v>
      </c>
      <c r="CEO3" t="s">
        <v>289</v>
      </c>
      <c r="CEP3" t="s">
        <v>289</v>
      </c>
      <c r="CEQ3" t="s">
        <v>289</v>
      </c>
      <c r="CER3" t="s">
        <v>289</v>
      </c>
      <c r="CES3" t="s">
        <v>289</v>
      </c>
      <c r="CET3" t="s">
        <v>289</v>
      </c>
      <c r="CEU3" t="s">
        <v>289</v>
      </c>
      <c r="CEV3" t="s">
        <v>289</v>
      </c>
      <c r="CEW3" t="s">
        <v>289</v>
      </c>
      <c r="CEX3" t="s">
        <v>289</v>
      </c>
      <c r="CEY3" t="s">
        <v>289</v>
      </c>
      <c r="CEZ3" t="s">
        <v>289</v>
      </c>
      <c r="CFA3" t="s">
        <v>289</v>
      </c>
      <c r="CFB3" t="s">
        <v>289</v>
      </c>
      <c r="CFC3" t="s">
        <v>289</v>
      </c>
      <c r="CFD3" t="s">
        <v>289</v>
      </c>
      <c r="CFE3" t="s">
        <v>289</v>
      </c>
      <c r="CFF3" t="s">
        <v>289</v>
      </c>
      <c r="CFG3" t="s">
        <v>289</v>
      </c>
      <c r="CFH3" t="s">
        <v>289</v>
      </c>
      <c r="CFI3" t="s">
        <v>289</v>
      </c>
      <c r="CFJ3" t="s">
        <v>289</v>
      </c>
      <c r="CFK3" t="s">
        <v>289</v>
      </c>
      <c r="CFL3" t="s">
        <v>289</v>
      </c>
      <c r="CFM3" t="s">
        <v>289</v>
      </c>
      <c r="CFN3" t="s">
        <v>289</v>
      </c>
      <c r="CFO3" t="s">
        <v>289</v>
      </c>
      <c r="CFP3" t="s">
        <v>289</v>
      </c>
      <c r="CFQ3" t="s">
        <v>289</v>
      </c>
      <c r="CFR3" t="s">
        <v>289</v>
      </c>
      <c r="CFS3" t="s">
        <v>289</v>
      </c>
      <c r="CFT3" t="s">
        <v>289</v>
      </c>
      <c r="CFU3" t="s">
        <v>289</v>
      </c>
      <c r="CFV3" t="s">
        <v>289</v>
      </c>
      <c r="CFW3" t="s">
        <v>289</v>
      </c>
      <c r="CFX3" t="s">
        <v>289</v>
      </c>
      <c r="CFY3" t="s">
        <v>289</v>
      </c>
      <c r="CFZ3" t="s">
        <v>289</v>
      </c>
      <c r="CGA3" t="s">
        <v>289</v>
      </c>
      <c r="CGB3" t="s">
        <v>289</v>
      </c>
      <c r="CGC3" t="s">
        <v>289</v>
      </c>
      <c r="CGD3" t="s">
        <v>289</v>
      </c>
      <c r="CGE3" t="s">
        <v>289</v>
      </c>
      <c r="CGF3" t="s">
        <v>289</v>
      </c>
      <c r="CGG3" t="s">
        <v>289</v>
      </c>
      <c r="CGH3" t="s">
        <v>289</v>
      </c>
      <c r="CGI3" t="s">
        <v>289</v>
      </c>
      <c r="CGJ3" t="s">
        <v>289</v>
      </c>
      <c r="CGK3" t="s">
        <v>289</v>
      </c>
      <c r="CGL3" t="s">
        <v>289</v>
      </c>
      <c r="CGM3">
        <v>-6.5789999999999997</v>
      </c>
      <c r="CGN3">
        <v>-9.0129999999999999</v>
      </c>
      <c r="CGO3">
        <v>-16.707999999999998</v>
      </c>
      <c r="CGP3">
        <v>-12.114000000000001</v>
      </c>
      <c r="CGQ3">
        <v>-3.403</v>
      </c>
      <c r="CGR3">
        <v>2.4279999999999999</v>
      </c>
      <c r="CGS3">
        <v>1.0309999999999999</v>
      </c>
      <c r="CGT3">
        <v>11.051</v>
      </c>
      <c r="CGU3">
        <v>30.561</v>
      </c>
      <c r="CGV3">
        <v>17.763999999999999</v>
      </c>
      <c r="CGW3" t="s">
        <v>289</v>
      </c>
      <c r="CGX3" t="s">
        <v>289</v>
      </c>
      <c r="CGY3" t="s">
        <v>289</v>
      </c>
      <c r="CGZ3" t="s">
        <v>289</v>
      </c>
      <c r="CHA3" t="s">
        <v>289</v>
      </c>
      <c r="CHB3" t="s">
        <v>289</v>
      </c>
      <c r="CHC3" t="s">
        <v>289</v>
      </c>
      <c r="CHD3" t="s">
        <v>289</v>
      </c>
      <c r="CHE3" t="s">
        <v>289</v>
      </c>
      <c r="CHF3">
        <v>0</v>
      </c>
      <c r="CHG3">
        <v>0</v>
      </c>
      <c r="CHH3">
        <v>0</v>
      </c>
      <c r="CHI3">
        <v>0</v>
      </c>
      <c r="CHJ3">
        <v>0</v>
      </c>
      <c r="CHK3">
        <v>0</v>
      </c>
      <c r="CHL3">
        <v>0</v>
      </c>
      <c r="CHM3">
        <v>0</v>
      </c>
      <c r="CHN3">
        <v>0</v>
      </c>
      <c r="CHO3">
        <v>0</v>
      </c>
      <c r="CHP3" t="s">
        <v>289</v>
      </c>
      <c r="CHQ3" t="s">
        <v>289</v>
      </c>
      <c r="CHR3" t="s">
        <v>289</v>
      </c>
      <c r="CHS3" t="s">
        <v>289</v>
      </c>
      <c r="CHT3" t="s">
        <v>289</v>
      </c>
      <c r="CHU3" t="s">
        <v>289</v>
      </c>
      <c r="CHV3" t="s">
        <v>289</v>
      </c>
      <c r="CHW3" t="s">
        <v>289</v>
      </c>
      <c r="CHX3" t="s">
        <v>289</v>
      </c>
      <c r="CHY3" t="s">
        <v>289</v>
      </c>
      <c r="CHZ3">
        <v>37.911000000000001</v>
      </c>
      <c r="CIA3">
        <v>47.430999999999997</v>
      </c>
      <c r="CIB3">
        <v>11.836</v>
      </c>
      <c r="CIC3">
        <v>33.935000000000002</v>
      </c>
      <c r="CID3">
        <v>30.038</v>
      </c>
      <c r="CIE3">
        <v>32.134</v>
      </c>
      <c r="CIF3">
        <v>38.716000000000001</v>
      </c>
      <c r="CIG3">
        <v>42.841000000000001</v>
      </c>
      <c r="CIH3">
        <v>54.509</v>
      </c>
      <c r="CII3" t="s">
        <v>289</v>
      </c>
      <c r="CIJ3" t="s">
        <v>289</v>
      </c>
      <c r="CIK3" t="s">
        <v>289</v>
      </c>
      <c r="CIL3" t="s">
        <v>289</v>
      </c>
      <c r="CIM3" t="s">
        <v>289</v>
      </c>
      <c r="CIN3" t="s">
        <v>289</v>
      </c>
      <c r="CIO3" t="s">
        <v>289</v>
      </c>
      <c r="CIP3" t="s">
        <v>289</v>
      </c>
      <c r="CIQ3" t="s">
        <v>289</v>
      </c>
      <c r="CIR3" t="s">
        <v>289</v>
      </c>
      <c r="CIS3" t="s">
        <v>289</v>
      </c>
      <c r="CIT3" t="s">
        <v>289</v>
      </c>
      <c r="CIU3" t="s">
        <v>289</v>
      </c>
      <c r="CIV3" t="s">
        <v>289</v>
      </c>
      <c r="CIW3" t="s">
        <v>289</v>
      </c>
      <c r="CIX3" t="s">
        <v>289</v>
      </c>
      <c r="CIY3" t="s">
        <v>289</v>
      </c>
      <c r="CIZ3" t="s">
        <v>289</v>
      </c>
      <c r="CJA3" t="s">
        <v>289</v>
      </c>
      <c r="CJB3" t="s">
        <v>289</v>
      </c>
      <c r="CJC3" t="s">
        <v>289</v>
      </c>
      <c r="CJD3" t="s">
        <v>289</v>
      </c>
      <c r="CJE3" t="s">
        <v>289</v>
      </c>
      <c r="CJF3" t="s">
        <v>289</v>
      </c>
      <c r="CJG3" t="s">
        <v>289</v>
      </c>
      <c r="CJH3" t="s">
        <v>289</v>
      </c>
      <c r="CJI3" t="s">
        <v>289</v>
      </c>
      <c r="CJJ3" t="s">
        <v>289</v>
      </c>
      <c r="CJK3" t="s">
        <v>289</v>
      </c>
      <c r="CJL3" t="s">
        <v>289</v>
      </c>
      <c r="CJM3" t="s">
        <v>289</v>
      </c>
      <c r="CJN3" t="s">
        <v>289</v>
      </c>
      <c r="CJO3" t="s">
        <v>289</v>
      </c>
      <c r="CJP3" t="s">
        <v>289</v>
      </c>
      <c r="CJQ3" t="s">
        <v>289</v>
      </c>
      <c r="CJR3" t="s">
        <v>289</v>
      </c>
      <c r="CJS3" t="s">
        <v>289</v>
      </c>
      <c r="CJT3" t="s">
        <v>289</v>
      </c>
      <c r="CJU3" t="s">
        <v>289</v>
      </c>
      <c r="CJV3" t="s">
        <v>289</v>
      </c>
      <c r="CJW3" t="s">
        <v>289</v>
      </c>
      <c r="CJX3" t="s">
        <v>289</v>
      </c>
      <c r="CJY3" t="s">
        <v>289</v>
      </c>
      <c r="CJZ3" t="s">
        <v>289</v>
      </c>
      <c r="CKA3" t="s">
        <v>289</v>
      </c>
      <c r="CKB3" t="s">
        <v>289</v>
      </c>
      <c r="CKC3" t="s">
        <v>289</v>
      </c>
      <c r="CKD3" t="s">
        <v>289</v>
      </c>
      <c r="CKE3" t="s">
        <v>289</v>
      </c>
      <c r="CKF3" t="s">
        <v>289</v>
      </c>
      <c r="CKG3" t="s">
        <v>289</v>
      </c>
      <c r="CKH3" t="s">
        <v>289</v>
      </c>
      <c r="CKI3" t="s">
        <v>289</v>
      </c>
      <c r="CKJ3" t="s">
        <v>289</v>
      </c>
      <c r="CKK3" t="s">
        <v>289</v>
      </c>
      <c r="CKL3" t="s">
        <v>289</v>
      </c>
      <c r="CKM3" t="s">
        <v>289</v>
      </c>
      <c r="CKN3" t="s">
        <v>289</v>
      </c>
      <c r="CKO3" t="s">
        <v>289</v>
      </c>
      <c r="CKP3" t="s">
        <v>289</v>
      </c>
      <c r="CKQ3" t="s">
        <v>289</v>
      </c>
      <c r="CKR3" t="s">
        <v>289</v>
      </c>
      <c r="CKS3" t="s">
        <v>289</v>
      </c>
      <c r="CKT3" t="s">
        <v>289</v>
      </c>
      <c r="CKU3" t="s">
        <v>289</v>
      </c>
      <c r="CKV3" t="s">
        <v>289</v>
      </c>
      <c r="CKW3" t="s">
        <v>289</v>
      </c>
      <c r="CKX3" t="s">
        <v>289</v>
      </c>
      <c r="CKY3" t="s">
        <v>289</v>
      </c>
      <c r="CKZ3" t="s">
        <v>289</v>
      </c>
      <c r="CLA3" t="s">
        <v>289</v>
      </c>
      <c r="CLB3" t="s">
        <v>289</v>
      </c>
      <c r="CLC3" t="s">
        <v>289</v>
      </c>
      <c r="CLD3" t="s">
        <v>289</v>
      </c>
      <c r="CLE3" t="s">
        <v>289</v>
      </c>
      <c r="CLF3" t="s">
        <v>289</v>
      </c>
      <c r="CLG3" t="s">
        <v>289</v>
      </c>
      <c r="CLH3" t="s">
        <v>289</v>
      </c>
      <c r="CLI3" t="s">
        <v>289</v>
      </c>
      <c r="CLJ3" t="s">
        <v>289</v>
      </c>
      <c r="CLK3" t="s">
        <v>289</v>
      </c>
      <c r="CLL3" t="s">
        <v>289</v>
      </c>
      <c r="CLM3" t="s">
        <v>289</v>
      </c>
      <c r="CLN3" t="s">
        <v>289</v>
      </c>
      <c r="CLO3" t="s">
        <v>289</v>
      </c>
      <c r="CLP3" t="s">
        <v>289</v>
      </c>
      <c r="CLQ3" t="s">
        <v>289</v>
      </c>
      <c r="CLR3" t="s">
        <v>289</v>
      </c>
      <c r="CLS3" t="s">
        <v>289</v>
      </c>
      <c r="CLT3" t="s">
        <v>289</v>
      </c>
      <c r="CLU3" t="s">
        <v>289</v>
      </c>
      <c r="CLV3" t="s">
        <v>289</v>
      </c>
      <c r="CLW3" t="s">
        <v>289</v>
      </c>
      <c r="CLX3" t="s">
        <v>289</v>
      </c>
      <c r="CLY3" t="s">
        <v>289</v>
      </c>
      <c r="CLZ3" t="s">
        <v>289</v>
      </c>
      <c r="CMA3" t="s">
        <v>289</v>
      </c>
      <c r="CMB3" t="s">
        <v>289</v>
      </c>
      <c r="CMC3" t="s">
        <v>289</v>
      </c>
      <c r="CMD3" t="s">
        <v>289</v>
      </c>
      <c r="CME3" t="s">
        <v>289</v>
      </c>
      <c r="CMF3" t="s">
        <v>289</v>
      </c>
      <c r="CMG3" t="s">
        <v>289</v>
      </c>
      <c r="CMH3" t="s">
        <v>289</v>
      </c>
      <c r="CMI3" t="s">
        <v>289</v>
      </c>
      <c r="CMJ3" t="s">
        <v>289</v>
      </c>
      <c r="CMK3" t="s">
        <v>289</v>
      </c>
      <c r="CML3" t="s">
        <v>289</v>
      </c>
      <c r="CMM3" t="s">
        <v>289</v>
      </c>
      <c r="CMN3" t="s">
        <v>289</v>
      </c>
      <c r="CMO3" t="s">
        <v>289</v>
      </c>
      <c r="CMP3" t="s">
        <v>289</v>
      </c>
      <c r="CMQ3" t="s">
        <v>289</v>
      </c>
      <c r="CMR3" t="s">
        <v>289</v>
      </c>
      <c r="CMS3" t="s">
        <v>289</v>
      </c>
      <c r="CMT3" t="s">
        <v>289</v>
      </c>
      <c r="CMU3" t="s">
        <v>289</v>
      </c>
      <c r="CMV3" t="s">
        <v>289</v>
      </c>
      <c r="CMW3" t="s">
        <v>289</v>
      </c>
      <c r="CMX3" t="s">
        <v>289</v>
      </c>
      <c r="CMY3" t="s">
        <v>289</v>
      </c>
      <c r="CMZ3" t="s">
        <v>289</v>
      </c>
      <c r="CNA3" t="s">
        <v>289</v>
      </c>
      <c r="CNB3" t="s">
        <v>289</v>
      </c>
      <c r="CNC3" t="s">
        <v>289</v>
      </c>
      <c r="CND3" t="s">
        <v>289</v>
      </c>
      <c r="CNE3" t="s">
        <v>289</v>
      </c>
      <c r="CNF3" t="s">
        <v>289</v>
      </c>
      <c r="CNG3" t="s">
        <v>289</v>
      </c>
      <c r="CNH3" t="s">
        <v>289</v>
      </c>
      <c r="CNI3" t="s">
        <v>289</v>
      </c>
      <c r="CNJ3" t="s">
        <v>289</v>
      </c>
      <c r="CNK3" t="s">
        <v>289</v>
      </c>
      <c r="CNL3" t="s">
        <v>289</v>
      </c>
      <c r="CNM3" t="s">
        <v>289</v>
      </c>
      <c r="CNN3" t="s">
        <v>289</v>
      </c>
      <c r="CNO3" t="s">
        <v>289</v>
      </c>
      <c r="CNP3" t="s">
        <v>289</v>
      </c>
      <c r="CNQ3" t="s">
        <v>289</v>
      </c>
      <c r="CNR3" t="s">
        <v>289</v>
      </c>
      <c r="CNS3" t="s">
        <v>289</v>
      </c>
      <c r="CNT3" t="s">
        <v>289</v>
      </c>
      <c r="CNU3">
        <v>462.52</v>
      </c>
      <c r="CNV3">
        <v>454.01400000000001</v>
      </c>
      <c r="CNW3">
        <v>426.06700000000001</v>
      </c>
      <c r="CNX3">
        <v>707.26800000000003</v>
      </c>
      <c r="CNY3">
        <v>1005.299</v>
      </c>
      <c r="CNZ3">
        <v>662.79899999999998</v>
      </c>
      <c r="COA3">
        <v>934.04100000000005</v>
      </c>
      <c r="COB3">
        <v>1306.0930000000001</v>
      </c>
      <c r="COC3">
        <v>838.21100000000001</v>
      </c>
      <c r="COD3">
        <v>1282.7260000000001</v>
      </c>
      <c r="COE3" t="s">
        <v>289</v>
      </c>
      <c r="COF3" t="s">
        <v>289</v>
      </c>
      <c r="COG3" t="s">
        <v>289</v>
      </c>
      <c r="COH3" t="s">
        <v>289</v>
      </c>
      <c r="COI3" t="s">
        <v>289</v>
      </c>
      <c r="COJ3" t="s">
        <v>289</v>
      </c>
      <c r="COK3" t="s">
        <v>289</v>
      </c>
      <c r="COL3" t="s">
        <v>289</v>
      </c>
      <c r="COM3" t="s">
        <v>289</v>
      </c>
      <c r="CON3">
        <v>306.35759999999999</v>
      </c>
      <c r="COO3">
        <v>296.49979999999999</v>
      </c>
      <c r="COP3">
        <v>261.98989999999998</v>
      </c>
      <c r="COQ3">
        <v>537.23249999999996</v>
      </c>
      <c r="COR3">
        <v>851.58550000000002</v>
      </c>
      <c r="COS3">
        <v>493.2199</v>
      </c>
      <c r="COT3">
        <v>655.3211</v>
      </c>
      <c r="COU3">
        <v>978.70770000000005</v>
      </c>
      <c r="COV3">
        <v>498.10840000000002</v>
      </c>
      <c r="COW3">
        <v>942.79480000000001</v>
      </c>
      <c r="COX3" t="s">
        <v>289</v>
      </c>
      <c r="COY3" t="s">
        <v>289</v>
      </c>
      <c r="COZ3" t="s">
        <v>289</v>
      </c>
      <c r="CPA3" t="s">
        <v>289</v>
      </c>
      <c r="CPB3" t="s">
        <v>289</v>
      </c>
      <c r="CPC3" t="s">
        <v>289</v>
      </c>
      <c r="CPD3" t="s">
        <v>289</v>
      </c>
      <c r="CPE3" t="s">
        <v>289</v>
      </c>
      <c r="CPF3" t="s">
        <v>289</v>
      </c>
      <c r="CPG3">
        <v>-15.11</v>
      </c>
      <c r="CPH3">
        <v>29.664999999999999</v>
      </c>
      <c r="CPI3">
        <v>-72.548000000000002</v>
      </c>
      <c r="CPJ3">
        <v>177.679</v>
      </c>
      <c r="CPK3">
        <v>374.69099999999997</v>
      </c>
      <c r="CPL3">
        <v>-72.305000000000007</v>
      </c>
      <c r="CPM3">
        <v>-201.95400000000001</v>
      </c>
      <c r="CPN3">
        <v>267.39299999999997</v>
      </c>
      <c r="CPO3">
        <v>-181.517</v>
      </c>
      <c r="CPP3">
        <v>2.94</v>
      </c>
      <c r="CPQ3" t="s">
        <v>289</v>
      </c>
      <c r="CPR3" t="s">
        <v>289</v>
      </c>
      <c r="CPS3" t="s">
        <v>289</v>
      </c>
      <c r="CPT3" t="s">
        <v>289</v>
      </c>
      <c r="CPU3" t="s">
        <v>289</v>
      </c>
      <c r="CPV3" t="s">
        <v>289</v>
      </c>
      <c r="CPW3" t="s">
        <v>289</v>
      </c>
      <c r="CPX3" t="s">
        <v>289</v>
      </c>
      <c r="CPY3" t="s">
        <v>289</v>
      </c>
      <c r="CPZ3" t="s">
        <v>289</v>
      </c>
      <c r="CQA3" t="s">
        <v>289</v>
      </c>
      <c r="CQB3" t="s">
        <v>289</v>
      </c>
      <c r="CQC3" t="s">
        <v>289</v>
      </c>
      <c r="CQD3" t="s">
        <v>289</v>
      </c>
      <c r="CQE3" t="s">
        <v>289</v>
      </c>
      <c r="CQF3" t="s">
        <v>289</v>
      </c>
      <c r="CQG3" t="s">
        <v>289</v>
      </c>
      <c r="CQH3" t="s">
        <v>289</v>
      </c>
      <c r="CQI3" t="s">
        <v>289</v>
      </c>
      <c r="CQJ3" t="s">
        <v>289</v>
      </c>
      <c r="CQK3" t="s">
        <v>289</v>
      </c>
      <c r="CQL3" t="s">
        <v>289</v>
      </c>
      <c r="CQM3" t="s">
        <v>289</v>
      </c>
      <c r="CQN3" t="s">
        <v>289</v>
      </c>
      <c r="CQO3" t="s">
        <v>289</v>
      </c>
      <c r="CQP3" t="s">
        <v>289</v>
      </c>
      <c r="CQQ3" t="s">
        <v>289</v>
      </c>
      <c r="CQR3" t="s">
        <v>289</v>
      </c>
      <c r="CQS3" t="s">
        <v>289</v>
      </c>
      <c r="CQT3" t="s">
        <v>289</v>
      </c>
      <c r="CQU3" t="s">
        <v>289</v>
      </c>
      <c r="CQV3" t="s">
        <v>289</v>
      </c>
      <c r="CQW3" t="s">
        <v>289</v>
      </c>
      <c r="CQX3" t="s">
        <v>289</v>
      </c>
      <c r="CQY3" t="s">
        <v>289</v>
      </c>
      <c r="CQZ3" t="s">
        <v>289</v>
      </c>
      <c r="CRA3" t="s">
        <v>289</v>
      </c>
      <c r="CRB3" t="s">
        <v>289</v>
      </c>
      <c r="CRC3" t="s">
        <v>289</v>
      </c>
      <c r="CRD3" t="s">
        <v>289</v>
      </c>
      <c r="CRE3" t="s">
        <v>289</v>
      </c>
      <c r="CRF3" t="s">
        <v>289</v>
      </c>
      <c r="CRG3" t="s">
        <v>289</v>
      </c>
      <c r="CRH3" t="s">
        <v>289</v>
      </c>
      <c r="CRI3" t="s">
        <v>289</v>
      </c>
      <c r="CRJ3" t="s">
        <v>289</v>
      </c>
      <c r="CRK3" t="s">
        <v>289</v>
      </c>
      <c r="CRL3" t="s">
        <v>289</v>
      </c>
      <c r="CRM3" t="s">
        <v>289</v>
      </c>
      <c r="CRN3" t="s">
        <v>289</v>
      </c>
      <c r="CRO3" t="s">
        <v>289</v>
      </c>
      <c r="CRP3" t="s">
        <v>289</v>
      </c>
      <c r="CRQ3" t="s">
        <v>289</v>
      </c>
      <c r="CRR3" t="s">
        <v>289</v>
      </c>
      <c r="CRS3" t="s">
        <v>289</v>
      </c>
      <c r="CRT3" t="s">
        <v>289</v>
      </c>
      <c r="CRU3" t="s">
        <v>289</v>
      </c>
      <c r="CRV3" t="s">
        <v>289</v>
      </c>
      <c r="CRW3" t="s">
        <v>289</v>
      </c>
      <c r="CRX3" t="s">
        <v>289</v>
      </c>
      <c r="CRY3" t="s">
        <v>289</v>
      </c>
      <c r="CRZ3" t="s">
        <v>289</v>
      </c>
      <c r="CSA3" t="s">
        <v>289</v>
      </c>
      <c r="CSB3" t="s">
        <v>289</v>
      </c>
      <c r="CSC3" t="s">
        <v>289</v>
      </c>
      <c r="CSD3" t="s">
        <v>289</v>
      </c>
      <c r="CSE3" t="s">
        <v>289</v>
      </c>
      <c r="CSF3" t="s">
        <v>289</v>
      </c>
      <c r="CSG3" t="s">
        <v>289</v>
      </c>
      <c r="CSH3" t="s">
        <v>289</v>
      </c>
      <c r="CSI3" t="s">
        <v>289</v>
      </c>
      <c r="CSJ3" t="s">
        <v>289</v>
      </c>
      <c r="CSK3" t="s">
        <v>289</v>
      </c>
      <c r="CSL3" t="s">
        <v>289</v>
      </c>
      <c r="CSM3" t="s">
        <v>289</v>
      </c>
      <c r="CSN3" t="s">
        <v>289</v>
      </c>
      <c r="CSO3" t="s">
        <v>289</v>
      </c>
      <c r="CSP3" t="s">
        <v>289</v>
      </c>
      <c r="CSQ3" t="s">
        <v>289</v>
      </c>
      <c r="CSR3" t="s">
        <v>289</v>
      </c>
      <c r="CSS3" t="s">
        <v>289</v>
      </c>
      <c r="CST3" t="s">
        <v>289</v>
      </c>
      <c r="CSU3" t="s">
        <v>289</v>
      </c>
      <c r="CSV3" t="s">
        <v>289</v>
      </c>
      <c r="CSW3" t="s">
        <v>289</v>
      </c>
      <c r="CSX3" t="s">
        <v>289</v>
      </c>
      <c r="CSY3" t="s">
        <v>289</v>
      </c>
      <c r="CSZ3" t="s">
        <v>289</v>
      </c>
      <c r="CTA3" t="s">
        <v>289</v>
      </c>
      <c r="CTB3" t="s">
        <v>289</v>
      </c>
      <c r="CTC3" t="s">
        <v>289</v>
      </c>
      <c r="CTD3" t="s">
        <v>289</v>
      </c>
      <c r="CTE3" t="s">
        <v>289</v>
      </c>
      <c r="CTF3" t="s">
        <v>289</v>
      </c>
      <c r="CTG3" t="s">
        <v>289</v>
      </c>
      <c r="CTH3" t="s">
        <v>289</v>
      </c>
      <c r="CTI3" t="s">
        <v>289</v>
      </c>
      <c r="CTJ3" t="s">
        <v>289</v>
      </c>
      <c r="CTK3" t="s">
        <v>289</v>
      </c>
      <c r="CTL3" t="s">
        <v>289</v>
      </c>
      <c r="CTM3" t="s">
        <v>289</v>
      </c>
      <c r="CTN3" t="s">
        <v>289</v>
      </c>
      <c r="CTO3" t="s">
        <v>289</v>
      </c>
      <c r="CTP3" t="s">
        <v>289</v>
      </c>
      <c r="CTQ3" t="s">
        <v>289</v>
      </c>
      <c r="CTR3" t="s">
        <v>289</v>
      </c>
      <c r="CTS3" t="s">
        <v>289</v>
      </c>
      <c r="CTT3" t="s">
        <v>289</v>
      </c>
      <c r="CTU3" t="s">
        <v>289</v>
      </c>
      <c r="CTV3" t="s">
        <v>289</v>
      </c>
      <c r="CTW3" t="s">
        <v>289</v>
      </c>
      <c r="CTX3" t="s">
        <v>289</v>
      </c>
      <c r="CTY3" t="s">
        <v>289</v>
      </c>
      <c r="CTZ3" t="s">
        <v>289</v>
      </c>
      <c r="CUA3" t="s">
        <v>289</v>
      </c>
      <c r="CUB3" t="s">
        <v>289</v>
      </c>
      <c r="CUC3" t="s">
        <v>289</v>
      </c>
      <c r="CUD3" t="s">
        <v>289</v>
      </c>
      <c r="CUE3" t="s">
        <v>289</v>
      </c>
      <c r="CUF3" t="s">
        <v>289</v>
      </c>
      <c r="CUG3" t="s">
        <v>289</v>
      </c>
      <c r="CUH3" t="s">
        <v>289</v>
      </c>
      <c r="CUI3" t="s">
        <v>289</v>
      </c>
      <c r="CUJ3" t="s">
        <v>289</v>
      </c>
      <c r="CUK3" t="s">
        <v>289</v>
      </c>
      <c r="CUL3" t="s">
        <v>289</v>
      </c>
      <c r="CUM3" t="s">
        <v>289</v>
      </c>
      <c r="CUN3" t="s">
        <v>289</v>
      </c>
      <c r="CUO3" t="s">
        <v>289</v>
      </c>
      <c r="CUP3" t="s">
        <v>289</v>
      </c>
      <c r="CUQ3" t="s">
        <v>289</v>
      </c>
      <c r="CUR3" t="s">
        <v>289</v>
      </c>
      <c r="CUS3" t="s">
        <v>289</v>
      </c>
      <c r="CUT3" t="s">
        <v>289</v>
      </c>
      <c r="CUU3">
        <v>933.14300000000003</v>
      </c>
      <c r="CUV3">
        <v>1278.125</v>
      </c>
      <c r="CUW3">
        <v>1174.75</v>
      </c>
      <c r="CUX3">
        <v>933</v>
      </c>
      <c r="CUY3">
        <v>3748.471</v>
      </c>
      <c r="CUZ3">
        <v>-721.57100000000003</v>
      </c>
      <c r="CVA3">
        <v>710.053</v>
      </c>
      <c r="CVB3">
        <v>1132.579</v>
      </c>
      <c r="CVC3">
        <v>550.66700000000003</v>
      </c>
      <c r="CVD3">
        <v>710.053</v>
      </c>
      <c r="CVE3">
        <v>3446.85</v>
      </c>
      <c r="CVF3">
        <v>-746.55600000000004</v>
      </c>
      <c r="CVG3">
        <v>1062.7370000000001</v>
      </c>
      <c r="CVH3">
        <v>1526.6</v>
      </c>
      <c r="CVI3">
        <v>887.83299999999997</v>
      </c>
      <c r="CVJ3">
        <v>1062.7370000000001</v>
      </c>
      <c r="CVK3">
        <v>4278.7370000000001</v>
      </c>
      <c r="CVL3">
        <v>-703.4</v>
      </c>
      <c r="CVM3">
        <v>1182.6669999999999</v>
      </c>
      <c r="CVN3">
        <v>1728.136</v>
      </c>
      <c r="CVO3">
        <v>503.3</v>
      </c>
      <c r="CVP3">
        <v>1182.6669999999999</v>
      </c>
      <c r="CVQ3">
        <v>4885.7079999999996</v>
      </c>
      <c r="CVR3">
        <v>-683.94100000000003</v>
      </c>
      <c r="CVS3">
        <v>1432.4580000000001</v>
      </c>
      <c r="CVT3">
        <v>2034.636</v>
      </c>
      <c r="CVU3">
        <v>290.46899999999999</v>
      </c>
      <c r="CVV3">
        <v>1432.4580000000001</v>
      </c>
      <c r="CVW3">
        <v>5447.375</v>
      </c>
      <c r="CVX3">
        <v>-735.41200000000003</v>
      </c>
      <c r="CVY3">
        <v>1585.3</v>
      </c>
      <c r="CVZ3">
        <v>2245.0590000000002</v>
      </c>
      <c r="CWA3">
        <v>58.18</v>
      </c>
      <c r="CWB3">
        <v>1585.3</v>
      </c>
      <c r="CWC3">
        <v>5873.7889999999998</v>
      </c>
      <c r="CWD3">
        <v>-765.56200000000001</v>
      </c>
      <c r="CWE3">
        <v>1768.375</v>
      </c>
      <c r="CWF3">
        <v>2434.6669999999999</v>
      </c>
      <c r="CWG3">
        <v>-480.75</v>
      </c>
      <c r="CWH3">
        <v>1768.375</v>
      </c>
      <c r="CWI3">
        <v>6332.1109999999999</v>
      </c>
      <c r="CWJ3">
        <v>-709.75</v>
      </c>
      <c r="CWK3" t="s">
        <v>289</v>
      </c>
      <c r="CWL3" t="s">
        <v>289</v>
      </c>
      <c r="CWM3" t="s">
        <v>289</v>
      </c>
      <c r="CWN3" t="s">
        <v>289</v>
      </c>
      <c r="CWO3" t="s">
        <v>289</v>
      </c>
      <c r="CWP3" t="s">
        <v>289</v>
      </c>
      <c r="CWQ3" t="s">
        <v>289</v>
      </c>
      <c r="CWR3" t="s">
        <v>289</v>
      </c>
      <c r="CWS3">
        <v>462.52</v>
      </c>
      <c r="CWT3">
        <v>454.01400000000001</v>
      </c>
      <c r="CWU3">
        <v>426.06700000000001</v>
      </c>
      <c r="CWV3">
        <v>707.26800000000003</v>
      </c>
      <c r="CWW3">
        <v>1005.299</v>
      </c>
      <c r="CWX3">
        <v>662.79899999999998</v>
      </c>
      <c r="CWY3">
        <v>934.04100000000005</v>
      </c>
      <c r="CWZ3">
        <v>1306.0930000000001</v>
      </c>
      <c r="CXA3">
        <v>838.21100000000001</v>
      </c>
      <c r="CXB3">
        <v>1282.7260000000001</v>
      </c>
      <c r="CXC3" t="s">
        <v>289</v>
      </c>
      <c r="CXD3" t="s">
        <v>289</v>
      </c>
      <c r="CXE3" t="s">
        <v>289</v>
      </c>
      <c r="CXF3" t="s">
        <v>289</v>
      </c>
      <c r="CXG3" t="s">
        <v>289</v>
      </c>
      <c r="CXH3" t="s">
        <v>289</v>
      </c>
      <c r="CXI3" t="s">
        <v>289</v>
      </c>
      <c r="CXJ3" t="s">
        <v>289</v>
      </c>
      <c r="CXK3" t="s">
        <v>289</v>
      </c>
      <c r="CXL3" t="s">
        <v>289</v>
      </c>
      <c r="CXM3" t="s">
        <v>289</v>
      </c>
      <c r="CXN3" t="s">
        <v>289</v>
      </c>
      <c r="CXO3" t="s">
        <v>289</v>
      </c>
      <c r="CXP3" t="s">
        <v>289</v>
      </c>
      <c r="CXQ3" t="s">
        <v>289</v>
      </c>
      <c r="CXR3" t="s">
        <v>289</v>
      </c>
      <c r="CXS3" t="s">
        <v>289</v>
      </c>
      <c r="CXT3" t="s">
        <v>289</v>
      </c>
      <c r="CXU3" t="s">
        <v>289</v>
      </c>
      <c r="CXV3" t="s">
        <v>289</v>
      </c>
      <c r="CXW3" t="s">
        <v>289</v>
      </c>
      <c r="CXX3" t="s">
        <v>289</v>
      </c>
      <c r="CXY3" t="s">
        <v>289</v>
      </c>
      <c r="CXZ3" t="s">
        <v>289</v>
      </c>
      <c r="CYA3" t="s">
        <v>289</v>
      </c>
      <c r="CYB3" t="s">
        <v>289</v>
      </c>
      <c r="CYC3" t="s">
        <v>289</v>
      </c>
      <c r="CYD3" t="s">
        <v>289</v>
      </c>
      <c r="CYE3">
        <v>24.77</v>
      </c>
      <c r="CYF3">
        <v>14.26</v>
      </c>
      <c r="CYG3">
        <v>12.986000000000001</v>
      </c>
      <c r="CYH3">
        <v>-45.792000000000002</v>
      </c>
      <c r="CYI3">
        <v>106.163</v>
      </c>
      <c r="CYJ3">
        <v>29.332999999999998</v>
      </c>
      <c r="CYK3">
        <v>40.317</v>
      </c>
      <c r="CYL3">
        <v>53.94</v>
      </c>
      <c r="CYM3">
        <v>8.5939999999999994</v>
      </c>
      <c r="CYN3">
        <v>72.567999999999998</v>
      </c>
      <c r="CYO3" t="s">
        <v>289</v>
      </c>
      <c r="CYP3" t="s">
        <v>289</v>
      </c>
      <c r="CYQ3" t="s">
        <v>289</v>
      </c>
      <c r="CYR3" t="s">
        <v>289</v>
      </c>
      <c r="CYS3" t="s">
        <v>289</v>
      </c>
      <c r="CYT3" t="s">
        <v>289</v>
      </c>
      <c r="CYU3" t="s">
        <v>289</v>
      </c>
      <c r="CYV3" t="s">
        <v>289</v>
      </c>
      <c r="CYW3" t="s">
        <v>289</v>
      </c>
      <c r="CYX3">
        <v>-18.940000000000001</v>
      </c>
      <c r="CYY3">
        <v>-19.548999999999999</v>
      </c>
      <c r="CYZ3">
        <v>-65.548000000000002</v>
      </c>
      <c r="CZA3">
        <v>-2.8849999999999998</v>
      </c>
      <c r="CZB3">
        <v>-33.186999999999998</v>
      </c>
      <c r="CZC3">
        <v>-88.483000000000004</v>
      </c>
      <c r="CZD3">
        <v>-4.6379999999999999</v>
      </c>
      <c r="CZE3">
        <v>-40.627000000000002</v>
      </c>
      <c r="CZF3">
        <v>-67.796999999999997</v>
      </c>
      <c r="CZG3">
        <v>-81.308999999999997</v>
      </c>
      <c r="CZH3" t="s">
        <v>289</v>
      </c>
      <c r="CZI3" t="s">
        <v>289</v>
      </c>
      <c r="CZJ3" t="s">
        <v>289</v>
      </c>
      <c r="CZK3" t="s">
        <v>289</v>
      </c>
      <c r="CZL3" t="s">
        <v>289</v>
      </c>
      <c r="CZM3" t="s">
        <v>289</v>
      </c>
      <c r="CZN3" t="s">
        <v>289</v>
      </c>
      <c r="CZO3" t="s">
        <v>289</v>
      </c>
      <c r="CZP3" t="s">
        <v>289</v>
      </c>
      <c r="CZQ3" t="s">
        <v>289</v>
      </c>
      <c r="CZR3" t="s">
        <v>289</v>
      </c>
      <c r="CZS3" t="s">
        <v>289</v>
      </c>
      <c r="CZT3" t="s">
        <v>289</v>
      </c>
      <c r="CZU3" t="s">
        <v>289</v>
      </c>
      <c r="CZV3" t="s">
        <v>289</v>
      </c>
      <c r="CZW3" t="s">
        <v>289</v>
      </c>
      <c r="CZX3" t="s">
        <v>289</v>
      </c>
      <c r="CZY3" t="s">
        <v>289</v>
      </c>
      <c r="CZZ3" t="s">
        <v>289</v>
      </c>
      <c r="DAA3" t="s">
        <v>289</v>
      </c>
      <c r="DAB3" t="s">
        <v>289</v>
      </c>
      <c r="DAC3" t="s">
        <v>289</v>
      </c>
      <c r="DAD3" t="s">
        <v>289</v>
      </c>
      <c r="DAE3" t="s">
        <v>289</v>
      </c>
      <c r="DAF3" t="s">
        <v>289</v>
      </c>
      <c r="DAG3" t="s">
        <v>289</v>
      </c>
      <c r="DAH3" t="s">
        <v>289</v>
      </c>
      <c r="DAI3" t="s">
        <v>289</v>
      </c>
      <c r="DAJ3" t="s">
        <v>289</v>
      </c>
      <c r="DAK3" t="s">
        <v>289</v>
      </c>
      <c r="DAL3" t="s">
        <v>289</v>
      </c>
      <c r="DAM3" t="s">
        <v>289</v>
      </c>
      <c r="DAN3" t="s">
        <v>289</v>
      </c>
      <c r="DAO3" t="s">
        <v>289</v>
      </c>
      <c r="DAP3" t="s">
        <v>289</v>
      </c>
      <c r="DAQ3" t="s">
        <v>289</v>
      </c>
      <c r="DAR3" t="s">
        <v>289</v>
      </c>
      <c r="DAS3" t="s">
        <v>289</v>
      </c>
      <c r="DAT3" t="s">
        <v>289</v>
      </c>
      <c r="DAU3" t="s">
        <v>289</v>
      </c>
      <c r="DAV3" t="s">
        <v>289</v>
      </c>
      <c r="DAW3" t="s">
        <v>289</v>
      </c>
      <c r="DAX3" t="s">
        <v>289</v>
      </c>
      <c r="DAY3" t="s">
        <v>289</v>
      </c>
      <c r="DAZ3" t="s">
        <v>289</v>
      </c>
      <c r="DBA3" t="s">
        <v>289</v>
      </c>
      <c r="DBB3" t="s">
        <v>289</v>
      </c>
      <c r="DBC3" t="s">
        <v>289</v>
      </c>
      <c r="DBD3" t="s">
        <v>289</v>
      </c>
      <c r="DBE3" t="s">
        <v>289</v>
      </c>
      <c r="DBF3" t="s">
        <v>289</v>
      </c>
      <c r="DBG3" t="s">
        <v>289</v>
      </c>
      <c r="DBH3" t="s">
        <v>289</v>
      </c>
      <c r="DBI3" t="s">
        <v>289</v>
      </c>
      <c r="DBJ3" t="s">
        <v>289</v>
      </c>
      <c r="DBK3" t="s">
        <v>289</v>
      </c>
      <c r="DBL3" t="s">
        <v>289</v>
      </c>
      <c r="DBM3" t="s">
        <v>289</v>
      </c>
      <c r="DBN3" t="s">
        <v>289</v>
      </c>
      <c r="DBO3" t="s">
        <v>289</v>
      </c>
      <c r="DBP3" t="s">
        <v>289</v>
      </c>
      <c r="DBQ3" t="s">
        <v>289</v>
      </c>
      <c r="DBR3" t="s">
        <v>289</v>
      </c>
      <c r="DBS3" t="s">
        <v>289</v>
      </c>
      <c r="DBT3" t="s">
        <v>289</v>
      </c>
      <c r="DBU3" t="s">
        <v>289</v>
      </c>
      <c r="DBV3">
        <v>8.8569999999999993</v>
      </c>
      <c r="DBW3">
        <v>-81.385999999999996</v>
      </c>
      <c r="DBX3">
        <v>0.82399999999999995</v>
      </c>
      <c r="DBY3">
        <v>15.693</v>
      </c>
      <c r="DBZ3">
        <v>-88.846999999999994</v>
      </c>
      <c r="DCA3">
        <v>-1.7450000000000001</v>
      </c>
      <c r="DCB3">
        <v>26.89</v>
      </c>
      <c r="DCC3">
        <v>-22.376999999999999</v>
      </c>
      <c r="DCD3">
        <v>44.476999999999997</v>
      </c>
      <c r="DCE3">
        <v>1.7709999999999999</v>
      </c>
      <c r="DCF3" t="s">
        <v>289</v>
      </c>
      <c r="DCG3" t="s">
        <v>289</v>
      </c>
      <c r="DCH3" t="s">
        <v>289</v>
      </c>
      <c r="DCI3" t="s">
        <v>289</v>
      </c>
      <c r="DCJ3" t="s">
        <v>289</v>
      </c>
      <c r="DCK3" t="s">
        <v>289</v>
      </c>
      <c r="DCL3" t="s">
        <v>289</v>
      </c>
      <c r="DCM3" t="s">
        <v>289</v>
      </c>
      <c r="DCN3" t="s">
        <v>289</v>
      </c>
      <c r="DCO3" t="s">
        <v>289</v>
      </c>
      <c r="DCP3" t="s">
        <v>289</v>
      </c>
      <c r="DCQ3" t="s">
        <v>289</v>
      </c>
      <c r="DCR3" t="s">
        <v>289</v>
      </c>
      <c r="DCS3" t="s">
        <v>289</v>
      </c>
      <c r="DCT3" t="s">
        <v>289</v>
      </c>
      <c r="DCU3" t="s">
        <v>289</v>
      </c>
      <c r="DCV3" t="s">
        <v>289</v>
      </c>
      <c r="DCW3" t="s">
        <v>289</v>
      </c>
      <c r="DCX3" t="s">
        <v>289</v>
      </c>
      <c r="DCY3" t="s">
        <v>289</v>
      </c>
      <c r="DCZ3" t="s">
        <v>289</v>
      </c>
      <c r="DDA3" t="s">
        <v>289</v>
      </c>
      <c r="DDB3" t="s">
        <v>289</v>
      </c>
      <c r="DDC3" t="s">
        <v>289</v>
      </c>
      <c r="DDD3" t="s">
        <v>289</v>
      </c>
      <c r="DDE3" t="s">
        <v>289</v>
      </c>
      <c r="DDF3" t="s">
        <v>289</v>
      </c>
      <c r="DDG3" t="s">
        <v>289</v>
      </c>
      <c r="DDH3" t="s">
        <v>289</v>
      </c>
      <c r="DDI3" t="s">
        <v>289</v>
      </c>
      <c r="DDJ3" t="s">
        <v>289</v>
      </c>
      <c r="DDK3" t="s">
        <v>289</v>
      </c>
      <c r="DDL3" t="s">
        <v>289</v>
      </c>
      <c r="DDM3" t="s">
        <v>289</v>
      </c>
      <c r="DDN3" t="s">
        <v>289</v>
      </c>
      <c r="DDO3" t="s">
        <v>289</v>
      </c>
      <c r="DDP3" t="s">
        <v>289</v>
      </c>
      <c r="DDQ3" t="s">
        <v>289</v>
      </c>
      <c r="DDR3" t="s">
        <v>289</v>
      </c>
      <c r="DDS3" t="s">
        <v>289</v>
      </c>
      <c r="DDT3" t="s">
        <v>289</v>
      </c>
      <c r="DDU3" t="s">
        <v>289</v>
      </c>
      <c r="DDV3" t="s">
        <v>289</v>
      </c>
      <c r="DDW3" t="s">
        <v>289</v>
      </c>
      <c r="DDX3" t="s">
        <v>289</v>
      </c>
      <c r="DDY3" t="s">
        <v>289</v>
      </c>
      <c r="DDZ3" t="s">
        <v>289</v>
      </c>
      <c r="DEA3" t="s">
        <v>289</v>
      </c>
      <c r="DEB3" t="s">
        <v>289</v>
      </c>
      <c r="DEC3" t="s">
        <v>289</v>
      </c>
      <c r="DED3" t="s">
        <v>289</v>
      </c>
      <c r="DEE3" t="s">
        <v>289</v>
      </c>
      <c r="DEF3" t="s">
        <v>289</v>
      </c>
      <c r="DEG3" t="s">
        <v>289</v>
      </c>
      <c r="DEH3" t="s">
        <v>289</v>
      </c>
      <c r="DEI3" t="s">
        <v>289</v>
      </c>
      <c r="DEJ3" t="s">
        <v>289</v>
      </c>
      <c r="DEK3" t="s">
        <v>289</v>
      </c>
      <c r="DEL3" t="s">
        <v>289</v>
      </c>
      <c r="DEM3" t="s">
        <v>289</v>
      </c>
      <c r="DEN3" t="s">
        <v>289</v>
      </c>
      <c r="DEO3" t="s">
        <v>289</v>
      </c>
      <c r="DEP3" t="s">
        <v>289</v>
      </c>
      <c r="DEQ3" t="s">
        <v>289</v>
      </c>
      <c r="DER3" t="s">
        <v>289</v>
      </c>
      <c r="DES3" t="s">
        <v>289</v>
      </c>
      <c r="DET3" t="s">
        <v>289</v>
      </c>
      <c r="DEU3" t="s">
        <v>289</v>
      </c>
      <c r="DEV3" t="s">
        <v>289</v>
      </c>
      <c r="DEW3" t="s">
        <v>289</v>
      </c>
      <c r="DEX3" t="s">
        <v>289</v>
      </c>
      <c r="DEY3" t="s">
        <v>289</v>
      </c>
      <c r="DEZ3" t="s">
        <v>289</v>
      </c>
      <c r="DFA3" t="s">
        <v>289</v>
      </c>
      <c r="DFB3" t="s">
        <v>289</v>
      </c>
      <c r="DFC3" t="s">
        <v>289</v>
      </c>
      <c r="DFD3" t="s">
        <v>289</v>
      </c>
      <c r="DFE3" t="s">
        <v>289</v>
      </c>
      <c r="DFF3" t="s">
        <v>289</v>
      </c>
      <c r="DFG3" t="s">
        <v>289</v>
      </c>
      <c r="DFH3" t="s">
        <v>289</v>
      </c>
      <c r="DFI3" t="s">
        <v>289</v>
      </c>
      <c r="DFJ3" t="s">
        <v>289</v>
      </c>
      <c r="DFK3" t="s">
        <v>289</v>
      </c>
      <c r="DFL3" t="s">
        <v>289</v>
      </c>
      <c r="DFM3" t="s">
        <v>289</v>
      </c>
      <c r="DFN3" t="s">
        <v>289</v>
      </c>
      <c r="DFO3" t="s">
        <v>289</v>
      </c>
      <c r="DFP3" t="s">
        <v>289</v>
      </c>
      <c r="DFQ3" t="s">
        <v>289</v>
      </c>
      <c r="DFR3" t="s">
        <v>289</v>
      </c>
      <c r="DFS3" t="s">
        <v>289</v>
      </c>
      <c r="DFT3" t="s">
        <v>289</v>
      </c>
      <c r="DFU3" t="s">
        <v>289</v>
      </c>
      <c r="DFV3" t="s">
        <v>289</v>
      </c>
      <c r="DFW3" t="s">
        <v>289</v>
      </c>
      <c r="DFX3" t="s">
        <v>289</v>
      </c>
      <c r="DFY3" t="s">
        <v>289</v>
      </c>
      <c r="DFZ3" t="s">
        <v>289</v>
      </c>
      <c r="DGA3" t="s">
        <v>289</v>
      </c>
      <c r="DGB3" t="s">
        <v>289</v>
      </c>
      <c r="DGC3" t="s">
        <v>289</v>
      </c>
      <c r="DGD3" t="s">
        <v>289</v>
      </c>
      <c r="DGE3" t="s">
        <v>289</v>
      </c>
      <c r="DGF3" t="s">
        <v>289</v>
      </c>
      <c r="DGG3" t="s">
        <v>289</v>
      </c>
      <c r="DGH3" t="s">
        <v>289</v>
      </c>
      <c r="DGI3" t="s">
        <v>289</v>
      </c>
      <c r="DGJ3" t="s">
        <v>289</v>
      </c>
      <c r="DGK3" t="s">
        <v>289</v>
      </c>
      <c r="DGL3" t="s">
        <v>289</v>
      </c>
      <c r="DGM3" t="s">
        <v>289</v>
      </c>
      <c r="DGN3" t="s">
        <v>289</v>
      </c>
      <c r="DGO3" t="s">
        <v>289</v>
      </c>
      <c r="DGP3" t="s">
        <v>289</v>
      </c>
      <c r="DGQ3" t="s">
        <v>289</v>
      </c>
      <c r="DGR3" t="s">
        <v>289</v>
      </c>
      <c r="DGS3" t="s">
        <v>289</v>
      </c>
      <c r="DGT3" t="s">
        <v>289</v>
      </c>
      <c r="DGU3" t="s">
        <v>289</v>
      </c>
      <c r="DGV3" t="s">
        <v>289</v>
      </c>
      <c r="DGW3" t="s">
        <v>289</v>
      </c>
      <c r="DGX3" t="s">
        <v>289</v>
      </c>
      <c r="DGY3" t="s">
        <v>289</v>
      </c>
      <c r="DGZ3" t="s">
        <v>289</v>
      </c>
      <c r="DHA3" t="s">
        <v>289</v>
      </c>
      <c r="DHB3" t="s">
        <v>289</v>
      </c>
      <c r="DHC3" t="s">
        <v>289</v>
      </c>
      <c r="DHD3" t="s">
        <v>289</v>
      </c>
      <c r="DHE3" t="s">
        <v>289</v>
      </c>
      <c r="DHF3" t="s">
        <v>289</v>
      </c>
      <c r="DHG3" t="s">
        <v>289</v>
      </c>
      <c r="DHH3" t="s">
        <v>289</v>
      </c>
      <c r="DHI3" t="s">
        <v>289</v>
      </c>
      <c r="DHJ3" t="s">
        <v>289</v>
      </c>
      <c r="DHK3" t="s">
        <v>289</v>
      </c>
      <c r="DHL3" t="s">
        <v>289</v>
      </c>
      <c r="DHM3" t="s">
        <v>289</v>
      </c>
      <c r="DHN3" t="s">
        <v>289</v>
      </c>
      <c r="DHO3" t="s">
        <v>289</v>
      </c>
      <c r="DHP3" t="s">
        <v>289</v>
      </c>
      <c r="DHQ3" t="s">
        <v>289</v>
      </c>
      <c r="DHR3" t="s">
        <v>289</v>
      </c>
      <c r="DHS3" t="s">
        <v>289</v>
      </c>
      <c r="DHT3" t="s">
        <v>289</v>
      </c>
      <c r="DHU3" t="s">
        <v>289</v>
      </c>
      <c r="DHV3" t="s">
        <v>289</v>
      </c>
      <c r="DHW3" t="s">
        <v>289</v>
      </c>
      <c r="DHX3" t="s">
        <v>289</v>
      </c>
      <c r="DHY3" t="s">
        <v>289</v>
      </c>
      <c r="DHZ3" t="s">
        <v>289</v>
      </c>
      <c r="DIA3" t="s">
        <v>289</v>
      </c>
      <c r="DIB3" t="s">
        <v>289</v>
      </c>
      <c r="DIC3" t="s">
        <v>289</v>
      </c>
      <c r="DID3" t="s">
        <v>289</v>
      </c>
      <c r="DIE3" t="s">
        <v>289</v>
      </c>
      <c r="DIF3" t="s">
        <v>289</v>
      </c>
      <c r="DIG3" t="s">
        <v>289</v>
      </c>
      <c r="DIH3" t="s">
        <v>289</v>
      </c>
      <c r="DII3" t="s">
        <v>289</v>
      </c>
      <c r="DIJ3" t="s">
        <v>289</v>
      </c>
      <c r="DIK3">
        <v>8.8569999999999993</v>
      </c>
      <c r="DIL3">
        <v>-81.385999999999996</v>
      </c>
      <c r="DIM3">
        <v>0.82399999999999995</v>
      </c>
      <c r="DIN3">
        <v>15.693</v>
      </c>
      <c r="DIO3">
        <v>-88.846999999999994</v>
      </c>
      <c r="DIP3">
        <v>-1.7450000000000001</v>
      </c>
      <c r="DIQ3">
        <v>26.89</v>
      </c>
      <c r="DIR3">
        <v>-22.376999999999999</v>
      </c>
      <c r="DIS3">
        <v>44.476999999999997</v>
      </c>
      <c r="DIT3">
        <v>1.7709999999999999</v>
      </c>
      <c r="DIU3" t="s">
        <v>289</v>
      </c>
      <c r="DIV3" t="s">
        <v>289</v>
      </c>
      <c r="DIW3" t="s">
        <v>289</v>
      </c>
      <c r="DIX3" t="s">
        <v>289</v>
      </c>
      <c r="DIY3" t="s">
        <v>289</v>
      </c>
      <c r="DIZ3" t="s">
        <v>289</v>
      </c>
      <c r="DJA3" t="s">
        <v>289</v>
      </c>
      <c r="DJB3" t="s">
        <v>289</v>
      </c>
      <c r="DJC3" t="s">
        <v>289</v>
      </c>
      <c r="DJD3">
        <v>-18.940000000000001</v>
      </c>
      <c r="DJE3">
        <v>-19.548999999999999</v>
      </c>
      <c r="DJF3">
        <v>-65.548000000000002</v>
      </c>
      <c r="DJG3">
        <v>-2.8849999999999998</v>
      </c>
      <c r="DJH3">
        <v>-33.186999999999998</v>
      </c>
      <c r="DJI3">
        <v>-88.483000000000004</v>
      </c>
      <c r="DJJ3">
        <v>-4.6379999999999999</v>
      </c>
      <c r="DJK3">
        <v>-40.627000000000002</v>
      </c>
      <c r="DJL3">
        <v>-67.796999999999997</v>
      </c>
      <c r="DJM3">
        <v>-81.308999999999997</v>
      </c>
      <c r="DJN3" t="s">
        <v>289</v>
      </c>
      <c r="DJO3" t="s">
        <v>289</v>
      </c>
      <c r="DJP3" t="s">
        <v>289</v>
      </c>
      <c r="DJQ3" t="s">
        <v>289</v>
      </c>
      <c r="DJR3" t="s">
        <v>289</v>
      </c>
      <c r="DJS3" t="s">
        <v>289</v>
      </c>
      <c r="DJT3" t="s">
        <v>289</v>
      </c>
      <c r="DJU3" t="s">
        <v>289</v>
      </c>
      <c r="DJV3" t="s">
        <v>289</v>
      </c>
      <c r="DJW3" t="s">
        <v>289</v>
      </c>
      <c r="DJX3" t="s">
        <v>289</v>
      </c>
      <c r="DJY3" t="s">
        <v>289</v>
      </c>
      <c r="DJZ3" t="s">
        <v>289</v>
      </c>
      <c r="DKA3" t="s">
        <v>289</v>
      </c>
      <c r="DKB3" t="s">
        <v>289</v>
      </c>
      <c r="DKC3" t="s">
        <v>289</v>
      </c>
      <c r="DKD3" t="s">
        <v>289</v>
      </c>
      <c r="DKE3" t="s">
        <v>289</v>
      </c>
      <c r="DKF3" t="s">
        <v>289</v>
      </c>
      <c r="DKG3" t="s">
        <v>289</v>
      </c>
      <c r="DKH3" t="s">
        <v>289</v>
      </c>
      <c r="DKI3" t="s">
        <v>289</v>
      </c>
      <c r="DKJ3" t="s">
        <v>289</v>
      </c>
      <c r="DKK3" t="s">
        <v>289</v>
      </c>
      <c r="DKL3" t="s">
        <v>289</v>
      </c>
      <c r="DKM3" t="s">
        <v>289</v>
      </c>
      <c r="DKN3" t="s">
        <v>289</v>
      </c>
      <c r="DKO3" t="s">
        <v>289</v>
      </c>
      <c r="DKP3">
        <v>0</v>
      </c>
      <c r="DKQ3">
        <v>0</v>
      </c>
      <c r="DKR3">
        <v>0</v>
      </c>
      <c r="DKS3">
        <v>0</v>
      </c>
      <c r="DKT3">
        <v>0</v>
      </c>
      <c r="DKU3">
        <v>0</v>
      </c>
      <c r="DKV3">
        <v>0</v>
      </c>
      <c r="DKW3">
        <v>0</v>
      </c>
      <c r="DKX3">
        <v>0</v>
      </c>
      <c r="DKY3">
        <v>0</v>
      </c>
      <c r="DKZ3" t="s">
        <v>289</v>
      </c>
      <c r="DLA3" t="s">
        <v>289</v>
      </c>
      <c r="DLB3" t="s">
        <v>289</v>
      </c>
      <c r="DLC3" t="s">
        <v>289</v>
      </c>
      <c r="DLD3" t="s">
        <v>289</v>
      </c>
      <c r="DLE3" t="s">
        <v>289</v>
      </c>
      <c r="DLF3" t="s">
        <v>289</v>
      </c>
      <c r="DLG3" t="s">
        <v>289</v>
      </c>
      <c r="DLH3" t="s">
        <v>289</v>
      </c>
      <c r="DLI3">
        <v>24.77</v>
      </c>
      <c r="DLJ3">
        <v>14.26</v>
      </c>
      <c r="DLK3">
        <v>12.986000000000001</v>
      </c>
      <c r="DLL3">
        <v>-45.792000000000002</v>
      </c>
      <c r="DLM3">
        <v>106.163</v>
      </c>
      <c r="DLN3">
        <v>29.332999999999998</v>
      </c>
      <c r="DLO3">
        <v>40.317</v>
      </c>
      <c r="DLP3">
        <v>53.94</v>
      </c>
      <c r="DLQ3">
        <v>8.5939999999999994</v>
      </c>
      <c r="DLR3">
        <v>72.567999999999998</v>
      </c>
      <c r="DLS3" t="s">
        <v>289</v>
      </c>
      <c r="DLT3" t="s">
        <v>289</v>
      </c>
      <c r="DLU3" t="s">
        <v>289</v>
      </c>
      <c r="DLV3" t="s">
        <v>289</v>
      </c>
      <c r="DLW3" t="s">
        <v>289</v>
      </c>
      <c r="DLX3" t="s">
        <v>289</v>
      </c>
      <c r="DLY3" t="s">
        <v>289</v>
      </c>
      <c r="DLZ3" t="s">
        <v>289</v>
      </c>
      <c r="DMA3" t="s">
        <v>289</v>
      </c>
      <c r="DMB3">
        <v>14.686999999999999</v>
      </c>
      <c r="DMC3">
        <v>-86.674999999999997</v>
      </c>
      <c r="DMD3">
        <v>-51.738</v>
      </c>
      <c r="DME3">
        <v>-32.984000000000002</v>
      </c>
      <c r="DMF3">
        <v>-15.871</v>
      </c>
      <c r="DMG3">
        <v>-60.895000000000003</v>
      </c>
      <c r="DMH3">
        <v>62.569000000000003</v>
      </c>
      <c r="DMI3">
        <v>-9.0640000000000001</v>
      </c>
      <c r="DMJ3">
        <v>-14.726000000000001</v>
      </c>
      <c r="DMK3">
        <v>-6.97</v>
      </c>
      <c r="DML3" t="s">
        <v>289</v>
      </c>
      <c r="DMM3" t="s">
        <v>289</v>
      </c>
      <c r="DMN3" t="s">
        <v>289</v>
      </c>
      <c r="DMO3" t="s">
        <v>289</v>
      </c>
      <c r="DMP3" t="s">
        <v>289</v>
      </c>
      <c r="DMQ3" t="s">
        <v>289</v>
      </c>
      <c r="DMR3" t="s">
        <v>289</v>
      </c>
      <c r="DMS3" t="s">
        <v>289</v>
      </c>
      <c r="DMT3" t="s">
        <v>289</v>
      </c>
      <c r="DMU3" t="s">
        <v>289</v>
      </c>
      <c r="DMV3" t="s">
        <v>289</v>
      </c>
      <c r="DMW3" t="s">
        <v>289</v>
      </c>
      <c r="DMX3" t="s">
        <v>289</v>
      </c>
      <c r="DMY3" t="s">
        <v>289</v>
      </c>
      <c r="DMZ3" t="s">
        <v>289</v>
      </c>
      <c r="DNA3" t="s">
        <v>289</v>
      </c>
      <c r="DNB3" t="s">
        <v>289</v>
      </c>
      <c r="DNC3" t="s">
        <v>289</v>
      </c>
      <c r="DND3" t="s">
        <v>289</v>
      </c>
      <c r="DNE3" t="s">
        <v>289</v>
      </c>
      <c r="DNF3" t="s">
        <v>289</v>
      </c>
      <c r="DNG3" t="s">
        <v>289</v>
      </c>
      <c r="DNH3" t="s">
        <v>289</v>
      </c>
      <c r="DNI3" t="s">
        <v>289</v>
      </c>
      <c r="DNJ3" t="s">
        <v>289</v>
      </c>
      <c r="DNK3" t="s">
        <v>289</v>
      </c>
      <c r="DNL3" t="s">
        <v>289</v>
      </c>
      <c r="DNM3" t="s">
        <v>289</v>
      </c>
      <c r="DNN3" t="s">
        <v>289</v>
      </c>
      <c r="DNO3" t="s">
        <v>289</v>
      </c>
      <c r="DNP3" t="s">
        <v>289</v>
      </c>
      <c r="DNQ3" t="s">
        <v>289</v>
      </c>
      <c r="DNR3" t="s">
        <v>289</v>
      </c>
      <c r="DNS3" t="s">
        <v>289</v>
      </c>
      <c r="DNT3" t="s">
        <v>289</v>
      </c>
      <c r="DNU3" t="s">
        <v>289</v>
      </c>
      <c r="DNV3" t="s">
        <v>289</v>
      </c>
      <c r="DNW3" t="s">
        <v>289</v>
      </c>
      <c r="DNX3" t="s">
        <v>289</v>
      </c>
      <c r="DNY3" t="s">
        <v>289</v>
      </c>
      <c r="DNZ3" t="s">
        <v>289</v>
      </c>
      <c r="DOA3" t="s">
        <v>289</v>
      </c>
      <c r="DOB3" t="s">
        <v>289</v>
      </c>
      <c r="DOC3" t="s">
        <v>289</v>
      </c>
      <c r="DOD3" t="s">
        <v>289</v>
      </c>
      <c r="DOE3" t="s">
        <v>289</v>
      </c>
      <c r="DOF3" t="s">
        <v>289</v>
      </c>
      <c r="DOG3">
        <v>134.322</v>
      </c>
      <c r="DOH3">
        <v>138.78399999999999</v>
      </c>
      <c r="DOI3">
        <v>140.91999999999999</v>
      </c>
      <c r="DOJ3">
        <v>145.017</v>
      </c>
      <c r="DOK3">
        <v>252.02600000000001</v>
      </c>
      <c r="DOL3">
        <v>215.48599999999999</v>
      </c>
      <c r="DOM3">
        <v>87.745000000000005</v>
      </c>
      <c r="DON3">
        <v>33.479999999999997</v>
      </c>
      <c r="DOO3">
        <v>91.051000000000002</v>
      </c>
      <c r="DOP3">
        <v>109.001</v>
      </c>
      <c r="DOQ3" t="s">
        <v>289</v>
      </c>
      <c r="DOR3" t="s">
        <v>289</v>
      </c>
      <c r="DOS3" t="s">
        <v>289</v>
      </c>
      <c r="DOT3" t="s">
        <v>289</v>
      </c>
      <c r="DOU3" t="s">
        <v>289</v>
      </c>
      <c r="DOV3" t="s">
        <v>289</v>
      </c>
      <c r="DOW3" t="s">
        <v>289</v>
      </c>
      <c r="DOX3" t="s">
        <v>289</v>
      </c>
      <c r="DOY3" t="s">
        <v>289</v>
      </c>
      <c r="DOZ3" t="s">
        <v>289</v>
      </c>
      <c r="DPA3" t="s">
        <v>289</v>
      </c>
      <c r="DPB3" t="s">
        <v>289</v>
      </c>
      <c r="DPC3" t="s">
        <v>289</v>
      </c>
      <c r="DPD3" t="s">
        <v>289</v>
      </c>
      <c r="DPE3" t="s">
        <v>289</v>
      </c>
      <c r="DPF3" t="s">
        <v>289</v>
      </c>
      <c r="DPG3" t="s">
        <v>289</v>
      </c>
      <c r="DPH3" t="s">
        <v>289</v>
      </c>
      <c r="DPI3" t="s">
        <v>289</v>
      </c>
      <c r="DPJ3" t="s">
        <v>289</v>
      </c>
      <c r="DPK3" t="s">
        <v>289</v>
      </c>
      <c r="DPL3" t="s">
        <v>289</v>
      </c>
      <c r="DPM3" t="s">
        <v>289</v>
      </c>
      <c r="DPN3" t="s">
        <v>289</v>
      </c>
      <c r="DPO3" t="s">
        <v>289</v>
      </c>
      <c r="DPP3" t="s">
        <v>289</v>
      </c>
      <c r="DPQ3" t="s">
        <v>289</v>
      </c>
      <c r="DPR3" t="s">
        <v>289</v>
      </c>
      <c r="DPS3" t="s">
        <v>289</v>
      </c>
      <c r="DPT3" t="s">
        <v>289</v>
      </c>
      <c r="DPU3" t="s">
        <v>289</v>
      </c>
      <c r="DPV3" t="s">
        <v>289</v>
      </c>
      <c r="DPW3" t="s">
        <v>289</v>
      </c>
      <c r="DPX3" t="s">
        <v>289</v>
      </c>
      <c r="DPY3" t="s">
        <v>289</v>
      </c>
      <c r="DPZ3" t="s">
        <v>289</v>
      </c>
      <c r="DQA3" t="s">
        <v>289</v>
      </c>
      <c r="DQB3" t="s">
        <v>289</v>
      </c>
      <c r="DQC3" t="s">
        <v>289</v>
      </c>
    </row>
    <row r="4" spans="2:3149">
      <c r="B4" t="s">
        <v>3795</v>
      </c>
      <c r="C4" t="s">
        <v>3803</v>
      </c>
      <c r="D4" t="s">
        <v>1531</v>
      </c>
      <c r="E4" s="100">
        <v>44531</v>
      </c>
      <c r="F4" t="s">
        <v>3629</v>
      </c>
      <c r="G4">
        <v>479</v>
      </c>
      <c r="H4">
        <v>5.6876100000000003</v>
      </c>
      <c r="I4">
        <v>557.84109999999998</v>
      </c>
      <c r="J4">
        <v>662.37689999999998</v>
      </c>
      <c r="K4" t="s">
        <v>289</v>
      </c>
      <c r="L4" t="s">
        <v>289</v>
      </c>
      <c r="M4" t="s">
        <v>289</v>
      </c>
      <c r="N4" t="s">
        <v>289</v>
      </c>
      <c r="O4" t="s">
        <v>289</v>
      </c>
      <c r="P4" t="s">
        <v>289</v>
      </c>
      <c r="Q4" t="s">
        <v>289</v>
      </c>
      <c r="R4" t="s">
        <v>289</v>
      </c>
      <c r="S4" t="s">
        <v>289</v>
      </c>
      <c r="T4" t="s">
        <v>289</v>
      </c>
      <c r="U4" t="s">
        <v>289</v>
      </c>
      <c r="V4" t="s">
        <v>289</v>
      </c>
      <c r="W4" t="s">
        <v>289</v>
      </c>
      <c r="X4" t="s">
        <v>289</v>
      </c>
      <c r="Y4" t="s">
        <v>289</v>
      </c>
      <c r="Z4" t="s">
        <v>289</v>
      </c>
      <c r="AA4" t="s">
        <v>289</v>
      </c>
      <c r="AB4" t="s">
        <v>289</v>
      </c>
      <c r="AC4" t="s">
        <v>289</v>
      </c>
      <c r="AD4" t="s">
        <v>289</v>
      </c>
      <c r="AE4" t="s">
        <v>289</v>
      </c>
      <c r="AF4" t="s">
        <v>289</v>
      </c>
      <c r="AG4" t="s">
        <v>289</v>
      </c>
      <c r="AH4" t="s">
        <v>289</v>
      </c>
      <c r="AI4" t="s">
        <v>289</v>
      </c>
      <c r="AJ4" t="s">
        <v>289</v>
      </c>
      <c r="AK4" t="s">
        <v>289</v>
      </c>
      <c r="AL4" t="s">
        <v>289</v>
      </c>
      <c r="AM4" t="s">
        <v>289</v>
      </c>
      <c r="AN4" t="s">
        <v>289</v>
      </c>
      <c r="AO4" t="s">
        <v>289</v>
      </c>
      <c r="AP4" t="s">
        <v>289</v>
      </c>
      <c r="AQ4" t="s">
        <v>289</v>
      </c>
      <c r="AR4" t="s">
        <v>289</v>
      </c>
      <c r="AS4" t="s">
        <v>289</v>
      </c>
      <c r="AT4" t="s">
        <v>289</v>
      </c>
      <c r="AU4" t="s">
        <v>289</v>
      </c>
      <c r="AV4" t="s">
        <v>289</v>
      </c>
      <c r="AW4" t="s">
        <v>289</v>
      </c>
      <c r="AX4" t="s">
        <v>289</v>
      </c>
      <c r="AY4" t="s">
        <v>289</v>
      </c>
      <c r="AZ4" t="s">
        <v>289</v>
      </c>
      <c r="BA4" t="s">
        <v>289</v>
      </c>
      <c r="BB4" t="s">
        <v>289</v>
      </c>
      <c r="BC4" t="s">
        <v>289</v>
      </c>
      <c r="BD4" t="s">
        <v>289</v>
      </c>
      <c r="BE4" t="s">
        <v>289</v>
      </c>
      <c r="BF4" t="s">
        <v>289</v>
      </c>
      <c r="BG4" t="s">
        <v>289</v>
      </c>
      <c r="BH4" t="s">
        <v>289</v>
      </c>
      <c r="BI4" t="s">
        <v>289</v>
      </c>
      <c r="BJ4" t="s">
        <v>289</v>
      </c>
      <c r="BK4" t="s">
        <v>289</v>
      </c>
      <c r="BL4" t="s">
        <v>289</v>
      </c>
      <c r="BM4" t="s">
        <v>289</v>
      </c>
      <c r="BN4" t="s">
        <v>289</v>
      </c>
      <c r="BO4" t="s">
        <v>289</v>
      </c>
      <c r="BP4" t="s">
        <v>289</v>
      </c>
      <c r="BQ4" t="s">
        <v>289</v>
      </c>
      <c r="BR4" t="s">
        <v>289</v>
      </c>
      <c r="BS4" t="s">
        <v>289</v>
      </c>
      <c r="BT4" t="s">
        <v>289</v>
      </c>
      <c r="BU4" t="s">
        <v>289</v>
      </c>
      <c r="BV4" t="s">
        <v>289</v>
      </c>
      <c r="BW4" t="s">
        <v>289</v>
      </c>
      <c r="BX4" t="s">
        <v>289</v>
      </c>
      <c r="BY4" t="s">
        <v>289</v>
      </c>
      <c r="BZ4" t="s">
        <v>289</v>
      </c>
      <c r="CA4" t="s">
        <v>289</v>
      </c>
      <c r="CB4" t="s">
        <v>289</v>
      </c>
      <c r="CC4" t="s">
        <v>289</v>
      </c>
      <c r="CD4" t="s">
        <v>289</v>
      </c>
      <c r="CE4" t="s">
        <v>289</v>
      </c>
      <c r="CF4" t="s">
        <v>289</v>
      </c>
      <c r="CG4" t="s">
        <v>289</v>
      </c>
      <c r="CH4" t="s">
        <v>289</v>
      </c>
      <c r="CI4" t="s">
        <v>289</v>
      </c>
      <c r="CJ4" t="s">
        <v>289</v>
      </c>
      <c r="CK4" t="s">
        <v>289</v>
      </c>
      <c r="CL4" t="s">
        <v>289</v>
      </c>
      <c r="CM4" t="s">
        <v>289</v>
      </c>
      <c r="CN4" t="s">
        <v>289</v>
      </c>
      <c r="CO4" t="s">
        <v>289</v>
      </c>
      <c r="CP4" t="s">
        <v>289</v>
      </c>
      <c r="CQ4" t="s">
        <v>289</v>
      </c>
      <c r="CR4" t="s">
        <v>289</v>
      </c>
      <c r="CS4" t="s">
        <v>289</v>
      </c>
      <c r="CT4" t="s">
        <v>289</v>
      </c>
      <c r="CU4" t="s">
        <v>289</v>
      </c>
      <c r="CV4" t="s">
        <v>289</v>
      </c>
      <c r="CW4" t="s">
        <v>289</v>
      </c>
      <c r="CX4" t="s">
        <v>289</v>
      </c>
      <c r="CY4" t="s">
        <v>289</v>
      </c>
      <c r="CZ4" t="s">
        <v>289</v>
      </c>
      <c r="DA4" t="s">
        <v>289</v>
      </c>
      <c r="DB4" t="s">
        <v>289</v>
      </c>
      <c r="DC4" t="s">
        <v>289</v>
      </c>
      <c r="DD4" t="s">
        <v>289</v>
      </c>
      <c r="DE4" t="s">
        <v>289</v>
      </c>
      <c r="DF4" t="s">
        <v>289</v>
      </c>
      <c r="DG4" t="s">
        <v>289</v>
      </c>
      <c r="DH4" t="s">
        <v>289</v>
      </c>
      <c r="DI4" t="s">
        <v>289</v>
      </c>
      <c r="DJ4" t="s">
        <v>289</v>
      </c>
      <c r="DK4" t="s">
        <v>289</v>
      </c>
      <c r="DL4" t="s">
        <v>289</v>
      </c>
      <c r="DM4" t="s">
        <v>289</v>
      </c>
      <c r="DN4" t="s">
        <v>289</v>
      </c>
      <c r="DO4" t="s">
        <v>289</v>
      </c>
      <c r="DP4" t="s">
        <v>289</v>
      </c>
      <c r="DQ4" t="s">
        <v>289</v>
      </c>
      <c r="DR4" t="s">
        <v>289</v>
      </c>
      <c r="DS4" t="s">
        <v>289</v>
      </c>
      <c r="DT4" t="s">
        <v>289</v>
      </c>
      <c r="DU4" t="s">
        <v>289</v>
      </c>
      <c r="DV4" t="s">
        <v>289</v>
      </c>
      <c r="DW4" t="s">
        <v>289</v>
      </c>
      <c r="DX4">
        <v>13.74</v>
      </c>
      <c r="DY4">
        <v>12.441000000000001</v>
      </c>
      <c r="DZ4">
        <v>15.3</v>
      </c>
      <c r="EA4">
        <v>26.895</v>
      </c>
      <c r="EB4">
        <v>30.818000000000001</v>
      </c>
      <c r="EC4">
        <v>37.895000000000003</v>
      </c>
      <c r="ED4">
        <v>43.795999999999999</v>
      </c>
      <c r="EE4">
        <v>51.963999999999999</v>
      </c>
      <c r="EF4">
        <v>73.2</v>
      </c>
      <c r="EG4">
        <v>94.9</v>
      </c>
      <c r="EH4">
        <v>54.7</v>
      </c>
      <c r="EI4">
        <v>67.599999999999994</v>
      </c>
      <c r="EJ4">
        <v>112.4</v>
      </c>
      <c r="EK4">
        <v>168.5</v>
      </c>
      <c r="EL4">
        <v>137.6</v>
      </c>
      <c r="EM4" t="s">
        <v>289</v>
      </c>
      <c r="EN4" t="s">
        <v>289</v>
      </c>
      <c r="EO4" t="s">
        <v>289</v>
      </c>
      <c r="EP4" t="s">
        <v>289</v>
      </c>
      <c r="EQ4" t="s">
        <v>289</v>
      </c>
      <c r="ER4" t="s">
        <v>289</v>
      </c>
      <c r="ES4" t="s">
        <v>289</v>
      </c>
      <c r="ET4" t="s">
        <v>289</v>
      </c>
      <c r="EU4" t="s">
        <v>289</v>
      </c>
      <c r="EV4" t="s">
        <v>289</v>
      </c>
      <c r="EW4" t="s">
        <v>289</v>
      </c>
      <c r="EX4" t="s">
        <v>289</v>
      </c>
      <c r="EY4" t="s">
        <v>289</v>
      </c>
      <c r="EZ4" t="s">
        <v>289</v>
      </c>
      <c r="FA4" t="s">
        <v>289</v>
      </c>
      <c r="FB4" t="s">
        <v>289</v>
      </c>
      <c r="FC4" t="s">
        <v>289</v>
      </c>
      <c r="FD4" t="s">
        <v>289</v>
      </c>
      <c r="FE4" t="s">
        <v>289</v>
      </c>
      <c r="FF4" t="s">
        <v>289</v>
      </c>
      <c r="FG4" t="s">
        <v>289</v>
      </c>
      <c r="FH4" t="s">
        <v>289</v>
      </c>
      <c r="FI4" t="s">
        <v>289</v>
      </c>
      <c r="FJ4" t="s">
        <v>289</v>
      </c>
      <c r="FK4" t="s">
        <v>289</v>
      </c>
      <c r="FL4" t="s">
        <v>289</v>
      </c>
      <c r="FM4" t="s">
        <v>289</v>
      </c>
      <c r="FN4" t="s">
        <v>289</v>
      </c>
      <c r="FO4" t="s">
        <v>289</v>
      </c>
      <c r="FP4" t="s">
        <v>289</v>
      </c>
      <c r="FQ4" t="s">
        <v>289</v>
      </c>
      <c r="FR4" t="s">
        <v>289</v>
      </c>
      <c r="FS4" t="s">
        <v>289</v>
      </c>
      <c r="FT4" t="s">
        <v>289</v>
      </c>
      <c r="FU4" t="s">
        <v>289</v>
      </c>
      <c r="FV4" t="s">
        <v>289</v>
      </c>
      <c r="FW4" t="s">
        <v>289</v>
      </c>
      <c r="FX4" t="s">
        <v>289</v>
      </c>
      <c r="FY4" t="s">
        <v>289</v>
      </c>
      <c r="FZ4" t="s">
        <v>289</v>
      </c>
      <c r="GA4" t="s">
        <v>289</v>
      </c>
      <c r="GB4" t="s">
        <v>289</v>
      </c>
      <c r="GC4" t="s">
        <v>289</v>
      </c>
      <c r="GD4" t="s">
        <v>289</v>
      </c>
      <c r="GE4" t="s">
        <v>289</v>
      </c>
      <c r="GF4" t="s">
        <v>289</v>
      </c>
      <c r="GG4" t="s">
        <v>289</v>
      </c>
      <c r="GH4" t="s">
        <v>289</v>
      </c>
      <c r="GI4" t="s">
        <v>289</v>
      </c>
      <c r="GJ4" t="s">
        <v>289</v>
      </c>
      <c r="GK4" t="s">
        <v>289</v>
      </c>
      <c r="GL4" t="s">
        <v>289</v>
      </c>
      <c r="GM4" t="s">
        <v>289</v>
      </c>
      <c r="GN4" t="s">
        <v>289</v>
      </c>
      <c r="GO4" t="s">
        <v>289</v>
      </c>
      <c r="GP4" t="s">
        <v>289</v>
      </c>
      <c r="GQ4" t="s">
        <v>289</v>
      </c>
      <c r="GR4" t="s">
        <v>289</v>
      </c>
      <c r="GS4" t="s">
        <v>289</v>
      </c>
      <c r="GT4" t="s">
        <v>289</v>
      </c>
      <c r="GU4" t="s">
        <v>289</v>
      </c>
      <c r="GV4" t="s">
        <v>289</v>
      </c>
      <c r="GW4" t="s">
        <v>289</v>
      </c>
      <c r="GX4" t="s">
        <v>289</v>
      </c>
      <c r="GY4" t="s">
        <v>289</v>
      </c>
      <c r="GZ4" t="s">
        <v>289</v>
      </c>
      <c r="HA4" t="s">
        <v>289</v>
      </c>
      <c r="HB4" t="s">
        <v>289</v>
      </c>
      <c r="HC4" t="s">
        <v>289</v>
      </c>
      <c r="HD4" t="s">
        <v>289</v>
      </c>
      <c r="HE4" t="s">
        <v>289</v>
      </c>
      <c r="HF4" t="s">
        <v>289</v>
      </c>
      <c r="HG4" t="s">
        <v>289</v>
      </c>
      <c r="HH4" t="s">
        <v>289</v>
      </c>
      <c r="HI4" t="s">
        <v>289</v>
      </c>
      <c r="HJ4" t="s">
        <v>289</v>
      </c>
      <c r="HK4" t="s">
        <v>289</v>
      </c>
      <c r="HL4" t="s">
        <v>289</v>
      </c>
      <c r="HM4" t="s">
        <v>289</v>
      </c>
      <c r="HN4" t="s">
        <v>289</v>
      </c>
      <c r="HO4" t="s">
        <v>289</v>
      </c>
      <c r="HP4" t="s">
        <v>289</v>
      </c>
      <c r="HQ4" t="s">
        <v>289</v>
      </c>
      <c r="HR4" t="s">
        <v>289</v>
      </c>
      <c r="HS4" t="s">
        <v>289</v>
      </c>
      <c r="HT4" t="s">
        <v>289</v>
      </c>
      <c r="HU4" t="s">
        <v>289</v>
      </c>
      <c r="HV4" t="s">
        <v>289</v>
      </c>
      <c r="HW4" t="s">
        <v>289</v>
      </c>
      <c r="HX4" t="s">
        <v>289</v>
      </c>
      <c r="HY4" t="s">
        <v>289</v>
      </c>
      <c r="HZ4" t="s">
        <v>289</v>
      </c>
      <c r="IA4" t="s">
        <v>289</v>
      </c>
      <c r="IB4" t="s">
        <v>289</v>
      </c>
      <c r="IC4" t="s">
        <v>289</v>
      </c>
      <c r="ID4" t="s">
        <v>289</v>
      </c>
      <c r="IE4" t="s">
        <v>289</v>
      </c>
      <c r="IF4" t="s">
        <v>289</v>
      </c>
      <c r="IG4" t="s">
        <v>289</v>
      </c>
      <c r="IH4" t="s">
        <v>289</v>
      </c>
      <c r="II4" t="s">
        <v>289</v>
      </c>
      <c r="IJ4" t="s">
        <v>289</v>
      </c>
      <c r="IK4" t="s">
        <v>289</v>
      </c>
      <c r="IL4" t="s">
        <v>289</v>
      </c>
      <c r="IM4" t="s">
        <v>289</v>
      </c>
      <c r="IN4" t="s">
        <v>289</v>
      </c>
      <c r="IO4" t="s">
        <v>289</v>
      </c>
      <c r="IP4" t="s">
        <v>289</v>
      </c>
      <c r="IQ4" t="s">
        <v>289</v>
      </c>
      <c r="IR4" t="s">
        <v>289</v>
      </c>
      <c r="IS4" t="s">
        <v>289</v>
      </c>
      <c r="IT4" t="s">
        <v>289</v>
      </c>
      <c r="IU4" t="s">
        <v>289</v>
      </c>
      <c r="IV4" t="s">
        <v>289</v>
      </c>
      <c r="IW4" t="s">
        <v>289</v>
      </c>
      <c r="IX4" t="s">
        <v>289</v>
      </c>
      <c r="IY4" t="s">
        <v>289</v>
      </c>
      <c r="IZ4" t="s">
        <v>289</v>
      </c>
      <c r="JA4" t="s">
        <v>289</v>
      </c>
      <c r="JB4" t="s">
        <v>289</v>
      </c>
      <c r="JC4" t="s">
        <v>289</v>
      </c>
      <c r="JD4" t="s">
        <v>289</v>
      </c>
      <c r="JE4" t="s">
        <v>289</v>
      </c>
      <c r="JF4" t="s">
        <v>289</v>
      </c>
      <c r="JG4" t="s">
        <v>289</v>
      </c>
      <c r="JH4" t="s">
        <v>289</v>
      </c>
      <c r="JI4" t="s">
        <v>289</v>
      </c>
      <c r="JJ4" t="s">
        <v>289</v>
      </c>
      <c r="JK4" t="s">
        <v>289</v>
      </c>
      <c r="JL4" t="s">
        <v>289</v>
      </c>
      <c r="JM4" t="s">
        <v>289</v>
      </c>
      <c r="JN4" t="s">
        <v>289</v>
      </c>
      <c r="JO4" t="s">
        <v>289</v>
      </c>
      <c r="JP4" t="s">
        <v>289</v>
      </c>
      <c r="JQ4" t="s">
        <v>289</v>
      </c>
      <c r="JR4" t="s">
        <v>289</v>
      </c>
      <c r="JS4" t="s">
        <v>289</v>
      </c>
      <c r="JT4">
        <v>42.158000000000001</v>
      </c>
      <c r="JU4">
        <v>16.138000000000002</v>
      </c>
      <c r="JV4">
        <v>39.116</v>
      </c>
      <c r="JW4">
        <v>43.341999999999999</v>
      </c>
      <c r="JX4">
        <v>46.631</v>
      </c>
      <c r="JY4">
        <v>50.412999999999997</v>
      </c>
      <c r="JZ4">
        <v>74.653000000000006</v>
      </c>
      <c r="KA4">
        <v>89.25</v>
      </c>
      <c r="KB4">
        <v>65.5</v>
      </c>
      <c r="KC4">
        <v>101.7</v>
      </c>
      <c r="KD4">
        <v>167.8</v>
      </c>
      <c r="KE4">
        <v>144.6</v>
      </c>
      <c r="KF4">
        <v>107.9</v>
      </c>
      <c r="KG4">
        <v>489.4</v>
      </c>
      <c r="KH4">
        <v>418.9</v>
      </c>
      <c r="KI4" t="s">
        <v>289</v>
      </c>
      <c r="KJ4" t="s">
        <v>289</v>
      </c>
      <c r="KK4" t="s">
        <v>289</v>
      </c>
      <c r="KL4" t="s">
        <v>289</v>
      </c>
      <c r="KM4" t="s">
        <v>289</v>
      </c>
      <c r="KN4" t="s">
        <v>289</v>
      </c>
      <c r="KO4" t="s">
        <v>289</v>
      </c>
      <c r="KP4" t="s">
        <v>289</v>
      </c>
      <c r="KQ4" t="s">
        <v>289</v>
      </c>
      <c r="KR4" t="s">
        <v>289</v>
      </c>
      <c r="KS4" t="s">
        <v>289</v>
      </c>
      <c r="KT4" t="s">
        <v>289</v>
      </c>
      <c r="KU4" t="s">
        <v>289</v>
      </c>
      <c r="KV4" t="s">
        <v>289</v>
      </c>
      <c r="KW4" t="s">
        <v>289</v>
      </c>
      <c r="KX4" t="s">
        <v>289</v>
      </c>
      <c r="KY4" t="s">
        <v>289</v>
      </c>
      <c r="KZ4" t="s">
        <v>289</v>
      </c>
      <c r="LA4" t="s">
        <v>289</v>
      </c>
      <c r="LB4" t="s">
        <v>289</v>
      </c>
      <c r="LC4" t="s">
        <v>289</v>
      </c>
      <c r="LD4" t="s">
        <v>289</v>
      </c>
      <c r="LE4" t="s">
        <v>289</v>
      </c>
      <c r="LF4" t="s">
        <v>289</v>
      </c>
      <c r="LG4" t="s">
        <v>289</v>
      </c>
      <c r="LH4" t="s">
        <v>289</v>
      </c>
      <c r="LI4" t="s">
        <v>289</v>
      </c>
      <c r="LJ4" t="s">
        <v>289</v>
      </c>
      <c r="LK4" t="s">
        <v>289</v>
      </c>
      <c r="LL4" t="s">
        <v>289</v>
      </c>
      <c r="LM4" t="s">
        <v>289</v>
      </c>
      <c r="LN4" t="s">
        <v>289</v>
      </c>
      <c r="LO4" t="s">
        <v>289</v>
      </c>
      <c r="LP4" t="s">
        <v>289</v>
      </c>
      <c r="LQ4" t="s">
        <v>289</v>
      </c>
      <c r="LR4" t="s">
        <v>289</v>
      </c>
      <c r="LS4" t="s">
        <v>289</v>
      </c>
      <c r="LT4" t="s">
        <v>289</v>
      </c>
      <c r="LU4" t="s">
        <v>289</v>
      </c>
      <c r="LV4" t="s">
        <v>289</v>
      </c>
      <c r="LW4" t="s">
        <v>289</v>
      </c>
      <c r="LX4" t="s">
        <v>289</v>
      </c>
      <c r="LY4" t="s">
        <v>289</v>
      </c>
      <c r="LZ4" t="s">
        <v>289</v>
      </c>
      <c r="MA4" t="s">
        <v>289</v>
      </c>
      <c r="MB4" t="s">
        <v>289</v>
      </c>
      <c r="MC4" t="s">
        <v>289</v>
      </c>
      <c r="MD4" t="s">
        <v>289</v>
      </c>
      <c r="ME4" t="s">
        <v>289</v>
      </c>
      <c r="MF4" t="s">
        <v>289</v>
      </c>
      <c r="MG4" t="s">
        <v>289</v>
      </c>
      <c r="MH4" t="s">
        <v>289</v>
      </c>
      <c r="MI4" t="s">
        <v>289</v>
      </c>
      <c r="MJ4" t="s">
        <v>289</v>
      </c>
      <c r="MK4" t="s">
        <v>289</v>
      </c>
      <c r="ML4" t="s">
        <v>289</v>
      </c>
      <c r="MM4" t="s">
        <v>289</v>
      </c>
      <c r="MN4" t="s">
        <v>289</v>
      </c>
      <c r="MO4" t="s">
        <v>289</v>
      </c>
      <c r="MP4" t="s">
        <v>289</v>
      </c>
      <c r="MQ4" t="s">
        <v>289</v>
      </c>
      <c r="MR4" t="s">
        <v>289</v>
      </c>
      <c r="MS4" t="s">
        <v>289</v>
      </c>
      <c r="MT4">
        <v>4.6449999999999996</v>
      </c>
      <c r="MU4">
        <v>9.3079999999999998</v>
      </c>
      <c r="MV4">
        <v>16.515999999999998</v>
      </c>
      <c r="MW4">
        <v>18.28</v>
      </c>
      <c r="MX4">
        <v>23.015999999999998</v>
      </c>
      <c r="MY4">
        <v>44.024000000000001</v>
      </c>
      <c r="MZ4">
        <v>48.3</v>
      </c>
      <c r="NA4">
        <v>32.1</v>
      </c>
      <c r="NB4">
        <v>37.1</v>
      </c>
      <c r="NC4">
        <v>32.1</v>
      </c>
      <c r="ND4">
        <v>45.7</v>
      </c>
      <c r="NE4">
        <v>106.5</v>
      </c>
      <c r="NF4">
        <v>156.4</v>
      </c>
      <c r="NG4" t="s">
        <v>289</v>
      </c>
      <c r="NH4" t="s">
        <v>289</v>
      </c>
      <c r="NI4" t="s">
        <v>289</v>
      </c>
      <c r="NJ4" t="s">
        <v>289</v>
      </c>
      <c r="NK4" t="s">
        <v>289</v>
      </c>
      <c r="NL4" t="s">
        <v>289</v>
      </c>
      <c r="NM4" t="s">
        <v>289</v>
      </c>
      <c r="NN4" t="s">
        <v>289</v>
      </c>
      <c r="NO4" t="s">
        <v>289</v>
      </c>
      <c r="NP4" t="s">
        <v>289</v>
      </c>
      <c r="NQ4" t="s">
        <v>289</v>
      </c>
      <c r="NR4" t="s">
        <v>289</v>
      </c>
      <c r="NS4" t="s">
        <v>289</v>
      </c>
      <c r="NT4" t="s">
        <v>289</v>
      </c>
      <c r="NU4" t="s">
        <v>289</v>
      </c>
      <c r="NV4" t="s">
        <v>289</v>
      </c>
      <c r="NW4" t="s">
        <v>289</v>
      </c>
      <c r="NX4" t="s">
        <v>289</v>
      </c>
      <c r="NY4" t="s">
        <v>289</v>
      </c>
      <c r="NZ4" t="s">
        <v>289</v>
      </c>
      <c r="OA4" t="s">
        <v>289</v>
      </c>
      <c r="OB4" t="s">
        <v>289</v>
      </c>
      <c r="OC4" t="s">
        <v>289</v>
      </c>
      <c r="OD4" t="s">
        <v>289</v>
      </c>
      <c r="OE4" t="s">
        <v>289</v>
      </c>
      <c r="OF4" t="s">
        <v>289</v>
      </c>
      <c r="OG4" t="s">
        <v>289</v>
      </c>
      <c r="OH4" t="s">
        <v>289</v>
      </c>
      <c r="OI4" t="s">
        <v>289</v>
      </c>
      <c r="OJ4" t="s">
        <v>289</v>
      </c>
      <c r="OK4" t="s">
        <v>289</v>
      </c>
      <c r="OL4" t="s">
        <v>289</v>
      </c>
      <c r="OM4" t="s">
        <v>289</v>
      </c>
      <c r="ON4" t="s">
        <v>289</v>
      </c>
      <c r="OO4" t="s">
        <v>289</v>
      </c>
      <c r="OP4" t="s">
        <v>289</v>
      </c>
      <c r="OQ4" t="s">
        <v>289</v>
      </c>
      <c r="OR4" t="s">
        <v>289</v>
      </c>
      <c r="OS4" t="s">
        <v>289</v>
      </c>
      <c r="OT4" t="s">
        <v>289</v>
      </c>
      <c r="OU4" t="s">
        <v>289</v>
      </c>
      <c r="OV4" t="s">
        <v>289</v>
      </c>
      <c r="OW4" t="s">
        <v>289</v>
      </c>
      <c r="OX4" t="s">
        <v>289</v>
      </c>
      <c r="OY4" t="s">
        <v>289</v>
      </c>
      <c r="OZ4" t="s">
        <v>289</v>
      </c>
      <c r="PA4" t="s">
        <v>289</v>
      </c>
      <c r="PB4" t="s">
        <v>289</v>
      </c>
      <c r="PC4" t="s">
        <v>289</v>
      </c>
      <c r="PD4" t="s">
        <v>289</v>
      </c>
      <c r="PE4" t="s">
        <v>289</v>
      </c>
      <c r="PF4" t="s">
        <v>289</v>
      </c>
      <c r="PG4" t="s">
        <v>289</v>
      </c>
      <c r="PH4" t="s">
        <v>289</v>
      </c>
      <c r="PI4" t="s">
        <v>289</v>
      </c>
      <c r="PJ4" t="s">
        <v>289</v>
      </c>
      <c r="PK4" t="s">
        <v>289</v>
      </c>
      <c r="PL4" t="s">
        <v>289</v>
      </c>
      <c r="PM4" t="s">
        <v>289</v>
      </c>
      <c r="PN4" t="s">
        <v>289</v>
      </c>
      <c r="PO4" t="s">
        <v>289</v>
      </c>
      <c r="PP4" t="s">
        <v>289</v>
      </c>
      <c r="PQ4" t="s">
        <v>289</v>
      </c>
      <c r="PR4" t="s">
        <v>289</v>
      </c>
      <c r="PS4" t="s">
        <v>289</v>
      </c>
      <c r="PT4" t="s">
        <v>289</v>
      </c>
      <c r="PU4" t="s">
        <v>289</v>
      </c>
      <c r="PV4" t="s">
        <v>289</v>
      </c>
      <c r="PW4" t="s">
        <v>289</v>
      </c>
      <c r="PX4" t="s">
        <v>289</v>
      </c>
      <c r="PY4" t="s">
        <v>289</v>
      </c>
      <c r="PZ4" t="s">
        <v>289</v>
      </c>
      <c r="QA4" t="s">
        <v>289</v>
      </c>
      <c r="QB4" t="s">
        <v>289</v>
      </c>
      <c r="QC4" t="s">
        <v>289</v>
      </c>
      <c r="QD4" t="s">
        <v>289</v>
      </c>
      <c r="QE4" t="s">
        <v>289</v>
      </c>
      <c r="QF4" t="s">
        <v>289</v>
      </c>
      <c r="QG4" t="s">
        <v>289</v>
      </c>
      <c r="QH4" t="s">
        <v>289</v>
      </c>
      <c r="QI4" t="s">
        <v>289</v>
      </c>
      <c r="QJ4" t="s">
        <v>289</v>
      </c>
      <c r="QK4" t="s">
        <v>289</v>
      </c>
      <c r="QL4" t="s">
        <v>289</v>
      </c>
      <c r="QM4" t="s">
        <v>289</v>
      </c>
      <c r="QN4" t="s">
        <v>289</v>
      </c>
      <c r="QO4" t="s">
        <v>289</v>
      </c>
      <c r="QP4" t="s">
        <v>289</v>
      </c>
      <c r="QQ4">
        <v>119.5</v>
      </c>
      <c r="QR4">
        <v>133.19999999999999</v>
      </c>
      <c r="QS4" t="s">
        <v>289</v>
      </c>
      <c r="QT4" t="s">
        <v>289</v>
      </c>
      <c r="QU4" t="s">
        <v>289</v>
      </c>
      <c r="QV4" t="s">
        <v>289</v>
      </c>
      <c r="QW4" t="s">
        <v>289</v>
      </c>
      <c r="QX4" t="s">
        <v>289</v>
      </c>
      <c r="QY4" t="s">
        <v>289</v>
      </c>
      <c r="QZ4" t="s">
        <v>289</v>
      </c>
      <c r="RA4" t="s">
        <v>289</v>
      </c>
      <c r="RB4" t="s">
        <v>289</v>
      </c>
      <c r="RC4" t="s">
        <v>289</v>
      </c>
      <c r="RD4" t="s">
        <v>289</v>
      </c>
      <c r="RE4" t="s">
        <v>289</v>
      </c>
      <c r="RF4" t="s">
        <v>289</v>
      </c>
      <c r="RG4" t="s">
        <v>289</v>
      </c>
      <c r="RH4" t="s">
        <v>289</v>
      </c>
      <c r="RI4" t="s">
        <v>289</v>
      </c>
      <c r="RJ4" t="s">
        <v>289</v>
      </c>
      <c r="RK4" t="s">
        <v>289</v>
      </c>
      <c r="RL4" t="s">
        <v>289</v>
      </c>
      <c r="RM4" t="s">
        <v>289</v>
      </c>
      <c r="RN4" t="s">
        <v>289</v>
      </c>
      <c r="RO4" t="s">
        <v>289</v>
      </c>
      <c r="RP4" t="s">
        <v>289</v>
      </c>
      <c r="RQ4" t="s">
        <v>289</v>
      </c>
      <c r="RR4" t="s">
        <v>289</v>
      </c>
      <c r="RS4" t="s">
        <v>289</v>
      </c>
      <c r="RT4" t="s">
        <v>289</v>
      </c>
      <c r="RU4" t="s">
        <v>289</v>
      </c>
      <c r="RV4" t="s">
        <v>289</v>
      </c>
      <c r="RW4" t="s">
        <v>289</v>
      </c>
      <c r="RX4" t="s">
        <v>289</v>
      </c>
      <c r="RY4" t="s">
        <v>289</v>
      </c>
      <c r="RZ4" t="s">
        <v>289</v>
      </c>
      <c r="SA4" t="s">
        <v>289</v>
      </c>
      <c r="SB4" t="s">
        <v>289</v>
      </c>
      <c r="SC4" t="s">
        <v>289</v>
      </c>
      <c r="SD4" t="s">
        <v>289</v>
      </c>
      <c r="SE4" t="s">
        <v>289</v>
      </c>
      <c r="SF4" t="s">
        <v>289</v>
      </c>
      <c r="SG4" t="s">
        <v>289</v>
      </c>
      <c r="SH4" t="s">
        <v>289</v>
      </c>
      <c r="SI4" t="s">
        <v>289</v>
      </c>
      <c r="SJ4" t="s">
        <v>289</v>
      </c>
      <c r="SK4" t="s">
        <v>289</v>
      </c>
      <c r="SL4" t="s">
        <v>289</v>
      </c>
      <c r="SM4" t="s">
        <v>289</v>
      </c>
      <c r="SN4" t="s">
        <v>289</v>
      </c>
      <c r="SO4" t="s">
        <v>289</v>
      </c>
      <c r="SP4" t="s">
        <v>289</v>
      </c>
      <c r="SQ4" t="s">
        <v>289</v>
      </c>
      <c r="SR4" t="s">
        <v>289</v>
      </c>
      <c r="SS4" t="s">
        <v>289</v>
      </c>
      <c r="ST4" t="s">
        <v>289</v>
      </c>
      <c r="SU4" t="s">
        <v>289</v>
      </c>
      <c r="SV4" t="s">
        <v>289</v>
      </c>
      <c r="SW4" t="s">
        <v>289</v>
      </c>
      <c r="SX4" t="s">
        <v>289</v>
      </c>
      <c r="SY4" t="s">
        <v>289</v>
      </c>
      <c r="SZ4" t="s">
        <v>289</v>
      </c>
      <c r="TA4" t="s">
        <v>289</v>
      </c>
      <c r="TB4" t="s">
        <v>289</v>
      </c>
      <c r="TC4" t="s">
        <v>289</v>
      </c>
      <c r="TD4" t="s">
        <v>289</v>
      </c>
      <c r="TE4" t="s">
        <v>289</v>
      </c>
      <c r="TF4" t="s">
        <v>289</v>
      </c>
      <c r="TG4" t="s">
        <v>289</v>
      </c>
      <c r="TH4" t="s">
        <v>289</v>
      </c>
      <c r="TI4" t="s">
        <v>289</v>
      </c>
      <c r="TJ4" t="s">
        <v>289</v>
      </c>
      <c r="TK4" t="s">
        <v>289</v>
      </c>
      <c r="TL4" t="s">
        <v>289</v>
      </c>
      <c r="TM4" t="s">
        <v>289</v>
      </c>
      <c r="TN4" t="s">
        <v>289</v>
      </c>
      <c r="TO4" t="s">
        <v>289</v>
      </c>
      <c r="TP4" t="s">
        <v>289</v>
      </c>
      <c r="TQ4" t="s">
        <v>289</v>
      </c>
      <c r="TR4" t="s">
        <v>289</v>
      </c>
      <c r="TS4" t="s">
        <v>289</v>
      </c>
      <c r="TT4" t="s">
        <v>289</v>
      </c>
      <c r="TU4" t="s">
        <v>289</v>
      </c>
      <c r="TV4" t="s">
        <v>289</v>
      </c>
      <c r="TW4" t="s">
        <v>289</v>
      </c>
      <c r="TX4" t="s">
        <v>289</v>
      </c>
      <c r="TY4" t="s">
        <v>289</v>
      </c>
      <c r="TZ4" t="s">
        <v>289</v>
      </c>
      <c r="UA4" t="s">
        <v>289</v>
      </c>
      <c r="UB4" t="s">
        <v>289</v>
      </c>
      <c r="UC4" t="s">
        <v>289</v>
      </c>
      <c r="UD4" t="s">
        <v>289</v>
      </c>
      <c r="UE4" t="s">
        <v>289</v>
      </c>
      <c r="UF4" t="s">
        <v>289</v>
      </c>
      <c r="UG4" t="s">
        <v>289</v>
      </c>
      <c r="UH4" t="s">
        <v>289</v>
      </c>
      <c r="UI4" t="s">
        <v>289</v>
      </c>
      <c r="UJ4" t="s">
        <v>289</v>
      </c>
      <c r="UK4" t="s">
        <v>289</v>
      </c>
      <c r="UL4" t="s">
        <v>289</v>
      </c>
      <c r="UM4" t="s">
        <v>289</v>
      </c>
      <c r="UN4" t="s">
        <v>289</v>
      </c>
      <c r="UO4" t="s">
        <v>289</v>
      </c>
      <c r="UP4" t="s">
        <v>289</v>
      </c>
      <c r="UQ4" t="s">
        <v>289</v>
      </c>
      <c r="UR4" t="s">
        <v>289</v>
      </c>
      <c r="US4" t="s">
        <v>289</v>
      </c>
      <c r="UT4" t="s">
        <v>289</v>
      </c>
      <c r="UU4" t="s">
        <v>289</v>
      </c>
      <c r="UV4" t="s">
        <v>289</v>
      </c>
      <c r="UW4" t="s">
        <v>289</v>
      </c>
      <c r="UX4" t="s">
        <v>289</v>
      </c>
      <c r="UY4" t="s">
        <v>289</v>
      </c>
      <c r="UZ4" t="s">
        <v>289</v>
      </c>
      <c r="VA4" t="s">
        <v>289</v>
      </c>
      <c r="VB4" t="s">
        <v>289</v>
      </c>
      <c r="VC4" t="s">
        <v>289</v>
      </c>
      <c r="VD4" t="s">
        <v>289</v>
      </c>
      <c r="VE4" t="s">
        <v>289</v>
      </c>
      <c r="VF4" t="s">
        <v>289</v>
      </c>
      <c r="VG4" t="s">
        <v>289</v>
      </c>
      <c r="VH4" t="s">
        <v>289</v>
      </c>
      <c r="VI4" t="s">
        <v>289</v>
      </c>
      <c r="VJ4" t="s">
        <v>289</v>
      </c>
      <c r="VK4" t="s">
        <v>289</v>
      </c>
      <c r="VL4" t="s">
        <v>289</v>
      </c>
      <c r="VM4" t="s">
        <v>289</v>
      </c>
      <c r="VN4" t="s">
        <v>289</v>
      </c>
      <c r="VO4" t="s">
        <v>289</v>
      </c>
      <c r="VP4" t="s">
        <v>289</v>
      </c>
      <c r="VQ4" t="s">
        <v>289</v>
      </c>
      <c r="VR4" t="s">
        <v>289</v>
      </c>
      <c r="VS4" t="s">
        <v>289</v>
      </c>
      <c r="VT4" t="s">
        <v>289</v>
      </c>
      <c r="VU4" t="s">
        <v>289</v>
      </c>
      <c r="VV4" t="s">
        <v>289</v>
      </c>
      <c r="VW4" t="s">
        <v>289</v>
      </c>
      <c r="VX4" t="s">
        <v>289</v>
      </c>
      <c r="VY4" t="s">
        <v>289</v>
      </c>
      <c r="VZ4" t="s">
        <v>289</v>
      </c>
      <c r="WA4" t="s">
        <v>289</v>
      </c>
      <c r="WB4" t="s">
        <v>289</v>
      </c>
      <c r="WC4" t="s">
        <v>289</v>
      </c>
      <c r="WD4" t="s">
        <v>289</v>
      </c>
      <c r="WE4" t="s">
        <v>289</v>
      </c>
      <c r="WF4" t="s">
        <v>289</v>
      </c>
      <c r="WG4" t="s">
        <v>289</v>
      </c>
      <c r="WH4" t="s">
        <v>289</v>
      </c>
      <c r="WI4" t="s">
        <v>289</v>
      </c>
      <c r="WJ4" t="s">
        <v>289</v>
      </c>
      <c r="WK4" t="s">
        <v>289</v>
      </c>
      <c r="WL4" t="s">
        <v>289</v>
      </c>
      <c r="WM4" t="s">
        <v>289</v>
      </c>
      <c r="WN4" t="s">
        <v>289</v>
      </c>
      <c r="WO4" t="s">
        <v>289</v>
      </c>
      <c r="WP4" t="s">
        <v>289</v>
      </c>
      <c r="WQ4" t="s">
        <v>289</v>
      </c>
      <c r="WR4" t="s">
        <v>289</v>
      </c>
      <c r="WS4" t="s">
        <v>289</v>
      </c>
      <c r="WT4" t="s">
        <v>289</v>
      </c>
      <c r="WU4" t="s">
        <v>289</v>
      </c>
      <c r="WV4" t="s">
        <v>289</v>
      </c>
      <c r="WW4" t="s">
        <v>289</v>
      </c>
      <c r="WX4" t="s">
        <v>289</v>
      </c>
      <c r="WY4" t="s">
        <v>289</v>
      </c>
      <c r="WZ4" t="s">
        <v>289</v>
      </c>
      <c r="XA4" t="s">
        <v>289</v>
      </c>
      <c r="XB4" t="s">
        <v>289</v>
      </c>
      <c r="XC4" t="s">
        <v>289</v>
      </c>
      <c r="XD4" t="s">
        <v>289</v>
      </c>
      <c r="XE4" t="s">
        <v>289</v>
      </c>
      <c r="XF4" t="s">
        <v>289</v>
      </c>
      <c r="XG4" t="s">
        <v>289</v>
      </c>
      <c r="XH4" t="s">
        <v>289</v>
      </c>
      <c r="XI4" t="s">
        <v>289</v>
      </c>
      <c r="XJ4" t="s">
        <v>289</v>
      </c>
      <c r="XK4" t="s">
        <v>289</v>
      </c>
      <c r="XL4" t="s">
        <v>289</v>
      </c>
      <c r="XM4" t="s">
        <v>289</v>
      </c>
      <c r="XN4" t="s">
        <v>289</v>
      </c>
      <c r="XO4" t="s">
        <v>289</v>
      </c>
      <c r="XP4" t="s">
        <v>289</v>
      </c>
      <c r="XQ4" t="s">
        <v>289</v>
      </c>
      <c r="XR4" t="s">
        <v>289</v>
      </c>
      <c r="XS4" t="s">
        <v>289</v>
      </c>
      <c r="XT4" t="s">
        <v>289</v>
      </c>
      <c r="XU4" t="s">
        <v>289</v>
      </c>
      <c r="XV4" t="s">
        <v>289</v>
      </c>
      <c r="XW4" t="s">
        <v>289</v>
      </c>
      <c r="XX4" t="s">
        <v>289</v>
      </c>
      <c r="XY4" t="s">
        <v>289</v>
      </c>
      <c r="XZ4" t="s">
        <v>289</v>
      </c>
      <c r="YA4" t="s">
        <v>289</v>
      </c>
      <c r="YB4" t="s">
        <v>289</v>
      </c>
      <c r="YC4" t="s">
        <v>289</v>
      </c>
      <c r="YD4" t="s">
        <v>289</v>
      </c>
      <c r="YE4" t="s">
        <v>289</v>
      </c>
      <c r="YF4" t="s">
        <v>289</v>
      </c>
      <c r="YG4" t="s">
        <v>289</v>
      </c>
      <c r="YH4" t="s">
        <v>289</v>
      </c>
      <c r="YI4" t="s">
        <v>289</v>
      </c>
      <c r="YJ4" t="s">
        <v>289</v>
      </c>
      <c r="YK4" t="s">
        <v>289</v>
      </c>
      <c r="YL4" t="s">
        <v>289</v>
      </c>
      <c r="YM4" t="s">
        <v>289</v>
      </c>
      <c r="YN4" t="s">
        <v>289</v>
      </c>
      <c r="YO4" t="s">
        <v>289</v>
      </c>
      <c r="YP4" t="s">
        <v>289</v>
      </c>
      <c r="YQ4" t="s">
        <v>289</v>
      </c>
      <c r="YR4" t="s">
        <v>289</v>
      </c>
      <c r="YS4" t="s">
        <v>289</v>
      </c>
      <c r="YT4" t="s">
        <v>289</v>
      </c>
      <c r="YU4" t="s">
        <v>289</v>
      </c>
      <c r="YV4" t="s">
        <v>289</v>
      </c>
      <c r="YW4" t="s">
        <v>289</v>
      </c>
      <c r="YX4" t="s">
        <v>289</v>
      </c>
      <c r="YY4" t="s">
        <v>289</v>
      </c>
      <c r="YZ4" t="s">
        <v>289</v>
      </c>
      <c r="ZA4" t="s">
        <v>289</v>
      </c>
      <c r="ZB4" t="s">
        <v>289</v>
      </c>
      <c r="ZC4" t="s">
        <v>289</v>
      </c>
      <c r="ZD4" t="s">
        <v>289</v>
      </c>
      <c r="ZE4" t="s">
        <v>289</v>
      </c>
      <c r="ZF4" t="s">
        <v>289</v>
      </c>
      <c r="ZG4" t="s">
        <v>289</v>
      </c>
      <c r="ZH4" t="s">
        <v>289</v>
      </c>
      <c r="ZI4" t="s">
        <v>289</v>
      </c>
      <c r="ZJ4" t="s">
        <v>289</v>
      </c>
      <c r="ZK4" t="s">
        <v>289</v>
      </c>
      <c r="ZL4" t="s">
        <v>289</v>
      </c>
      <c r="ZM4" t="s">
        <v>289</v>
      </c>
      <c r="ZN4" t="s">
        <v>289</v>
      </c>
      <c r="ZO4" t="s">
        <v>289</v>
      </c>
      <c r="ZP4" t="s">
        <v>289</v>
      </c>
      <c r="ZQ4" t="s">
        <v>289</v>
      </c>
      <c r="ZR4" t="s">
        <v>289</v>
      </c>
      <c r="ZS4" t="s">
        <v>289</v>
      </c>
      <c r="ZT4" t="s">
        <v>289</v>
      </c>
      <c r="ZU4" t="s">
        <v>289</v>
      </c>
      <c r="ZV4" t="s">
        <v>289</v>
      </c>
      <c r="ZW4" t="s">
        <v>289</v>
      </c>
      <c r="ZX4" t="s">
        <v>289</v>
      </c>
      <c r="ZY4" t="s">
        <v>289</v>
      </c>
      <c r="ZZ4" t="s">
        <v>289</v>
      </c>
      <c r="AAA4" t="s">
        <v>289</v>
      </c>
      <c r="AAB4" t="s">
        <v>289</v>
      </c>
      <c r="AAC4" t="s">
        <v>289</v>
      </c>
      <c r="AAD4" t="s">
        <v>289</v>
      </c>
      <c r="AAE4" t="s">
        <v>289</v>
      </c>
      <c r="AAF4" t="s">
        <v>289</v>
      </c>
      <c r="AAG4" t="s">
        <v>289</v>
      </c>
      <c r="AAH4" t="s">
        <v>289</v>
      </c>
      <c r="AAI4" t="s">
        <v>289</v>
      </c>
      <c r="AAJ4" t="s">
        <v>289</v>
      </c>
      <c r="AAK4" t="s">
        <v>289</v>
      </c>
      <c r="AAL4" t="s">
        <v>289</v>
      </c>
      <c r="AAM4" t="s">
        <v>289</v>
      </c>
      <c r="AAN4" t="s">
        <v>289</v>
      </c>
      <c r="AAO4" t="s">
        <v>289</v>
      </c>
      <c r="AAP4" t="s">
        <v>289</v>
      </c>
      <c r="AAQ4" t="s">
        <v>289</v>
      </c>
      <c r="AAR4" t="s">
        <v>289</v>
      </c>
      <c r="AAS4" t="s">
        <v>289</v>
      </c>
      <c r="AAT4" t="s">
        <v>289</v>
      </c>
      <c r="AAU4" t="s">
        <v>289</v>
      </c>
      <c r="AAV4" t="s">
        <v>289</v>
      </c>
      <c r="AAW4" t="s">
        <v>289</v>
      </c>
      <c r="AAX4" t="s">
        <v>289</v>
      </c>
      <c r="AAY4" t="s">
        <v>289</v>
      </c>
      <c r="AAZ4" t="s">
        <v>289</v>
      </c>
      <c r="ABA4" t="s">
        <v>289</v>
      </c>
      <c r="ABB4" t="s">
        <v>289</v>
      </c>
      <c r="ABC4" t="s">
        <v>289</v>
      </c>
      <c r="ABD4" t="s">
        <v>289</v>
      </c>
      <c r="ABE4" t="s">
        <v>289</v>
      </c>
      <c r="ABF4" t="s">
        <v>289</v>
      </c>
      <c r="ABG4" t="s">
        <v>289</v>
      </c>
      <c r="ABH4" t="s">
        <v>289</v>
      </c>
      <c r="ABI4" t="s">
        <v>289</v>
      </c>
      <c r="ABJ4" t="s">
        <v>289</v>
      </c>
      <c r="ABK4" t="s">
        <v>289</v>
      </c>
      <c r="ABL4" t="s">
        <v>289</v>
      </c>
      <c r="ABM4" t="s">
        <v>289</v>
      </c>
      <c r="ABN4" t="s">
        <v>289</v>
      </c>
      <c r="ABO4" t="s">
        <v>289</v>
      </c>
      <c r="ABP4" t="s">
        <v>289</v>
      </c>
      <c r="ABQ4" t="s">
        <v>289</v>
      </c>
      <c r="ABR4" t="s">
        <v>289</v>
      </c>
      <c r="ABS4" t="s">
        <v>289</v>
      </c>
      <c r="ABT4" t="s">
        <v>289</v>
      </c>
      <c r="ABU4" t="s">
        <v>289</v>
      </c>
      <c r="ABV4" t="s">
        <v>289</v>
      </c>
      <c r="ABW4" t="s">
        <v>289</v>
      </c>
      <c r="ABX4" t="s">
        <v>289</v>
      </c>
      <c r="ABY4" t="s">
        <v>289</v>
      </c>
      <c r="ABZ4" t="s">
        <v>289</v>
      </c>
      <c r="ACA4" t="s">
        <v>289</v>
      </c>
      <c r="ACB4" t="s">
        <v>289</v>
      </c>
      <c r="ACC4" t="s">
        <v>289</v>
      </c>
      <c r="ACD4" t="s">
        <v>289</v>
      </c>
      <c r="ACE4" t="s">
        <v>289</v>
      </c>
      <c r="ACF4" t="s">
        <v>289</v>
      </c>
      <c r="ACG4" t="s">
        <v>289</v>
      </c>
      <c r="ACH4" t="s">
        <v>289</v>
      </c>
      <c r="ACI4" t="s">
        <v>289</v>
      </c>
      <c r="ACJ4" t="s">
        <v>289</v>
      </c>
      <c r="ACK4" t="s">
        <v>289</v>
      </c>
      <c r="ACL4" t="s">
        <v>289</v>
      </c>
      <c r="ACM4" t="s">
        <v>289</v>
      </c>
      <c r="ACN4" t="s">
        <v>289</v>
      </c>
      <c r="ACO4" t="s">
        <v>289</v>
      </c>
      <c r="ACP4" t="s">
        <v>289</v>
      </c>
      <c r="ACQ4" t="s">
        <v>289</v>
      </c>
      <c r="ACR4" t="s">
        <v>289</v>
      </c>
      <c r="ACS4" t="s">
        <v>289</v>
      </c>
      <c r="ACT4" t="s">
        <v>289</v>
      </c>
      <c r="ACU4" t="s">
        <v>289</v>
      </c>
      <c r="ACV4" t="s">
        <v>289</v>
      </c>
      <c r="ACW4" t="s">
        <v>289</v>
      </c>
      <c r="ACX4" t="s">
        <v>289</v>
      </c>
      <c r="ACY4" t="s">
        <v>289</v>
      </c>
      <c r="ACZ4" t="s">
        <v>289</v>
      </c>
      <c r="ADA4" t="s">
        <v>289</v>
      </c>
      <c r="ADB4" t="s">
        <v>289</v>
      </c>
      <c r="ADC4" t="s">
        <v>289</v>
      </c>
      <c r="ADD4" t="s">
        <v>289</v>
      </c>
      <c r="ADE4" t="s">
        <v>289</v>
      </c>
      <c r="ADF4" t="s">
        <v>289</v>
      </c>
      <c r="ADG4" t="s">
        <v>289</v>
      </c>
      <c r="ADH4" t="s">
        <v>289</v>
      </c>
      <c r="ADI4" t="s">
        <v>289</v>
      </c>
      <c r="ADJ4" t="s">
        <v>289</v>
      </c>
      <c r="ADK4" t="s">
        <v>289</v>
      </c>
      <c r="ADL4" t="s">
        <v>289</v>
      </c>
      <c r="ADM4" t="s">
        <v>289</v>
      </c>
      <c r="ADN4" t="s">
        <v>289</v>
      </c>
      <c r="ADO4" t="s">
        <v>289</v>
      </c>
      <c r="ADP4" t="s">
        <v>289</v>
      </c>
      <c r="ADQ4">
        <v>0</v>
      </c>
      <c r="ADR4">
        <v>0.443</v>
      </c>
      <c r="ADS4">
        <v>1.542</v>
      </c>
      <c r="ADT4">
        <v>0</v>
      </c>
      <c r="ADU4">
        <v>0.1</v>
      </c>
      <c r="ADV4">
        <v>0.1</v>
      </c>
      <c r="ADW4" t="s">
        <v>289</v>
      </c>
      <c r="ADX4">
        <v>0</v>
      </c>
      <c r="ADY4">
        <v>0.2</v>
      </c>
      <c r="ADZ4">
        <v>0.1</v>
      </c>
      <c r="AEA4">
        <v>0.5</v>
      </c>
      <c r="AEB4" t="s">
        <v>289</v>
      </c>
      <c r="AEC4" t="s">
        <v>289</v>
      </c>
      <c r="AED4" t="s">
        <v>289</v>
      </c>
      <c r="AEE4" t="s">
        <v>289</v>
      </c>
      <c r="AEF4" t="s">
        <v>289</v>
      </c>
      <c r="AEG4" t="s">
        <v>289</v>
      </c>
      <c r="AEH4" t="s">
        <v>289</v>
      </c>
      <c r="AEI4" t="s">
        <v>289</v>
      </c>
      <c r="AEJ4">
        <v>496.41899999999998</v>
      </c>
      <c r="AEK4" t="s">
        <v>289</v>
      </c>
      <c r="AEL4" t="s">
        <v>289</v>
      </c>
      <c r="AEM4" t="s">
        <v>289</v>
      </c>
      <c r="AEN4" t="s">
        <v>289</v>
      </c>
      <c r="AEO4" t="s">
        <v>289</v>
      </c>
      <c r="AEP4" t="s">
        <v>289</v>
      </c>
      <c r="AEQ4" t="s">
        <v>289</v>
      </c>
      <c r="AER4" t="s">
        <v>289</v>
      </c>
      <c r="AES4" t="s">
        <v>289</v>
      </c>
      <c r="AET4" t="s">
        <v>289</v>
      </c>
      <c r="AEU4" t="s">
        <v>289</v>
      </c>
      <c r="AEV4" t="s">
        <v>289</v>
      </c>
      <c r="AEW4" t="s">
        <v>289</v>
      </c>
      <c r="AEX4" t="s">
        <v>289</v>
      </c>
      <c r="AEY4" t="s">
        <v>289</v>
      </c>
      <c r="AEZ4" t="s">
        <v>289</v>
      </c>
      <c r="AFA4" t="s">
        <v>289</v>
      </c>
      <c r="AFB4" t="s">
        <v>289</v>
      </c>
      <c r="AFC4" t="s">
        <v>289</v>
      </c>
      <c r="AFD4" t="s">
        <v>289</v>
      </c>
      <c r="AFE4" t="s">
        <v>289</v>
      </c>
      <c r="AFF4" t="s">
        <v>289</v>
      </c>
      <c r="AFG4" t="s">
        <v>289</v>
      </c>
      <c r="AFH4" t="s">
        <v>289</v>
      </c>
      <c r="AFI4" t="s">
        <v>289</v>
      </c>
      <c r="AFJ4" t="s">
        <v>289</v>
      </c>
      <c r="AFK4" t="s">
        <v>289</v>
      </c>
      <c r="AFL4" t="s">
        <v>289</v>
      </c>
      <c r="AFM4" t="s">
        <v>289</v>
      </c>
      <c r="AFN4" t="s">
        <v>289</v>
      </c>
      <c r="AFO4" t="s">
        <v>289</v>
      </c>
      <c r="AFP4" t="s">
        <v>289</v>
      </c>
      <c r="AFQ4" t="s">
        <v>289</v>
      </c>
      <c r="AFR4" t="s">
        <v>289</v>
      </c>
      <c r="AFS4" t="s">
        <v>289</v>
      </c>
      <c r="AFT4" t="s">
        <v>289</v>
      </c>
      <c r="AFU4" t="s">
        <v>289</v>
      </c>
      <c r="AFV4">
        <v>1.534</v>
      </c>
      <c r="AFW4">
        <v>1.6950000000000001</v>
      </c>
      <c r="AFX4">
        <v>1.962</v>
      </c>
      <c r="AFY4" t="s">
        <v>289</v>
      </c>
      <c r="AFZ4" t="s">
        <v>289</v>
      </c>
      <c r="AGA4" t="s">
        <v>289</v>
      </c>
      <c r="AGB4" t="s">
        <v>289</v>
      </c>
      <c r="AGC4" t="s">
        <v>289</v>
      </c>
      <c r="AGD4" t="s">
        <v>289</v>
      </c>
      <c r="AGE4" t="s">
        <v>289</v>
      </c>
      <c r="AGF4" t="s">
        <v>289</v>
      </c>
      <c r="AGG4" t="s">
        <v>289</v>
      </c>
      <c r="AGH4" t="s">
        <v>289</v>
      </c>
      <c r="AGI4" t="s">
        <v>289</v>
      </c>
      <c r="AGJ4" t="s">
        <v>289</v>
      </c>
      <c r="AGK4">
        <v>9.2449999999999992</v>
      </c>
      <c r="AGL4">
        <v>0</v>
      </c>
      <c r="AGM4" t="s">
        <v>289</v>
      </c>
      <c r="AGN4">
        <v>3.2890000000000001</v>
      </c>
      <c r="AGO4">
        <v>2.202</v>
      </c>
      <c r="AGP4">
        <v>1.1339999999999999</v>
      </c>
      <c r="AGQ4">
        <v>1.8859999999999999</v>
      </c>
      <c r="AGR4" t="s">
        <v>289</v>
      </c>
      <c r="AGS4">
        <v>2.1</v>
      </c>
      <c r="AGT4">
        <v>2.2999999999999998</v>
      </c>
      <c r="AGU4">
        <v>2.1</v>
      </c>
      <c r="AGV4" t="s">
        <v>289</v>
      </c>
      <c r="AGW4" t="s">
        <v>289</v>
      </c>
      <c r="AGX4" t="s">
        <v>289</v>
      </c>
      <c r="AGY4" t="s">
        <v>289</v>
      </c>
      <c r="AGZ4" t="s">
        <v>289</v>
      </c>
      <c r="AHA4" t="s">
        <v>289</v>
      </c>
      <c r="AHB4" t="s">
        <v>289</v>
      </c>
      <c r="AHC4" t="s">
        <v>289</v>
      </c>
      <c r="AHD4" t="s">
        <v>289</v>
      </c>
      <c r="AHE4" t="s">
        <v>289</v>
      </c>
      <c r="AHF4" t="s">
        <v>289</v>
      </c>
      <c r="AHG4" t="s">
        <v>289</v>
      </c>
      <c r="AHH4" t="s">
        <v>289</v>
      </c>
      <c r="AHI4" t="s">
        <v>289</v>
      </c>
      <c r="AHJ4" t="s">
        <v>289</v>
      </c>
      <c r="AHK4" t="s">
        <v>289</v>
      </c>
      <c r="AHL4" t="s">
        <v>289</v>
      </c>
      <c r="AHM4" t="s">
        <v>289</v>
      </c>
      <c r="AHN4" t="s">
        <v>289</v>
      </c>
      <c r="AHO4" t="s">
        <v>289</v>
      </c>
      <c r="AHP4" t="s">
        <v>289</v>
      </c>
      <c r="AHQ4" t="s">
        <v>289</v>
      </c>
      <c r="AHR4" t="s">
        <v>289</v>
      </c>
      <c r="AHS4" t="s">
        <v>289</v>
      </c>
      <c r="AHT4" t="s">
        <v>289</v>
      </c>
      <c r="AHU4" t="s">
        <v>289</v>
      </c>
      <c r="AHV4" t="s">
        <v>289</v>
      </c>
      <c r="AHW4" t="s">
        <v>289</v>
      </c>
      <c r="AHX4" t="s">
        <v>289</v>
      </c>
      <c r="AHY4" t="s">
        <v>289</v>
      </c>
      <c r="AHZ4" t="s">
        <v>289</v>
      </c>
      <c r="AIA4" t="s">
        <v>289</v>
      </c>
      <c r="AIB4" t="s">
        <v>289</v>
      </c>
      <c r="AIC4" t="s">
        <v>289</v>
      </c>
      <c r="AID4" t="s">
        <v>289</v>
      </c>
      <c r="AIE4" t="s">
        <v>289</v>
      </c>
      <c r="AIF4" t="s">
        <v>289</v>
      </c>
      <c r="AIG4" t="s">
        <v>289</v>
      </c>
      <c r="AIH4" t="s">
        <v>289</v>
      </c>
      <c r="AII4" t="s">
        <v>289</v>
      </c>
      <c r="AIJ4" t="s">
        <v>289</v>
      </c>
      <c r="AIK4" t="s">
        <v>289</v>
      </c>
      <c r="AIL4" t="s">
        <v>289</v>
      </c>
      <c r="AIM4" t="s">
        <v>289</v>
      </c>
      <c r="AIN4" t="s">
        <v>289</v>
      </c>
      <c r="AIO4" t="s">
        <v>289</v>
      </c>
      <c r="AIP4">
        <v>157.63800000000001</v>
      </c>
      <c r="AIQ4">
        <v>170.26900000000001</v>
      </c>
      <c r="AIR4">
        <v>172.928</v>
      </c>
      <c r="AIS4">
        <v>198.602</v>
      </c>
      <c r="AIT4">
        <v>192.36699999999999</v>
      </c>
      <c r="AIU4">
        <v>195.22300000000001</v>
      </c>
      <c r="AIV4">
        <v>180.809</v>
      </c>
      <c r="AIW4">
        <v>174.37899999999999</v>
      </c>
      <c r="AIX4">
        <v>166.3</v>
      </c>
      <c r="AIY4">
        <v>196.3</v>
      </c>
      <c r="AIZ4">
        <v>243.9</v>
      </c>
      <c r="AJA4">
        <v>313</v>
      </c>
      <c r="AJB4">
        <v>350.5</v>
      </c>
      <c r="AJC4">
        <v>389.6</v>
      </c>
      <c r="AJD4">
        <v>355.5</v>
      </c>
      <c r="AJE4" t="s">
        <v>289</v>
      </c>
      <c r="AJF4" t="s">
        <v>289</v>
      </c>
      <c r="AJG4" t="s">
        <v>289</v>
      </c>
      <c r="AJH4" t="s">
        <v>289</v>
      </c>
      <c r="AJI4">
        <v>332.76600000000002</v>
      </c>
      <c r="AJJ4">
        <v>536.95100000000002</v>
      </c>
      <c r="AJK4">
        <v>347.90899999999999</v>
      </c>
      <c r="AJL4">
        <v>474.26299999999998</v>
      </c>
      <c r="AJM4">
        <v>506.81</v>
      </c>
      <c r="AJN4">
        <v>461.23700000000002</v>
      </c>
      <c r="AJO4">
        <v>519.18899999999996</v>
      </c>
      <c r="AJP4">
        <v>468.35500000000002</v>
      </c>
      <c r="AJQ4">
        <v>510.2</v>
      </c>
      <c r="AJR4">
        <v>593.5</v>
      </c>
      <c r="AJS4">
        <v>876</v>
      </c>
      <c r="AJT4">
        <v>1096.5</v>
      </c>
      <c r="AJU4">
        <v>980.5</v>
      </c>
      <c r="AJV4">
        <v>611.79999999999995</v>
      </c>
      <c r="AJW4">
        <v>1095.3</v>
      </c>
      <c r="AJX4" t="s">
        <v>289</v>
      </c>
      <c r="AJY4" t="s">
        <v>289</v>
      </c>
      <c r="AJZ4" t="s">
        <v>289</v>
      </c>
      <c r="AKA4" t="s">
        <v>289</v>
      </c>
      <c r="AKB4" t="s">
        <v>289</v>
      </c>
      <c r="AKC4" t="s">
        <v>289</v>
      </c>
      <c r="AKD4">
        <v>74.632999999999996</v>
      </c>
      <c r="AKE4">
        <v>69.709999999999994</v>
      </c>
      <c r="AKF4">
        <v>0</v>
      </c>
      <c r="AKG4">
        <v>41.259</v>
      </c>
      <c r="AKH4">
        <v>13.853999999999999</v>
      </c>
      <c r="AKI4">
        <v>19.808</v>
      </c>
      <c r="AKJ4" t="s">
        <v>289</v>
      </c>
      <c r="AKK4" t="s">
        <v>289</v>
      </c>
      <c r="AKL4" t="s">
        <v>289</v>
      </c>
      <c r="AKM4" t="s">
        <v>289</v>
      </c>
      <c r="AKN4" t="s">
        <v>289</v>
      </c>
      <c r="AKO4" t="s">
        <v>289</v>
      </c>
      <c r="AKP4" t="s">
        <v>289</v>
      </c>
      <c r="AKQ4" t="s">
        <v>289</v>
      </c>
      <c r="AKR4" t="s">
        <v>289</v>
      </c>
      <c r="AKS4" t="s">
        <v>289</v>
      </c>
      <c r="AKT4" t="s">
        <v>289</v>
      </c>
      <c r="AKU4">
        <v>747.34299999999996</v>
      </c>
      <c r="AKV4">
        <v>767.71600000000001</v>
      </c>
      <c r="AKW4">
        <v>873.58299999999997</v>
      </c>
      <c r="AKX4">
        <v>920.88300000000004</v>
      </c>
      <c r="AKY4">
        <v>850.91499999999996</v>
      </c>
      <c r="AKZ4">
        <v>896.25699999999995</v>
      </c>
      <c r="ALA4">
        <v>968.23299999999995</v>
      </c>
      <c r="ALB4">
        <v>1083.95</v>
      </c>
      <c r="ALC4">
        <v>1109.2</v>
      </c>
      <c r="ALD4">
        <v>1269.8</v>
      </c>
      <c r="ALE4">
        <v>1632.1</v>
      </c>
      <c r="ALF4">
        <v>1970.2</v>
      </c>
      <c r="ALG4">
        <v>2231.1</v>
      </c>
      <c r="ALH4">
        <v>2794.8</v>
      </c>
      <c r="ALI4">
        <v>2842.5</v>
      </c>
      <c r="ALJ4" t="s">
        <v>289</v>
      </c>
      <c r="ALK4" t="s">
        <v>289</v>
      </c>
      <c r="ALL4" t="s">
        <v>289</v>
      </c>
      <c r="ALM4" t="s">
        <v>289</v>
      </c>
      <c r="ALN4">
        <v>150.08000000000001</v>
      </c>
      <c r="ALO4">
        <v>131.81200000000001</v>
      </c>
      <c r="ALP4">
        <v>215.5</v>
      </c>
      <c r="ALQ4">
        <v>225.13800000000001</v>
      </c>
      <c r="ALR4">
        <v>141.87700000000001</v>
      </c>
      <c r="ALS4">
        <v>156.90100000000001</v>
      </c>
      <c r="ALT4">
        <v>188.07599999999999</v>
      </c>
      <c r="ALU4">
        <v>239.74199999999999</v>
      </c>
      <c r="ALV4">
        <v>215.1</v>
      </c>
      <c r="ALW4">
        <v>332</v>
      </c>
      <c r="ALX4">
        <v>418.3</v>
      </c>
      <c r="ALY4">
        <v>551.6</v>
      </c>
      <c r="ALZ4">
        <v>567.5</v>
      </c>
      <c r="AMA4">
        <v>889.5</v>
      </c>
      <c r="AMB4">
        <v>867.9</v>
      </c>
      <c r="AMC4" t="s">
        <v>289</v>
      </c>
      <c r="AMD4" t="s">
        <v>289</v>
      </c>
      <c r="AME4" t="s">
        <v>289</v>
      </c>
      <c r="AMF4" t="s">
        <v>289</v>
      </c>
      <c r="AMG4">
        <v>174.113</v>
      </c>
      <c r="AMH4">
        <v>125.218</v>
      </c>
      <c r="AMI4">
        <v>182.464</v>
      </c>
      <c r="AMJ4">
        <v>215.291</v>
      </c>
      <c r="AMK4">
        <v>143.25299999999999</v>
      </c>
      <c r="AML4">
        <v>226.94499999999999</v>
      </c>
      <c r="AMM4">
        <v>153.28700000000001</v>
      </c>
      <c r="AMN4">
        <v>193.32300000000001</v>
      </c>
      <c r="AMO4">
        <v>221.8</v>
      </c>
      <c r="AMP4">
        <v>388.1</v>
      </c>
      <c r="AMQ4">
        <v>529.5</v>
      </c>
      <c r="AMR4">
        <v>790.3</v>
      </c>
      <c r="AMS4">
        <v>890.2</v>
      </c>
      <c r="AMT4">
        <v>808.3</v>
      </c>
      <c r="AMU4">
        <v>905.2</v>
      </c>
      <c r="AMV4" t="s">
        <v>289</v>
      </c>
      <c r="AMW4" t="s">
        <v>289</v>
      </c>
      <c r="AMX4" t="s">
        <v>289</v>
      </c>
      <c r="AMY4" t="s">
        <v>289</v>
      </c>
      <c r="AMZ4">
        <v>430.38</v>
      </c>
      <c r="ANA4">
        <v>465.63499999999999</v>
      </c>
      <c r="ANB4">
        <v>480.51</v>
      </c>
      <c r="ANC4">
        <v>484.54599999999999</v>
      </c>
      <c r="AND4" t="s">
        <v>289</v>
      </c>
      <c r="ANE4">
        <v>522.58100000000002</v>
      </c>
      <c r="ANF4">
        <v>570.94200000000001</v>
      </c>
      <c r="ANG4">
        <v>625.80499999999995</v>
      </c>
      <c r="ANH4">
        <v>677.3</v>
      </c>
      <c r="ANI4">
        <v>707</v>
      </c>
      <c r="ANJ4">
        <v>930.7</v>
      </c>
      <c r="ANK4">
        <v>1071.7</v>
      </c>
      <c r="ANL4">
        <v>1183.5999999999999</v>
      </c>
      <c r="ANM4">
        <v>1336.8</v>
      </c>
      <c r="ANN4">
        <v>1384.1</v>
      </c>
      <c r="ANO4" t="s">
        <v>289</v>
      </c>
      <c r="ANP4" t="s">
        <v>289</v>
      </c>
      <c r="ANQ4" t="s">
        <v>289</v>
      </c>
      <c r="ANR4" t="s">
        <v>289</v>
      </c>
      <c r="ANS4" t="s">
        <v>289</v>
      </c>
      <c r="ANT4" t="s">
        <v>289</v>
      </c>
      <c r="ANU4" t="s">
        <v>289</v>
      </c>
      <c r="ANV4" t="s">
        <v>289</v>
      </c>
      <c r="ANW4" t="s">
        <v>289</v>
      </c>
      <c r="ANX4" t="s">
        <v>289</v>
      </c>
      <c r="ANY4" t="s">
        <v>289</v>
      </c>
      <c r="ANZ4" t="s">
        <v>289</v>
      </c>
      <c r="AOA4" t="s">
        <v>289</v>
      </c>
      <c r="AOB4" t="s">
        <v>289</v>
      </c>
      <c r="AOC4" t="s">
        <v>289</v>
      </c>
      <c r="AOD4" t="s">
        <v>289</v>
      </c>
      <c r="AOE4" t="s">
        <v>289</v>
      </c>
      <c r="AOF4" t="s">
        <v>289</v>
      </c>
      <c r="AOG4" t="s">
        <v>289</v>
      </c>
      <c r="AOH4" t="s">
        <v>289</v>
      </c>
      <c r="AOI4" t="s">
        <v>289</v>
      </c>
      <c r="AOJ4" t="s">
        <v>289</v>
      </c>
      <c r="AOK4" t="s">
        <v>289</v>
      </c>
      <c r="AOL4" t="s">
        <v>289</v>
      </c>
      <c r="AOM4" t="s">
        <v>289</v>
      </c>
      <c r="AON4" t="s">
        <v>289</v>
      </c>
      <c r="AOO4" t="s">
        <v>289</v>
      </c>
      <c r="AOP4" t="s">
        <v>289</v>
      </c>
      <c r="AOQ4" t="s">
        <v>289</v>
      </c>
      <c r="AOR4" t="s">
        <v>289</v>
      </c>
      <c r="AOS4" t="s">
        <v>289</v>
      </c>
      <c r="AOT4" t="s">
        <v>289</v>
      </c>
      <c r="AOU4" t="s">
        <v>289</v>
      </c>
      <c r="AOV4" t="s">
        <v>289</v>
      </c>
      <c r="AOW4" t="s">
        <v>289</v>
      </c>
      <c r="AOX4" t="s">
        <v>289</v>
      </c>
      <c r="AOY4" t="s">
        <v>289</v>
      </c>
      <c r="AOZ4" t="s">
        <v>289</v>
      </c>
      <c r="APA4" t="s">
        <v>289</v>
      </c>
      <c r="APB4" t="s">
        <v>289</v>
      </c>
      <c r="APC4" t="s">
        <v>289</v>
      </c>
      <c r="APD4" t="s">
        <v>289</v>
      </c>
      <c r="APE4" t="s">
        <v>289</v>
      </c>
      <c r="APF4" t="s">
        <v>289</v>
      </c>
      <c r="APG4" t="s">
        <v>289</v>
      </c>
      <c r="APH4" t="s">
        <v>289</v>
      </c>
      <c r="API4" t="s">
        <v>289</v>
      </c>
      <c r="APJ4" t="s">
        <v>289</v>
      </c>
      <c r="APK4" t="s">
        <v>289</v>
      </c>
      <c r="APL4" t="s">
        <v>289</v>
      </c>
      <c r="APM4" t="s">
        <v>289</v>
      </c>
      <c r="APN4" t="s">
        <v>289</v>
      </c>
      <c r="APO4" t="s">
        <v>289</v>
      </c>
      <c r="APP4" t="s">
        <v>289</v>
      </c>
      <c r="APQ4" t="s">
        <v>289</v>
      </c>
      <c r="APR4" t="s">
        <v>289</v>
      </c>
      <c r="APS4" t="s">
        <v>289</v>
      </c>
      <c r="APT4" t="s">
        <v>289</v>
      </c>
      <c r="APU4" t="s">
        <v>289</v>
      </c>
      <c r="APV4" t="s">
        <v>289</v>
      </c>
      <c r="APW4" t="s">
        <v>289</v>
      </c>
      <c r="APX4" t="s">
        <v>289</v>
      </c>
      <c r="APY4" t="s">
        <v>289</v>
      </c>
      <c r="APZ4" t="s">
        <v>289</v>
      </c>
      <c r="AQA4" t="s">
        <v>289</v>
      </c>
      <c r="AQB4" t="s">
        <v>289</v>
      </c>
      <c r="AQC4" t="s">
        <v>289</v>
      </c>
      <c r="AQD4" t="s">
        <v>289</v>
      </c>
      <c r="AQE4" t="s">
        <v>289</v>
      </c>
      <c r="AQF4" t="s">
        <v>289</v>
      </c>
      <c r="AQG4" t="s">
        <v>289</v>
      </c>
      <c r="AQH4" t="s">
        <v>289</v>
      </c>
      <c r="AQI4" t="s">
        <v>289</v>
      </c>
      <c r="AQJ4" t="s">
        <v>289</v>
      </c>
      <c r="AQK4" t="s">
        <v>289</v>
      </c>
      <c r="AQL4" t="s">
        <v>289</v>
      </c>
      <c r="AQM4" t="s">
        <v>289</v>
      </c>
      <c r="AQN4" t="s">
        <v>289</v>
      </c>
      <c r="AQO4" t="s">
        <v>289</v>
      </c>
      <c r="AQP4" t="s">
        <v>289</v>
      </c>
      <c r="AQQ4">
        <v>13.74</v>
      </c>
      <c r="AQR4">
        <v>12.441000000000001</v>
      </c>
      <c r="AQS4">
        <v>15.3</v>
      </c>
      <c r="AQT4">
        <v>26.895</v>
      </c>
      <c r="AQU4">
        <v>30.818000000000001</v>
      </c>
      <c r="AQV4">
        <v>37.895000000000003</v>
      </c>
      <c r="AQW4">
        <v>43.795999999999999</v>
      </c>
      <c r="AQX4">
        <v>51.963999999999999</v>
      </c>
      <c r="AQY4">
        <v>73.2</v>
      </c>
      <c r="AQZ4">
        <v>94.9</v>
      </c>
      <c r="ARA4">
        <v>54.8</v>
      </c>
      <c r="ARB4">
        <v>67.599999999999994</v>
      </c>
      <c r="ARC4">
        <v>112.9</v>
      </c>
      <c r="ARD4">
        <v>168.5</v>
      </c>
      <c r="ARE4">
        <v>137.6</v>
      </c>
      <c r="ARF4" t="s">
        <v>289</v>
      </c>
      <c r="ARG4" t="s">
        <v>289</v>
      </c>
      <c r="ARH4" t="s">
        <v>289</v>
      </c>
      <c r="ARI4" t="s">
        <v>289</v>
      </c>
      <c r="ARJ4" t="s">
        <v>289</v>
      </c>
      <c r="ARK4" t="s">
        <v>289</v>
      </c>
      <c r="ARL4" t="s">
        <v>289</v>
      </c>
      <c r="ARM4" t="s">
        <v>289</v>
      </c>
      <c r="ARN4" t="s">
        <v>289</v>
      </c>
      <c r="ARO4" t="s">
        <v>289</v>
      </c>
      <c r="ARP4" t="s">
        <v>289</v>
      </c>
      <c r="ARQ4" t="s">
        <v>289</v>
      </c>
      <c r="ARR4" t="s">
        <v>289</v>
      </c>
      <c r="ARS4" t="s">
        <v>289</v>
      </c>
      <c r="ART4" t="s">
        <v>289</v>
      </c>
      <c r="ARU4" t="s">
        <v>289</v>
      </c>
      <c r="ARV4" t="s">
        <v>289</v>
      </c>
      <c r="ARW4" t="s">
        <v>289</v>
      </c>
      <c r="ARX4" t="s">
        <v>289</v>
      </c>
      <c r="ARY4" t="s">
        <v>289</v>
      </c>
      <c r="ARZ4" t="s">
        <v>289</v>
      </c>
      <c r="ASA4" t="s">
        <v>289</v>
      </c>
      <c r="ASB4" t="s">
        <v>289</v>
      </c>
      <c r="ASC4" t="s">
        <v>289</v>
      </c>
      <c r="ASD4" t="s">
        <v>289</v>
      </c>
      <c r="ASE4" t="s">
        <v>289</v>
      </c>
      <c r="ASF4" t="s">
        <v>289</v>
      </c>
      <c r="ASG4" t="s">
        <v>289</v>
      </c>
      <c r="ASH4" t="s">
        <v>289</v>
      </c>
      <c r="ASI4" t="s">
        <v>289</v>
      </c>
      <c r="ASJ4" t="s">
        <v>289</v>
      </c>
      <c r="ASK4" t="s">
        <v>289</v>
      </c>
      <c r="ASL4" t="s">
        <v>289</v>
      </c>
      <c r="ASM4" t="s">
        <v>289</v>
      </c>
      <c r="ASN4" t="s">
        <v>289</v>
      </c>
      <c r="ASO4" t="s">
        <v>289</v>
      </c>
      <c r="ASP4" t="s">
        <v>289</v>
      </c>
      <c r="ASQ4" t="s">
        <v>289</v>
      </c>
      <c r="ASR4" t="s">
        <v>289</v>
      </c>
      <c r="ASS4" t="s">
        <v>289</v>
      </c>
      <c r="AST4" t="s">
        <v>289</v>
      </c>
      <c r="ASU4" t="s">
        <v>289</v>
      </c>
      <c r="ASV4" t="s">
        <v>289</v>
      </c>
      <c r="ASW4" t="s">
        <v>289</v>
      </c>
      <c r="ASX4" t="s">
        <v>289</v>
      </c>
      <c r="ASY4" t="s">
        <v>289</v>
      </c>
      <c r="ASZ4" t="s">
        <v>289</v>
      </c>
      <c r="ATA4" t="s">
        <v>289</v>
      </c>
      <c r="ATB4" t="s">
        <v>289</v>
      </c>
      <c r="ATC4" t="s">
        <v>289</v>
      </c>
      <c r="ATD4" t="s">
        <v>289</v>
      </c>
      <c r="ATE4" t="s">
        <v>289</v>
      </c>
      <c r="ATF4" t="s">
        <v>289</v>
      </c>
      <c r="ATG4" t="s">
        <v>289</v>
      </c>
      <c r="ATH4" t="s">
        <v>289</v>
      </c>
      <c r="ATI4" t="s">
        <v>289</v>
      </c>
      <c r="ATJ4" t="s">
        <v>289</v>
      </c>
      <c r="ATK4" t="s">
        <v>289</v>
      </c>
      <c r="ATL4" t="s">
        <v>289</v>
      </c>
      <c r="ATM4" t="s">
        <v>289</v>
      </c>
      <c r="ATN4" t="s">
        <v>289</v>
      </c>
      <c r="ATO4" t="s">
        <v>289</v>
      </c>
      <c r="ATP4" t="s">
        <v>289</v>
      </c>
      <c r="ATQ4" t="s">
        <v>289</v>
      </c>
      <c r="ATR4" t="s">
        <v>289</v>
      </c>
      <c r="ATS4" t="s">
        <v>289</v>
      </c>
      <c r="ATT4" t="s">
        <v>289</v>
      </c>
      <c r="ATU4" t="s">
        <v>289</v>
      </c>
      <c r="ATV4" t="s">
        <v>289</v>
      </c>
      <c r="ATW4" t="s">
        <v>289</v>
      </c>
      <c r="ATX4" t="s">
        <v>289</v>
      </c>
      <c r="ATY4" t="s">
        <v>289</v>
      </c>
      <c r="ATZ4" t="s">
        <v>289</v>
      </c>
      <c r="AUA4" t="s">
        <v>289</v>
      </c>
      <c r="AUB4" t="s">
        <v>289</v>
      </c>
      <c r="AUC4" t="s">
        <v>289</v>
      </c>
      <c r="AUD4" t="s">
        <v>289</v>
      </c>
      <c r="AUE4" t="s">
        <v>289</v>
      </c>
      <c r="AUF4" t="s">
        <v>289</v>
      </c>
      <c r="AUG4" t="s">
        <v>289</v>
      </c>
      <c r="AUH4" t="s">
        <v>289</v>
      </c>
      <c r="AUI4" t="s">
        <v>289</v>
      </c>
      <c r="AUJ4" t="s">
        <v>289</v>
      </c>
      <c r="AUK4" t="s">
        <v>289</v>
      </c>
      <c r="AUL4" t="s">
        <v>289</v>
      </c>
      <c r="AUM4" t="s">
        <v>289</v>
      </c>
      <c r="AUN4" t="s">
        <v>289</v>
      </c>
      <c r="AUO4" t="s">
        <v>289</v>
      </c>
      <c r="AUP4" t="s">
        <v>289</v>
      </c>
      <c r="AUQ4" t="s">
        <v>289</v>
      </c>
      <c r="AUR4" t="s">
        <v>289</v>
      </c>
      <c r="AUS4" t="s">
        <v>289</v>
      </c>
      <c r="AUT4" t="s">
        <v>289</v>
      </c>
      <c r="AUU4" t="s">
        <v>289</v>
      </c>
      <c r="AUV4" t="s">
        <v>289</v>
      </c>
      <c r="AUW4" t="s">
        <v>289</v>
      </c>
      <c r="AUX4" t="s">
        <v>289</v>
      </c>
      <c r="AUY4" t="s">
        <v>289</v>
      </c>
      <c r="AUZ4" t="s">
        <v>289</v>
      </c>
      <c r="AVA4" t="s">
        <v>289</v>
      </c>
      <c r="AVB4" t="s">
        <v>289</v>
      </c>
      <c r="AVC4" t="s">
        <v>289</v>
      </c>
      <c r="AVD4" t="s">
        <v>289</v>
      </c>
      <c r="AVE4" t="s">
        <v>289</v>
      </c>
      <c r="AVF4" t="s">
        <v>289</v>
      </c>
      <c r="AVG4" t="s">
        <v>289</v>
      </c>
      <c r="AVH4">
        <v>89.25</v>
      </c>
      <c r="AVI4">
        <v>65.5</v>
      </c>
      <c r="AVJ4">
        <v>101.7</v>
      </c>
      <c r="AVK4">
        <v>167.8</v>
      </c>
      <c r="AVL4">
        <v>144.6</v>
      </c>
      <c r="AVM4">
        <v>107.9</v>
      </c>
      <c r="AVN4">
        <v>489.4</v>
      </c>
      <c r="AVO4">
        <v>418.9</v>
      </c>
      <c r="AVP4" t="s">
        <v>289</v>
      </c>
      <c r="AVQ4" t="s">
        <v>289</v>
      </c>
      <c r="AVR4" t="s">
        <v>289</v>
      </c>
      <c r="AVS4" t="s">
        <v>289</v>
      </c>
      <c r="AVT4" t="s">
        <v>289</v>
      </c>
      <c r="AVU4" t="s">
        <v>289</v>
      </c>
      <c r="AVV4" t="s">
        <v>289</v>
      </c>
      <c r="AVW4" t="s">
        <v>289</v>
      </c>
      <c r="AVX4" t="s">
        <v>289</v>
      </c>
      <c r="AVY4" t="s">
        <v>289</v>
      </c>
      <c r="AVZ4" t="s">
        <v>289</v>
      </c>
      <c r="AWA4" t="s">
        <v>289</v>
      </c>
      <c r="AWB4" t="s">
        <v>289</v>
      </c>
      <c r="AWC4" t="s">
        <v>289</v>
      </c>
      <c r="AWD4" t="s">
        <v>289</v>
      </c>
      <c r="AWE4" t="s">
        <v>289</v>
      </c>
      <c r="AWF4" t="s">
        <v>289</v>
      </c>
      <c r="AWG4" t="s">
        <v>289</v>
      </c>
      <c r="AWH4" t="s">
        <v>289</v>
      </c>
      <c r="AWI4" t="s">
        <v>289</v>
      </c>
      <c r="AWJ4" t="s">
        <v>289</v>
      </c>
      <c r="AWK4" t="s">
        <v>289</v>
      </c>
      <c r="AWL4" t="s">
        <v>289</v>
      </c>
      <c r="AWM4" t="s">
        <v>289</v>
      </c>
      <c r="AWN4" t="s">
        <v>289</v>
      </c>
      <c r="AWO4" t="s">
        <v>289</v>
      </c>
      <c r="AWP4" t="s">
        <v>289</v>
      </c>
      <c r="AWQ4" t="s">
        <v>289</v>
      </c>
      <c r="AWR4" t="s">
        <v>289</v>
      </c>
      <c r="AWS4" t="s">
        <v>289</v>
      </c>
      <c r="AWT4" t="s">
        <v>289</v>
      </c>
      <c r="AWU4" t="s">
        <v>289</v>
      </c>
      <c r="AWV4" t="s">
        <v>289</v>
      </c>
      <c r="AWW4" t="s">
        <v>289</v>
      </c>
      <c r="AWX4" t="s">
        <v>289</v>
      </c>
      <c r="AWY4" t="s">
        <v>289</v>
      </c>
      <c r="AWZ4" t="s">
        <v>289</v>
      </c>
      <c r="AXA4" t="s">
        <v>289</v>
      </c>
      <c r="AXB4" t="s">
        <v>289</v>
      </c>
      <c r="AXC4" t="s">
        <v>289</v>
      </c>
      <c r="AXD4" t="s">
        <v>289</v>
      </c>
      <c r="AXE4" t="s">
        <v>289</v>
      </c>
      <c r="AXF4" t="s">
        <v>289</v>
      </c>
      <c r="AXG4" t="s">
        <v>289</v>
      </c>
      <c r="AXH4" t="s">
        <v>289</v>
      </c>
      <c r="AXI4" t="s">
        <v>289</v>
      </c>
      <c r="AXJ4" t="s">
        <v>289</v>
      </c>
      <c r="AXK4" t="s">
        <v>289</v>
      </c>
      <c r="AXL4" t="s">
        <v>289</v>
      </c>
      <c r="AXM4" t="s">
        <v>289</v>
      </c>
      <c r="AXN4" t="s">
        <v>289</v>
      </c>
      <c r="AXO4" t="s">
        <v>289</v>
      </c>
      <c r="AXP4" t="s">
        <v>289</v>
      </c>
      <c r="AXQ4">
        <v>100.4</v>
      </c>
      <c r="AXR4">
        <v>165.9</v>
      </c>
      <c r="AXS4">
        <v>234.1</v>
      </c>
      <c r="AXT4">
        <v>212.2</v>
      </c>
      <c r="AXU4" t="s">
        <v>289</v>
      </c>
      <c r="AXV4" t="s">
        <v>289</v>
      </c>
      <c r="AXW4" t="s">
        <v>289</v>
      </c>
      <c r="AXX4" t="s">
        <v>289</v>
      </c>
      <c r="AXY4" t="s">
        <v>289</v>
      </c>
      <c r="AXZ4" t="s">
        <v>289</v>
      </c>
      <c r="AYA4" t="s">
        <v>289</v>
      </c>
      <c r="AYB4" t="s">
        <v>289</v>
      </c>
      <c r="AYC4" t="s">
        <v>289</v>
      </c>
      <c r="AYD4" t="s">
        <v>289</v>
      </c>
      <c r="AYE4" t="s">
        <v>289</v>
      </c>
      <c r="AYF4" t="s">
        <v>289</v>
      </c>
      <c r="AYG4" t="s">
        <v>289</v>
      </c>
      <c r="AYH4" t="s">
        <v>289</v>
      </c>
      <c r="AYI4" t="s">
        <v>289</v>
      </c>
      <c r="AYJ4" t="s">
        <v>289</v>
      </c>
      <c r="AYK4" t="s">
        <v>289</v>
      </c>
      <c r="AYL4" t="s">
        <v>289</v>
      </c>
      <c r="AYM4" t="s">
        <v>289</v>
      </c>
      <c r="AYN4" t="s">
        <v>289</v>
      </c>
      <c r="AYO4" t="s">
        <v>289</v>
      </c>
      <c r="AYP4" t="s">
        <v>289</v>
      </c>
      <c r="AYQ4" t="s">
        <v>289</v>
      </c>
      <c r="AYR4" t="s">
        <v>289</v>
      </c>
      <c r="AYS4" t="s">
        <v>289</v>
      </c>
      <c r="AYT4" t="s">
        <v>289</v>
      </c>
      <c r="AYU4" t="s">
        <v>289</v>
      </c>
      <c r="AYV4" t="s">
        <v>289</v>
      </c>
      <c r="AYW4" t="s">
        <v>289</v>
      </c>
      <c r="AYX4" t="s">
        <v>289</v>
      </c>
      <c r="AYY4" t="s">
        <v>289</v>
      </c>
      <c r="AYZ4" t="s">
        <v>289</v>
      </c>
      <c r="AZA4" t="s">
        <v>289</v>
      </c>
      <c r="AZB4" t="s">
        <v>289</v>
      </c>
      <c r="AZC4" t="s">
        <v>289</v>
      </c>
      <c r="AZD4" t="s">
        <v>289</v>
      </c>
      <c r="AZE4" t="s">
        <v>289</v>
      </c>
      <c r="AZF4" t="s">
        <v>289</v>
      </c>
      <c r="AZG4" t="s">
        <v>289</v>
      </c>
      <c r="AZH4" t="s">
        <v>289</v>
      </c>
      <c r="AZI4" t="s">
        <v>289</v>
      </c>
      <c r="AZJ4" t="s">
        <v>289</v>
      </c>
      <c r="AZK4">
        <v>351.74400000000003</v>
      </c>
      <c r="AZL4">
        <v>381.50400000000002</v>
      </c>
      <c r="AZM4">
        <v>396.37900000000002</v>
      </c>
      <c r="AZN4">
        <v>400.41500000000002</v>
      </c>
      <c r="AZO4">
        <v>412.28800000000001</v>
      </c>
      <c r="AZP4">
        <v>438.45</v>
      </c>
      <c r="AZQ4">
        <v>486.81099999999998</v>
      </c>
      <c r="AZR4">
        <v>257.41000000000003</v>
      </c>
      <c r="AZS4">
        <v>592.20000000000005</v>
      </c>
      <c r="AZT4">
        <v>622</v>
      </c>
      <c r="AZU4">
        <v>845.9</v>
      </c>
      <c r="AZV4">
        <v>986.9</v>
      </c>
      <c r="AZW4">
        <v>1098.2</v>
      </c>
      <c r="AZX4">
        <v>1251.4000000000001</v>
      </c>
      <c r="AZY4">
        <v>1298.7</v>
      </c>
      <c r="AZZ4" t="s">
        <v>289</v>
      </c>
      <c r="BAA4" t="s">
        <v>289</v>
      </c>
      <c r="BAB4" t="s">
        <v>289</v>
      </c>
      <c r="BAC4" t="s">
        <v>289</v>
      </c>
      <c r="BAD4" t="s">
        <v>289</v>
      </c>
      <c r="BAE4" t="s">
        <v>289</v>
      </c>
      <c r="BAF4" t="s">
        <v>289</v>
      </c>
      <c r="BAG4" t="s">
        <v>289</v>
      </c>
      <c r="BAH4" t="s">
        <v>289</v>
      </c>
      <c r="BAI4" t="s">
        <v>289</v>
      </c>
      <c r="BAJ4" t="s">
        <v>289</v>
      </c>
      <c r="BAK4" t="s">
        <v>289</v>
      </c>
      <c r="BAL4" t="s">
        <v>289</v>
      </c>
      <c r="BAM4" t="s">
        <v>289</v>
      </c>
      <c r="BAN4" t="s">
        <v>289</v>
      </c>
      <c r="BAO4" t="s">
        <v>289</v>
      </c>
      <c r="BAP4" t="s">
        <v>289</v>
      </c>
      <c r="BAQ4" t="s">
        <v>289</v>
      </c>
      <c r="BAR4" t="s">
        <v>289</v>
      </c>
      <c r="BAS4" t="s">
        <v>289</v>
      </c>
      <c r="BAT4" t="s">
        <v>289</v>
      </c>
      <c r="BAU4" t="s">
        <v>289</v>
      </c>
      <c r="BAV4" t="s">
        <v>289</v>
      </c>
      <c r="BAW4" t="s">
        <v>289</v>
      </c>
      <c r="BAX4" t="s">
        <v>289</v>
      </c>
      <c r="BAY4" t="s">
        <v>289</v>
      </c>
      <c r="BAZ4" t="s">
        <v>289</v>
      </c>
      <c r="BBA4" t="s">
        <v>289</v>
      </c>
      <c r="BBB4" t="s">
        <v>289</v>
      </c>
      <c r="BBC4" t="s">
        <v>289</v>
      </c>
      <c r="BBD4" t="s">
        <v>289</v>
      </c>
      <c r="BBE4" t="s">
        <v>289</v>
      </c>
      <c r="BBF4" t="s">
        <v>289</v>
      </c>
      <c r="BBG4" t="s">
        <v>289</v>
      </c>
      <c r="BBH4" t="s">
        <v>289</v>
      </c>
      <c r="BBI4" t="s">
        <v>289</v>
      </c>
      <c r="BBJ4" t="s">
        <v>289</v>
      </c>
      <c r="BBK4" t="s">
        <v>289</v>
      </c>
      <c r="BBL4" t="s">
        <v>289</v>
      </c>
      <c r="BBM4" t="s">
        <v>289</v>
      </c>
      <c r="BBN4" t="s">
        <v>289</v>
      </c>
      <c r="BBO4" t="s">
        <v>289</v>
      </c>
      <c r="BBP4">
        <v>157.63800000000001</v>
      </c>
      <c r="BBQ4">
        <v>170.26900000000001</v>
      </c>
      <c r="BBR4">
        <v>172.928</v>
      </c>
      <c r="BBS4">
        <v>198.602</v>
      </c>
      <c r="BBT4">
        <v>192.36699999999999</v>
      </c>
      <c r="BBU4">
        <v>195.22300000000001</v>
      </c>
      <c r="BBV4">
        <v>180.809</v>
      </c>
      <c r="BBW4">
        <v>174.37899999999999</v>
      </c>
      <c r="BBX4">
        <v>166.3</v>
      </c>
      <c r="BBY4">
        <v>196.3</v>
      </c>
      <c r="BBZ4">
        <v>243.9</v>
      </c>
      <c r="BCA4">
        <v>313</v>
      </c>
      <c r="BCB4">
        <v>350.5</v>
      </c>
      <c r="BCC4">
        <v>389.6</v>
      </c>
      <c r="BCD4">
        <v>355.5</v>
      </c>
      <c r="BCE4" t="s">
        <v>289</v>
      </c>
      <c r="BCF4" t="s">
        <v>289</v>
      </c>
      <c r="BCG4" t="s">
        <v>289</v>
      </c>
      <c r="BCH4" t="s">
        <v>289</v>
      </c>
      <c r="BCI4">
        <v>42.158000000000001</v>
      </c>
      <c r="BCJ4">
        <v>16.138000000000002</v>
      </c>
      <c r="BCK4">
        <v>39.116</v>
      </c>
      <c r="BCL4">
        <v>43.341999999999999</v>
      </c>
      <c r="BCM4">
        <v>46.631</v>
      </c>
      <c r="BCN4">
        <v>50.412999999999997</v>
      </c>
      <c r="BCO4">
        <v>74.653000000000006</v>
      </c>
      <c r="BCP4">
        <v>89.25</v>
      </c>
      <c r="BCQ4">
        <v>65.5</v>
      </c>
      <c r="BCR4">
        <v>101.7</v>
      </c>
      <c r="BCS4">
        <v>167.8</v>
      </c>
      <c r="BCT4">
        <v>144.6</v>
      </c>
      <c r="BCU4">
        <v>107.9</v>
      </c>
      <c r="BCV4">
        <v>489.4</v>
      </c>
      <c r="BCW4">
        <v>418.9</v>
      </c>
      <c r="BCX4" t="s">
        <v>289</v>
      </c>
      <c r="BCY4" t="s">
        <v>289</v>
      </c>
      <c r="BCZ4" t="s">
        <v>289</v>
      </c>
      <c r="BDA4" t="s">
        <v>289</v>
      </c>
      <c r="BDB4">
        <v>150.08000000000001</v>
      </c>
      <c r="BDC4">
        <v>131.81200000000001</v>
      </c>
      <c r="BDD4">
        <v>215.5</v>
      </c>
      <c r="BDE4">
        <v>225.13800000000001</v>
      </c>
      <c r="BDF4">
        <v>141.87700000000001</v>
      </c>
      <c r="BDG4">
        <v>156.90100000000001</v>
      </c>
      <c r="BDH4">
        <v>188.07599999999999</v>
      </c>
      <c r="BDI4">
        <v>239.74199999999999</v>
      </c>
      <c r="BDJ4">
        <v>215.1</v>
      </c>
      <c r="BDK4">
        <v>332</v>
      </c>
      <c r="BDL4">
        <v>418.3</v>
      </c>
      <c r="BDM4">
        <v>551.6</v>
      </c>
      <c r="BDN4">
        <v>567.5</v>
      </c>
      <c r="BDO4">
        <v>889.5</v>
      </c>
      <c r="BDP4">
        <v>867.9</v>
      </c>
      <c r="BDQ4" t="s">
        <v>289</v>
      </c>
      <c r="BDR4" t="s">
        <v>289</v>
      </c>
      <c r="BDS4" t="s">
        <v>289</v>
      </c>
      <c r="BDT4" t="s">
        <v>289</v>
      </c>
      <c r="BDU4">
        <v>174.113</v>
      </c>
      <c r="BDV4">
        <v>125.218</v>
      </c>
      <c r="BDW4">
        <v>182.464</v>
      </c>
      <c r="BDX4">
        <v>215.291</v>
      </c>
      <c r="BDY4">
        <v>143.25299999999999</v>
      </c>
      <c r="BDZ4">
        <v>226.94499999999999</v>
      </c>
      <c r="BEA4">
        <v>153.28700000000001</v>
      </c>
      <c r="BEB4">
        <v>193.32300000000001</v>
      </c>
      <c r="BEC4">
        <v>221.8</v>
      </c>
      <c r="BED4">
        <v>388.1</v>
      </c>
      <c r="BEE4">
        <v>529.5</v>
      </c>
      <c r="BEF4">
        <v>790.3</v>
      </c>
      <c r="BEG4">
        <v>890.2</v>
      </c>
      <c r="BEH4">
        <v>808.3</v>
      </c>
      <c r="BEI4">
        <v>905.2</v>
      </c>
      <c r="BEJ4" t="s">
        <v>289</v>
      </c>
      <c r="BEK4" t="s">
        <v>289</v>
      </c>
      <c r="BEL4" t="s">
        <v>289</v>
      </c>
      <c r="BEM4" t="s">
        <v>289</v>
      </c>
      <c r="BEN4">
        <v>430.38</v>
      </c>
      <c r="BEO4">
        <v>465.63499999999999</v>
      </c>
      <c r="BEP4">
        <v>480.51</v>
      </c>
      <c r="BEQ4">
        <v>484.54599999999999</v>
      </c>
      <c r="BER4">
        <v>496.41899999999998</v>
      </c>
      <c r="BES4">
        <v>522.58100000000002</v>
      </c>
      <c r="BET4">
        <v>570.94200000000001</v>
      </c>
      <c r="BEU4">
        <v>625.80499999999995</v>
      </c>
      <c r="BEV4">
        <v>677.3</v>
      </c>
      <c r="BEW4">
        <v>707</v>
      </c>
      <c r="BEX4">
        <v>930.7</v>
      </c>
      <c r="BEY4">
        <v>1071.7</v>
      </c>
      <c r="BEZ4">
        <v>1183.5999999999999</v>
      </c>
      <c r="BFA4">
        <v>1336.8</v>
      </c>
      <c r="BFB4">
        <v>1384.1</v>
      </c>
      <c r="BFC4" t="s">
        <v>289</v>
      </c>
      <c r="BFD4" t="s">
        <v>289</v>
      </c>
      <c r="BFE4" t="s">
        <v>289</v>
      </c>
      <c r="BFF4" t="s">
        <v>289</v>
      </c>
      <c r="BFG4">
        <v>78.635999999999996</v>
      </c>
      <c r="BFH4">
        <v>84.131</v>
      </c>
      <c r="BFI4">
        <v>84.131</v>
      </c>
      <c r="BFJ4">
        <v>84.131</v>
      </c>
      <c r="BFK4">
        <v>84.131</v>
      </c>
      <c r="BFL4">
        <v>84.131</v>
      </c>
      <c r="BFM4">
        <v>84.131</v>
      </c>
      <c r="BFN4">
        <v>85.236000000000004</v>
      </c>
      <c r="BFO4">
        <v>85.1</v>
      </c>
      <c r="BFP4">
        <v>85</v>
      </c>
      <c r="BFQ4">
        <v>84.8</v>
      </c>
      <c r="BFR4">
        <v>84.8</v>
      </c>
      <c r="BFS4">
        <v>85.4</v>
      </c>
      <c r="BFT4">
        <v>85.4</v>
      </c>
      <c r="BFU4">
        <v>85.4</v>
      </c>
      <c r="BFV4" t="s">
        <v>289</v>
      </c>
      <c r="BFW4" t="s">
        <v>289</v>
      </c>
      <c r="BFX4" t="s">
        <v>289</v>
      </c>
      <c r="BFY4" t="s">
        <v>289</v>
      </c>
      <c r="BFZ4">
        <v>157.63800000000001</v>
      </c>
      <c r="BGA4">
        <v>170.26900000000001</v>
      </c>
      <c r="BGB4">
        <v>172.928</v>
      </c>
      <c r="BGC4">
        <v>198.602</v>
      </c>
      <c r="BGD4">
        <v>192.36699999999999</v>
      </c>
      <c r="BGE4">
        <v>195.22300000000001</v>
      </c>
      <c r="BGF4">
        <v>180.809</v>
      </c>
      <c r="BGG4">
        <v>174.37899999999999</v>
      </c>
      <c r="BGH4">
        <v>166.3</v>
      </c>
      <c r="BGI4">
        <v>196.3</v>
      </c>
      <c r="BGJ4">
        <v>243.9</v>
      </c>
      <c r="BGK4">
        <v>313</v>
      </c>
      <c r="BGL4">
        <v>432.3</v>
      </c>
      <c r="BGM4">
        <v>461</v>
      </c>
      <c r="BGN4">
        <v>431.5</v>
      </c>
      <c r="BGO4" t="s">
        <v>289</v>
      </c>
      <c r="BGP4" t="s">
        <v>289</v>
      </c>
      <c r="BGQ4" t="s">
        <v>289</v>
      </c>
      <c r="BGR4" t="s">
        <v>289</v>
      </c>
      <c r="BGS4">
        <v>0</v>
      </c>
      <c r="BGT4">
        <v>0</v>
      </c>
      <c r="BGU4">
        <v>74.632999999999996</v>
      </c>
      <c r="BGV4">
        <v>69.709999999999994</v>
      </c>
      <c r="BGW4">
        <v>0</v>
      </c>
      <c r="BGX4">
        <v>41.259</v>
      </c>
      <c r="BGY4">
        <v>13.853999999999999</v>
      </c>
      <c r="BGZ4">
        <v>19.808</v>
      </c>
      <c r="BHA4">
        <v>16.600000000000001</v>
      </c>
      <c r="BHB4">
        <v>5.2</v>
      </c>
      <c r="BHC4">
        <v>13.5</v>
      </c>
      <c r="BHD4">
        <v>99.4</v>
      </c>
      <c r="BHE4">
        <v>128.9</v>
      </c>
      <c r="BHF4">
        <v>122.8</v>
      </c>
      <c r="BHG4">
        <v>124</v>
      </c>
      <c r="BHH4" t="s">
        <v>289</v>
      </c>
      <c r="BHI4" t="s">
        <v>289</v>
      </c>
      <c r="BHJ4" t="s">
        <v>289</v>
      </c>
      <c r="BHK4" t="s">
        <v>289</v>
      </c>
      <c r="BHL4">
        <v>0</v>
      </c>
      <c r="BHM4">
        <v>0</v>
      </c>
      <c r="BHN4">
        <v>74.632999999999996</v>
      </c>
      <c r="BHO4">
        <v>69.709999999999994</v>
      </c>
      <c r="BHP4">
        <v>0</v>
      </c>
      <c r="BHQ4">
        <v>41.259</v>
      </c>
      <c r="BHR4">
        <v>13.853999999999999</v>
      </c>
      <c r="BHS4">
        <v>19.808</v>
      </c>
      <c r="BHT4">
        <v>16.600000000000001</v>
      </c>
      <c r="BHU4">
        <v>5.2</v>
      </c>
      <c r="BHV4">
        <v>13.5</v>
      </c>
      <c r="BHW4">
        <v>99.4</v>
      </c>
      <c r="BHX4">
        <v>114.8</v>
      </c>
      <c r="BHY4">
        <v>113.5</v>
      </c>
      <c r="BHZ4">
        <v>114.3</v>
      </c>
      <c r="BIA4" t="s">
        <v>289</v>
      </c>
      <c r="BIB4" t="s">
        <v>289</v>
      </c>
      <c r="BIC4" t="s">
        <v>289</v>
      </c>
      <c r="BID4" t="s">
        <v>289</v>
      </c>
      <c r="BIE4">
        <v>747.34299999999996</v>
      </c>
      <c r="BIF4">
        <v>767.71600000000001</v>
      </c>
      <c r="BIG4">
        <v>873.58299999999997</v>
      </c>
      <c r="BIH4">
        <v>920.88300000000004</v>
      </c>
      <c r="BII4">
        <v>850.91499999999996</v>
      </c>
      <c r="BIJ4">
        <v>896.25699999999995</v>
      </c>
      <c r="BIK4">
        <v>968.23299999999995</v>
      </c>
      <c r="BIL4">
        <v>1083.95</v>
      </c>
      <c r="BIM4">
        <v>1109.2</v>
      </c>
      <c r="BIN4">
        <v>1269.8</v>
      </c>
      <c r="BIO4">
        <v>1632.1</v>
      </c>
      <c r="BIP4">
        <v>1970.2</v>
      </c>
      <c r="BIQ4">
        <v>2231.1</v>
      </c>
      <c r="BIR4">
        <v>2794.8</v>
      </c>
      <c r="BIS4">
        <v>2842.5</v>
      </c>
      <c r="BIT4" t="s">
        <v>289</v>
      </c>
      <c r="BIU4" t="s">
        <v>289</v>
      </c>
      <c r="BIV4" t="s">
        <v>289</v>
      </c>
      <c r="BIW4" t="s">
        <v>289</v>
      </c>
      <c r="BIX4" t="s">
        <v>289</v>
      </c>
      <c r="BIY4" t="s">
        <v>289</v>
      </c>
      <c r="BIZ4" t="s">
        <v>289</v>
      </c>
      <c r="BJA4" t="s">
        <v>289</v>
      </c>
      <c r="BJB4" t="s">
        <v>289</v>
      </c>
      <c r="BJC4" t="s">
        <v>289</v>
      </c>
      <c r="BJD4" t="s">
        <v>289</v>
      </c>
      <c r="BJE4" t="s">
        <v>289</v>
      </c>
      <c r="BJF4" t="s">
        <v>289</v>
      </c>
      <c r="BJG4" t="s">
        <v>289</v>
      </c>
      <c r="BJH4" t="s">
        <v>289</v>
      </c>
      <c r="BJI4" t="s">
        <v>289</v>
      </c>
      <c r="BJJ4" t="s">
        <v>289</v>
      </c>
      <c r="BJK4" t="s">
        <v>289</v>
      </c>
      <c r="BJL4" t="s">
        <v>289</v>
      </c>
      <c r="BJM4" t="s">
        <v>289</v>
      </c>
      <c r="BJN4" t="s">
        <v>289</v>
      </c>
      <c r="BJO4" t="s">
        <v>289</v>
      </c>
      <c r="BJP4" t="s">
        <v>289</v>
      </c>
      <c r="BJQ4">
        <v>-23.454999999999998</v>
      </c>
      <c r="BJR4">
        <v>-30.143999999999998</v>
      </c>
      <c r="BJS4">
        <v>-29.088000000000001</v>
      </c>
      <c r="BJT4">
        <v>-61.326999999999998</v>
      </c>
      <c r="BJU4">
        <v>-26.247</v>
      </c>
      <c r="BJV4">
        <v>-47.341000000000001</v>
      </c>
      <c r="BJW4">
        <v>-13.122999999999999</v>
      </c>
      <c r="BJX4">
        <v>-20.852</v>
      </c>
      <c r="BJY4">
        <v>-38.5</v>
      </c>
      <c r="BJZ4">
        <v>-68.3</v>
      </c>
      <c r="BKA4">
        <v>-75</v>
      </c>
      <c r="BKB4">
        <v>-101.9</v>
      </c>
      <c r="BKC4">
        <v>-82.2</v>
      </c>
      <c r="BKD4">
        <v>-81</v>
      </c>
      <c r="BKE4">
        <v>-40.700000000000003</v>
      </c>
      <c r="BKF4" t="s">
        <v>289</v>
      </c>
      <c r="BKG4" t="s">
        <v>289</v>
      </c>
      <c r="BKH4" t="s">
        <v>289</v>
      </c>
      <c r="BKI4" t="s">
        <v>289</v>
      </c>
      <c r="BKJ4">
        <v>24.231000000000002</v>
      </c>
      <c r="BKK4">
        <v>29.709</v>
      </c>
      <c r="BKL4">
        <v>36.320999999999998</v>
      </c>
      <c r="BKM4">
        <v>62.311</v>
      </c>
      <c r="BKN4">
        <v>62.929000000000002</v>
      </c>
      <c r="BKO4">
        <v>75.052999999999997</v>
      </c>
      <c r="BKP4">
        <v>71.343000000000004</v>
      </c>
      <c r="BKQ4">
        <v>80.28</v>
      </c>
      <c r="BKR4">
        <v>119.5</v>
      </c>
      <c r="BKS4">
        <v>133.19999999999999</v>
      </c>
      <c r="BKT4">
        <v>82.1</v>
      </c>
      <c r="BKU4">
        <v>100</v>
      </c>
      <c r="BKV4">
        <v>164.5</v>
      </c>
      <c r="BKW4">
        <v>234.1</v>
      </c>
      <c r="BKX4">
        <v>212.2</v>
      </c>
      <c r="BKY4" t="s">
        <v>289</v>
      </c>
      <c r="BKZ4" t="s">
        <v>289</v>
      </c>
      <c r="BLA4" t="s">
        <v>289</v>
      </c>
      <c r="BLB4" t="s">
        <v>289</v>
      </c>
      <c r="BLC4">
        <v>19.445</v>
      </c>
      <c r="BLD4">
        <v>46.103000000000002</v>
      </c>
      <c r="BLE4">
        <v>24.094999999999999</v>
      </c>
      <c r="BLF4">
        <v>35.256</v>
      </c>
      <c r="BLG4">
        <v>8.3360000000000003</v>
      </c>
      <c r="BLH4">
        <v>-8.7469999999999999</v>
      </c>
      <c r="BLI4">
        <v>1.123</v>
      </c>
      <c r="BLJ4">
        <v>-20.608000000000001</v>
      </c>
      <c r="BLK4">
        <v>-58.3</v>
      </c>
      <c r="BLL4">
        <v>-32.299999999999997</v>
      </c>
      <c r="BLM4">
        <v>148.80000000000001</v>
      </c>
      <c r="BLN4">
        <v>72.8</v>
      </c>
      <c r="BLO4">
        <v>-52</v>
      </c>
      <c r="BLP4">
        <v>-322.89999999999998</v>
      </c>
      <c r="BLQ4">
        <v>-76.5</v>
      </c>
      <c r="BLR4" t="s">
        <v>289</v>
      </c>
      <c r="BLS4" t="s">
        <v>289</v>
      </c>
      <c r="BLT4" t="s">
        <v>289</v>
      </c>
      <c r="BLU4" t="s">
        <v>289</v>
      </c>
      <c r="BLV4">
        <v>43.676000000000002</v>
      </c>
      <c r="BLW4">
        <v>75.811999999999998</v>
      </c>
      <c r="BLX4">
        <v>60.415999999999997</v>
      </c>
      <c r="BLY4">
        <v>97.566999999999993</v>
      </c>
      <c r="BLZ4">
        <v>71.265000000000001</v>
      </c>
      <c r="BMA4">
        <v>66.305999999999997</v>
      </c>
      <c r="BMB4">
        <v>72.465999999999994</v>
      </c>
      <c r="BMC4">
        <v>59.671999999999997</v>
      </c>
      <c r="BMD4">
        <v>61.2</v>
      </c>
      <c r="BME4">
        <v>100.9</v>
      </c>
      <c r="BMF4">
        <v>230.9</v>
      </c>
      <c r="BMG4">
        <v>172.8</v>
      </c>
      <c r="BMH4">
        <v>112.5</v>
      </c>
      <c r="BMI4">
        <v>-88.8</v>
      </c>
      <c r="BMJ4">
        <v>135.69999999999999</v>
      </c>
      <c r="BMK4" t="s">
        <v>289</v>
      </c>
      <c r="BML4" t="s">
        <v>289</v>
      </c>
      <c r="BMM4" t="s">
        <v>289</v>
      </c>
      <c r="BMN4" t="s">
        <v>289</v>
      </c>
      <c r="BMO4">
        <v>43.676000000000002</v>
      </c>
      <c r="BMP4">
        <v>75.811999999999998</v>
      </c>
      <c r="BMQ4">
        <v>60.415999999999997</v>
      </c>
      <c r="BMR4">
        <v>97.566999999999993</v>
      </c>
      <c r="BMS4">
        <v>71.265000000000001</v>
      </c>
      <c r="BMT4">
        <v>66.305999999999997</v>
      </c>
      <c r="BMU4">
        <v>72.465999999999994</v>
      </c>
      <c r="BMV4">
        <v>64.209999999999994</v>
      </c>
      <c r="BMW4">
        <v>68.900000000000006</v>
      </c>
      <c r="BMX4">
        <v>149.738</v>
      </c>
      <c r="BMY4">
        <v>206.5</v>
      </c>
      <c r="BMZ4">
        <v>247.3</v>
      </c>
      <c r="BNA4">
        <v>152.30000000000001</v>
      </c>
      <c r="BNB4">
        <v>77.8</v>
      </c>
      <c r="BNC4">
        <v>103.8</v>
      </c>
      <c r="BND4" t="s">
        <v>289</v>
      </c>
      <c r="BNE4" t="s">
        <v>289</v>
      </c>
      <c r="BNF4" t="s">
        <v>289</v>
      </c>
      <c r="BNG4" t="s">
        <v>289</v>
      </c>
      <c r="BNH4" t="s">
        <v>289</v>
      </c>
      <c r="BNI4" t="s">
        <v>289</v>
      </c>
      <c r="BNJ4" t="s">
        <v>289</v>
      </c>
      <c r="BNK4" t="s">
        <v>289</v>
      </c>
      <c r="BNL4" t="s">
        <v>289</v>
      </c>
      <c r="BNM4" t="s">
        <v>289</v>
      </c>
      <c r="BNN4" t="s">
        <v>289</v>
      </c>
      <c r="BNO4" t="s">
        <v>289</v>
      </c>
      <c r="BNP4" t="s">
        <v>289</v>
      </c>
      <c r="BNQ4" t="s">
        <v>289</v>
      </c>
      <c r="BNR4" t="s">
        <v>289</v>
      </c>
      <c r="BNS4">
        <v>1096.5</v>
      </c>
      <c r="BNT4">
        <v>997.3</v>
      </c>
      <c r="BNU4">
        <v>611.79999999999995</v>
      </c>
      <c r="BNV4">
        <v>1095.3</v>
      </c>
      <c r="BNW4" t="s">
        <v>289</v>
      </c>
      <c r="BNX4" t="s">
        <v>289</v>
      </c>
      <c r="BNY4" t="s">
        <v>289</v>
      </c>
      <c r="BNZ4" t="s">
        <v>289</v>
      </c>
      <c r="BOA4">
        <v>10.491</v>
      </c>
      <c r="BOB4">
        <v>17.268000000000001</v>
      </c>
      <c r="BOC4">
        <v>21.021000000000001</v>
      </c>
      <c r="BOD4">
        <v>35.415999999999997</v>
      </c>
      <c r="BOE4">
        <v>32.110999999999997</v>
      </c>
      <c r="BOF4">
        <v>37.158000000000001</v>
      </c>
      <c r="BOG4">
        <v>27.547000000000001</v>
      </c>
      <c r="BOH4">
        <v>28.315999999999999</v>
      </c>
      <c r="BOI4">
        <v>46.3</v>
      </c>
      <c r="BOJ4">
        <v>38.299999999999997</v>
      </c>
      <c r="BOK4">
        <v>27.4</v>
      </c>
      <c r="BOL4">
        <v>32.4</v>
      </c>
      <c r="BOM4">
        <v>38.799999999999997</v>
      </c>
      <c r="BON4">
        <v>50.8</v>
      </c>
      <c r="BOO4">
        <v>65.3</v>
      </c>
      <c r="BOP4" t="s">
        <v>289</v>
      </c>
      <c r="BOQ4" t="s">
        <v>289</v>
      </c>
      <c r="BOR4" t="s">
        <v>289</v>
      </c>
      <c r="BOS4" t="s">
        <v>289</v>
      </c>
      <c r="BOT4">
        <v>19.445</v>
      </c>
      <c r="BOU4">
        <v>46.103000000000002</v>
      </c>
      <c r="BOV4">
        <v>24.094999999999999</v>
      </c>
      <c r="BOW4">
        <v>35.256</v>
      </c>
      <c r="BOX4">
        <v>8.3360000000000003</v>
      </c>
      <c r="BOY4">
        <v>-8.7469999999999999</v>
      </c>
      <c r="BOZ4">
        <v>1.123</v>
      </c>
      <c r="BPA4">
        <v>-20.608000000000001</v>
      </c>
      <c r="BPB4">
        <v>-58.3</v>
      </c>
      <c r="BPC4">
        <v>-32.299999999999997</v>
      </c>
      <c r="BPD4">
        <v>148.80000000000001</v>
      </c>
      <c r="BPE4">
        <v>72.8</v>
      </c>
      <c r="BPF4">
        <v>-52</v>
      </c>
      <c r="BPG4">
        <v>-322.89999999999998</v>
      </c>
      <c r="BPH4">
        <v>-76.5</v>
      </c>
      <c r="BPI4" t="s">
        <v>289</v>
      </c>
      <c r="BPJ4" t="s">
        <v>289</v>
      </c>
      <c r="BPK4" t="s">
        <v>289</v>
      </c>
      <c r="BPL4" t="s">
        <v>289</v>
      </c>
      <c r="BPM4">
        <v>183.27199999999999</v>
      </c>
      <c r="BPN4">
        <v>211.018</v>
      </c>
      <c r="BPO4">
        <v>264.40499999999997</v>
      </c>
      <c r="BPP4">
        <v>260.46199999999999</v>
      </c>
      <c r="BPQ4">
        <v>246.857</v>
      </c>
      <c r="BPR4">
        <v>285.65600000000001</v>
      </c>
      <c r="BPS4">
        <v>232.858</v>
      </c>
      <c r="BPT4">
        <v>342.62900000000002</v>
      </c>
      <c r="BPU4">
        <v>483.1</v>
      </c>
      <c r="BPV4">
        <v>599.20000000000005</v>
      </c>
      <c r="BPW4">
        <v>666.1</v>
      </c>
      <c r="BPX4">
        <v>559.4</v>
      </c>
      <c r="BPY4">
        <v>948.5</v>
      </c>
      <c r="BPZ4">
        <v>683.8</v>
      </c>
      <c r="BQA4">
        <v>866.4</v>
      </c>
      <c r="BQB4" t="s">
        <v>289</v>
      </c>
      <c r="BQC4" t="s">
        <v>289</v>
      </c>
      <c r="BQD4" t="s">
        <v>289</v>
      </c>
      <c r="BQE4" t="s">
        <v>289</v>
      </c>
      <c r="BQF4">
        <v>332.76600000000002</v>
      </c>
      <c r="BQG4">
        <v>536.95100000000002</v>
      </c>
      <c r="BQH4">
        <v>347.90899999999999</v>
      </c>
      <c r="BQI4">
        <v>474.26299999999998</v>
      </c>
      <c r="BQJ4">
        <v>506.81</v>
      </c>
      <c r="BQK4">
        <v>461.23700000000002</v>
      </c>
      <c r="BQL4">
        <v>519.18899999999996</v>
      </c>
      <c r="BQM4">
        <v>468.35500000000002</v>
      </c>
      <c r="BQN4">
        <v>510.2</v>
      </c>
      <c r="BQO4">
        <v>593.5</v>
      </c>
      <c r="BQP4">
        <v>876</v>
      </c>
      <c r="BQQ4">
        <v>1096.5</v>
      </c>
      <c r="BQR4">
        <v>980.5</v>
      </c>
      <c r="BQS4">
        <v>611.79999999999995</v>
      </c>
      <c r="BQT4">
        <v>1095.3</v>
      </c>
      <c r="BQU4" t="s">
        <v>289</v>
      </c>
      <c r="BQV4" t="s">
        <v>289</v>
      </c>
      <c r="BQW4" t="s">
        <v>289</v>
      </c>
      <c r="BQX4" t="s">
        <v>289</v>
      </c>
      <c r="BQY4" t="s">
        <v>289</v>
      </c>
      <c r="BQZ4" t="s">
        <v>289</v>
      </c>
      <c r="BRA4" t="s">
        <v>289</v>
      </c>
      <c r="BRB4">
        <v>17.059999999999999</v>
      </c>
      <c r="BRC4">
        <v>16.725000000000001</v>
      </c>
      <c r="BRD4">
        <v>2.9830000000000001</v>
      </c>
      <c r="BRE4">
        <v>0</v>
      </c>
      <c r="BRF4">
        <v>12.404</v>
      </c>
      <c r="BRG4">
        <v>4.9000000000000004</v>
      </c>
      <c r="BRH4">
        <v>69.8</v>
      </c>
      <c r="BRI4">
        <v>46.9</v>
      </c>
      <c r="BRJ4">
        <v>38.700000000000003</v>
      </c>
      <c r="BRK4">
        <v>36.799999999999997</v>
      </c>
      <c r="BRL4">
        <v>92.5</v>
      </c>
      <c r="BRM4">
        <v>78.7</v>
      </c>
      <c r="BRN4" t="s">
        <v>289</v>
      </c>
      <c r="BRO4" t="s">
        <v>289</v>
      </c>
      <c r="BRP4" t="s">
        <v>289</v>
      </c>
      <c r="BRQ4" t="s">
        <v>289</v>
      </c>
      <c r="BRR4">
        <v>-36.594000000000001</v>
      </c>
      <c r="BRS4">
        <v>-72.344999999999999</v>
      </c>
      <c r="BRT4">
        <v>-62.262999999999998</v>
      </c>
      <c r="BRU4">
        <v>-92.257999999999996</v>
      </c>
      <c r="BRV4">
        <v>-68.938000000000002</v>
      </c>
      <c r="BRW4">
        <v>-104.389</v>
      </c>
      <c r="BRX4">
        <v>-105.28</v>
      </c>
      <c r="BRY4">
        <v>-126.483</v>
      </c>
      <c r="BRZ4">
        <v>-163.19999999999999</v>
      </c>
      <c r="BSA4">
        <v>-192.9</v>
      </c>
      <c r="BSB4">
        <v>-294.2</v>
      </c>
      <c r="BSC4">
        <v>-310.5</v>
      </c>
      <c r="BSD4">
        <v>-310.2</v>
      </c>
      <c r="BSE4">
        <v>-260.7</v>
      </c>
      <c r="BSF4">
        <v>-184.7</v>
      </c>
      <c r="BSG4" t="s">
        <v>289</v>
      </c>
      <c r="BSH4" t="s">
        <v>289</v>
      </c>
      <c r="BSI4" t="s">
        <v>289</v>
      </c>
      <c r="BSJ4" t="s">
        <v>289</v>
      </c>
      <c r="BSK4">
        <v>-13.138999999999999</v>
      </c>
      <c r="BSL4">
        <v>-42.201000000000001</v>
      </c>
      <c r="BSM4">
        <v>-33.174999999999997</v>
      </c>
      <c r="BSN4">
        <v>-30.931000000000001</v>
      </c>
      <c r="BSO4">
        <v>-42.691000000000003</v>
      </c>
      <c r="BSP4">
        <v>-57.048000000000002</v>
      </c>
      <c r="BSQ4">
        <v>-92.156999999999996</v>
      </c>
      <c r="BSR4">
        <v>-105.631</v>
      </c>
      <c r="BSS4">
        <v>-124.7</v>
      </c>
      <c r="BST4">
        <v>-124.6</v>
      </c>
      <c r="BSU4">
        <v>-219.2</v>
      </c>
      <c r="BSV4">
        <v>-208.6</v>
      </c>
      <c r="BSW4">
        <v>-228</v>
      </c>
      <c r="BSX4">
        <v>-179.7</v>
      </c>
      <c r="BSY4">
        <v>-144</v>
      </c>
      <c r="BSZ4" t="s">
        <v>289</v>
      </c>
      <c r="BTA4" t="s">
        <v>289</v>
      </c>
      <c r="BTB4" t="s">
        <v>289</v>
      </c>
      <c r="BTC4" t="s">
        <v>289</v>
      </c>
      <c r="BTD4">
        <v>-13.138999999999999</v>
      </c>
      <c r="BTE4">
        <v>-42.201000000000001</v>
      </c>
      <c r="BTF4">
        <v>-33.174999999999997</v>
      </c>
      <c r="BTG4">
        <v>-30.931000000000001</v>
      </c>
      <c r="BTH4">
        <v>-42.691000000000003</v>
      </c>
      <c r="BTI4">
        <v>-57.048000000000002</v>
      </c>
      <c r="BTJ4">
        <v>-92.156999999999996</v>
      </c>
      <c r="BTK4">
        <v>-105.631</v>
      </c>
      <c r="BTL4">
        <v>-124.7</v>
      </c>
      <c r="BTM4">
        <v>-124.6</v>
      </c>
      <c r="BTN4">
        <v>-219.2</v>
      </c>
      <c r="BTO4">
        <v>-208.6</v>
      </c>
      <c r="BTP4">
        <v>-228</v>
      </c>
      <c r="BTQ4">
        <v>-179.7</v>
      </c>
      <c r="BTR4">
        <v>-144</v>
      </c>
      <c r="BTS4" t="s">
        <v>289</v>
      </c>
      <c r="BTT4" t="s">
        <v>289</v>
      </c>
      <c r="BTU4" t="s">
        <v>289</v>
      </c>
      <c r="BTV4" t="s">
        <v>289</v>
      </c>
      <c r="BTW4" t="s">
        <v>289</v>
      </c>
      <c r="BTX4" t="s">
        <v>289</v>
      </c>
      <c r="BTY4" t="s">
        <v>289</v>
      </c>
      <c r="BTZ4" t="s">
        <v>289</v>
      </c>
      <c r="BUA4" t="s">
        <v>289</v>
      </c>
      <c r="BUB4" t="s">
        <v>289</v>
      </c>
      <c r="BUC4" t="s">
        <v>289</v>
      </c>
      <c r="BUD4" t="s">
        <v>289</v>
      </c>
      <c r="BUE4" t="s">
        <v>289</v>
      </c>
      <c r="BUF4" t="s">
        <v>289</v>
      </c>
      <c r="BUG4" t="s">
        <v>289</v>
      </c>
      <c r="BUH4" t="s">
        <v>289</v>
      </c>
      <c r="BUI4" t="s">
        <v>289</v>
      </c>
      <c r="BUJ4" t="s">
        <v>289</v>
      </c>
      <c r="BUK4" t="s">
        <v>289</v>
      </c>
      <c r="BUL4" t="s">
        <v>289</v>
      </c>
      <c r="BUM4" t="s">
        <v>289</v>
      </c>
      <c r="BUN4" t="s">
        <v>289</v>
      </c>
      <c r="BUO4" t="s">
        <v>289</v>
      </c>
      <c r="BUP4" t="s">
        <v>289</v>
      </c>
      <c r="BUQ4" t="s">
        <v>289</v>
      </c>
      <c r="BUR4" t="s">
        <v>289</v>
      </c>
      <c r="BUS4" t="s">
        <v>289</v>
      </c>
      <c r="BUT4" t="s">
        <v>289</v>
      </c>
      <c r="BUU4" t="s">
        <v>289</v>
      </c>
      <c r="BUV4" t="s">
        <v>289</v>
      </c>
      <c r="BUW4" t="s">
        <v>289</v>
      </c>
      <c r="BUX4" t="s">
        <v>289</v>
      </c>
      <c r="BUY4" t="s">
        <v>289</v>
      </c>
      <c r="BUZ4" t="s">
        <v>289</v>
      </c>
      <c r="BVA4" t="s">
        <v>289</v>
      </c>
      <c r="BVB4" t="s">
        <v>289</v>
      </c>
      <c r="BVC4" t="s">
        <v>289</v>
      </c>
      <c r="BVD4" t="s">
        <v>289</v>
      </c>
      <c r="BVE4" t="s">
        <v>289</v>
      </c>
      <c r="BVF4" t="s">
        <v>289</v>
      </c>
      <c r="BVG4" t="s">
        <v>289</v>
      </c>
      <c r="BVH4" t="s">
        <v>289</v>
      </c>
      <c r="BVI4" t="s">
        <v>289</v>
      </c>
      <c r="BVJ4" t="s">
        <v>289</v>
      </c>
      <c r="BVK4" t="s">
        <v>289</v>
      </c>
      <c r="BVL4" t="s">
        <v>289</v>
      </c>
      <c r="BVM4" t="s">
        <v>289</v>
      </c>
      <c r="BVN4" t="s">
        <v>289</v>
      </c>
      <c r="BVO4" t="s">
        <v>289</v>
      </c>
      <c r="BVP4" t="s">
        <v>289</v>
      </c>
      <c r="BVQ4" t="s">
        <v>289</v>
      </c>
      <c r="BVR4" t="s">
        <v>289</v>
      </c>
      <c r="BVS4" t="s">
        <v>289</v>
      </c>
      <c r="BVT4" t="s">
        <v>289</v>
      </c>
      <c r="BVU4" t="s">
        <v>289</v>
      </c>
      <c r="BVV4" t="s">
        <v>289</v>
      </c>
      <c r="BVW4" t="s">
        <v>289</v>
      </c>
      <c r="BVX4" t="s">
        <v>289</v>
      </c>
      <c r="BVY4" t="s">
        <v>289</v>
      </c>
      <c r="BVZ4" t="s">
        <v>289</v>
      </c>
      <c r="BWA4" t="s">
        <v>289</v>
      </c>
      <c r="BWB4">
        <v>12.471</v>
      </c>
      <c r="BWC4">
        <v>28.852</v>
      </c>
      <c r="BWD4">
        <v>12.7</v>
      </c>
      <c r="BWE4">
        <v>8.8740000000000006</v>
      </c>
      <c r="BWF4">
        <v>5.6230000000000002</v>
      </c>
      <c r="BWG4">
        <v>1.9870000000000001</v>
      </c>
      <c r="BWH4">
        <v>7.7750000000000004</v>
      </c>
      <c r="BWI4">
        <v>10.1</v>
      </c>
      <c r="BWJ4">
        <v>10.6</v>
      </c>
      <c r="BWK4">
        <v>10.8</v>
      </c>
      <c r="BWL4">
        <v>11.1</v>
      </c>
      <c r="BWM4">
        <v>11.5</v>
      </c>
      <c r="BWN4">
        <v>0</v>
      </c>
      <c r="BWO4">
        <v>4.5</v>
      </c>
      <c r="BWP4">
        <v>13</v>
      </c>
      <c r="BWQ4" t="s">
        <v>289</v>
      </c>
      <c r="BWR4" t="s">
        <v>289</v>
      </c>
      <c r="BWS4" t="s">
        <v>289</v>
      </c>
      <c r="BWT4" t="s">
        <v>289</v>
      </c>
      <c r="BWU4" t="s">
        <v>289</v>
      </c>
      <c r="BWV4" t="s">
        <v>289</v>
      </c>
      <c r="BWW4" t="s">
        <v>289</v>
      </c>
      <c r="BWX4" t="s">
        <v>289</v>
      </c>
      <c r="BWY4" t="s">
        <v>289</v>
      </c>
      <c r="BWZ4" t="s">
        <v>289</v>
      </c>
      <c r="BXA4" t="s">
        <v>289</v>
      </c>
      <c r="BXB4" t="s">
        <v>289</v>
      </c>
      <c r="BXC4" t="s">
        <v>289</v>
      </c>
      <c r="BXD4" t="s">
        <v>289</v>
      </c>
      <c r="BXE4" t="s">
        <v>289</v>
      </c>
      <c r="BXF4" t="s">
        <v>289</v>
      </c>
      <c r="BXG4" t="s">
        <v>289</v>
      </c>
      <c r="BXH4" t="s">
        <v>289</v>
      </c>
      <c r="BXI4" t="s">
        <v>289</v>
      </c>
      <c r="BXJ4" t="s">
        <v>289</v>
      </c>
      <c r="BXK4" t="s">
        <v>289</v>
      </c>
      <c r="BXL4" t="s">
        <v>289</v>
      </c>
      <c r="BXM4" t="s">
        <v>289</v>
      </c>
      <c r="BXN4">
        <v>0</v>
      </c>
      <c r="BXO4">
        <v>0</v>
      </c>
      <c r="BXP4">
        <v>0</v>
      </c>
      <c r="BXQ4">
        <v>0</v>
      </c>
      <c r="BXR4">
        <v>0</v>
      </c>
      <c r="BXS4">
        <v>0</v>
      </c>
      <c r="BXT4">
        <v>0</v>
      </c>
      <c r="BXU4">
        <v>0</v>
      </c>
      <c r="BXV4">
        <v>0</v>
      </c>
      <c r="BXW4">
        <v>0</v>
      </c>
      <c r="BXX4">
        <v>0</v>
      </c>
      <c r="BXY4">
        <v>0</v>
      </c>
      <c r="BXZ4">
        <v>0</v>
      </c>
      <c r="BYA4">
        <v>0</v>
      </c>
      <c r="BYB4">
        <v>0</v>
      </c>
      <c r="BYC4" t="s">
        <v>289</v>
      </c>
      <c r="BYD4" t="s">
        <v>289</v>
      </c>
      <c r="BYE4" t="s">
        <v>289</v>
      </c>
      <c r="BYF4" t="s">
        <v>289</v>
      </c>
      <c r="BYG4" t="s">
        <v>289</v>
      </c>
      <c r="BYH4" t="s">
        <v>289</v>
      </c>
      <c r="BYI4" t="s">
        <v>289</v>
      </c>
      <c r="BYJ4" t="s">
        <v>289</v>
      </c>
      <c r="BYK4" t="s">
        <v>289</v>
      </c>
      <c r="BYL4" t="s">
        <v>289</v>
      </c>
      <c r="BYM4" t="s">
        <v>289</v>
      </c>
      <c r="BYN4" t="s">
        <v>289</v>
      </c>
      <c r="BYO4" t="s">
        <v>289</v>
      </c>
      <c r="BYP4" t="s">
        <v>289</v>
      </c>
      <c r="BYQ4" t="s">
        <v>289</v>
      </c>
      <c r="BYR4" t="s">
        <v>289</v>
      </c>
      <c r="BYS4" t="s">
        <v>289</v>
      </c>
      <c r="BYT4" t="s">
        <v>289</v>
      </c>
      <c r="BYU4" t="s">
        <v>289</v>
      </c>
      <c r="BYV4" t="s">
        <v>289</v>
      </c>
      <c r="BYW4" t="s">
        <v>289</v>
      </c>
      <c r="BYX4" t="s">
        <v>289</v>
      </c>
      <c r="BYY4" t="s">
        <v>289</v>
      </c>
      <c r="BYZ4" t="s">
        <v>289</v>
      </c>
      <c r="BZA4" t="s">
        <v>289</v>
      </c>
      <c r="BZB4" t="s">
        <v>289</v>
      </c>
      <c r="BZC4" t="s">
        <v>289</v>
      </c>
      <c r="BZD4" t="s">
        <v>289</v>
      </c>
      <c r="BZE4" t="s">
        <v>289</v>
      </c>
      <c r="BZF4" t="s">
        <v>289</v>
      </c>
      <c r="BZG4" t="s">
        <v>289</v>
      </c>
      <c r="BZH4" t="s">
        <v>289</v>
      </c>
      <c r="BZI4" t="s">
        <v>289</v>
      </c>
      <c r="BZJ4" t="s">
        <v>289</v>
      </c>
      <c r="BZK4" t="s">
        <v>289</v>
      </c>
      <c r="BZL4" t="s">
        <v>289</v>
      </c>
      <c r="BZM4" t="s">
        <v>289</v>
      </c>
      <c r="BZN4" t="s">
        <v>289</v>
      </c>
      <c r="BZO4" t="s">
        <v>289</v>
      </c>
      <c r="BZP4" t="s">
        <v>289</v>
      </c>
      <c r="BZQ4" t="s">
        <v>289</v>
      </c>
      <c r="BZR4" t="s">
        <v>289</v>
      </c>
      <c r="BZS4" t="s">
        <v>289</v>
      </c>
      <c r="BZT4" t="s">
        <v>289</v>
      </c>
      <c r="BZU4" t="s">
        <v>289</v>
      </c>
      <c r="BZV4" t="s">
        <v>289</v>
      </c>
      <c r="BZW4" t="s">
        <v>289</v>
      </c>
      <c r="BZX4" t="s">
        <v>289</v>
      </c>
      <c r="BZY4" t="s">
        <v>289</v>
      </c>
      <c r="BZZ4" t="s">
        <v>289</v>
      </c>
      <c r="CAA4" t="s">
        <v>289</v>
      </c>
      <c r="CAB4" t="s">
        <v>289</v>
      </c>
      <c r="CAC4" t="s">
        <v>289</v>
      </c>
      <c r="CAD4" t="s">
        <v>289</v>
      </c>
      <c r="CAE4" t="s">
        <v>289</v>
      </c>
      <c r="CAF4" t="s">
        <v>289</v>
      </c>
      <c r="CAG4" t="s">
        <v>289</v>
      </c>
      <c r="CAH4" t="s">
        <v>289</v>
      </c>
      <c r="CAI4" t="s">
        <v>289</v>
      </c>
      <c r="CAJ4" t="s">
        <v>289</v>
      </c>
      <c r="CAK4" t="s">
        <v>289</v>
      </c>
      <c r="CAL4" t="s">
        <v>289</v>
      </c>
      <c r="CAM4" t="s">
        <v>289</v>
      </c>
      <c r="CAN4" t="s">
        <v>289</v>
      </c>
      <c r="CAO4" t="s">
        <v>289</v>
      </c>
      <c r="CAP4" t="s">
        <v>289</v>
      </c>
      <c r="CAQ4" t="s">
        <v>289</v>
      </c>
      <c r="CAR4" t="s">
        <v>289</v>
      </c>
      <c r="CAS4" t="s">
        <v>289</v>
      </c>
      <c r="CAT4" t="s">
        <v>289</v>
      </c>
      <c r="CAU4" t="s">
        <v>289</v>
      </c>
      <c r="CAV4" t="s">
        <v>289</v>
      </c>
      <c r="CAW4" t="s">
        <v>289</v>
      </c>
      <c r="CAX4" t="s">
        <v>289</v>
      </c>
      <c r="CAY4" t="s">
        <v>289</v>
      </c>
      <c r="CAZ4" t="s">
        <v>289</v>
      </c>
      <c r="CBA4" t="s">
        <v>289</v>
      </c>
      <c r="CBB4" t="s">
        <v>289</v>
      </c>
      <c r="CBC4" t="s">
        <v>289</v>
      </c>
      <c r="CBD4" t="s">
        <v>289</v>
      </c>
      <c r="CBE4" t="s">
        <v>289</v>
      </c>
      <c r="CBF4" t="s">
        <v>289</v>
      </c>
      <c r="CBG4" t="s">
        <v>289</v>
      </c>
      <c r="CBH4" t="s">
        <v>289</v>
      </c>
      <c r="CBI4" t="s">
        <v>289</v>
      </c>
      <c r="CBJ4" t="s">
        <v>289</v>
      </c>
      <c r="CBK4" t="s">
        <v>289</v>
      </c>
      <c r="CBL4">
        <v>10.1</v>
      </c>
      <c r="CBM4" t="s">
        <v>289</v>
      </c>
      <c r="CBN4" t="s">
        <v>289</v>
      </c>
      <c r="CBO4" t="s">
        <v>289</v>
      </c>
      <c r="CBP4" t="s">
        <v>289</v>
      </c>
      <c r="CBQ4">
        <v>0</v>
      </c>
      <c r="CBR4">
        <v>4.5</v>
      </c>
      <c r="CBS4">
        <v>13</v>
      </c>
      <c r="CBT4" t="s">
        <v>289</v>
      </c>
      <c r="CBU4" t="s">
        <v>289</v>
      </c>
      <c r="CBV4" t="s">
        <v>289</v>
      </c>
      <c r="CBW4" t="s">
        <v>289</v>
      </c>
      <c r="CBX4" t="s">
        <v>289</v>
      </c>
      <c r="CBY4" t="s">
        <v>289</v>
      </c>
      <c r="CBZ4" t="s">
        <v>289</v>
      </c>
      <c r="CCA4" t="s">
        <v>289</v>
      </c>
      <c r="CCB4" t="s">
        <v>289</v>
      </c>
      <c r="CCC4" t="s">
        <v>289</v>
      </c>
      <c r="CCD4" t="s">
        <v>289</v>
      </c>
      <c r="CCE4" t="s">
        <v>289</v>
      </c>
      <c r="CCF4" t="s">
        <v>289</v>
      </c>
      <c r="CCG4" t="s">
        <v>289</v>
      </c>
      <c r="CCH4" t="s">
        <v>289</v>
      </c>
      <c r="CCI4" t="s">
        <v>289</v>
      </c>
      <c r="CCJ4" t="s">
        <v>289</v>
      </c>
      <c r="CCK4" t="s">
        <v>289</v>
      </c>
      <c r="CCL4" t="s">
        <v>289</v>
      </c>
      <c r="CCM4" t="s">
        <v>289</v>
      </c>
      <c r="CCN4" t="s">
        <v>289</v>
      </c>
      <c r="CCO4" t="s">
        <v>289</v>
      </c>
      <c r="CCP4" t="s">
        <v>289</v>
      </c>
      <c r="CCQ4">
        <v>12.471</v>
      </c>
      <c r="CCR4">
        <v>28.852</v>
      </c>
      <c r="CCS4">
        <v>12.7</v>
      </c>
      <c r="CCT4">
        <v>8.8740000000000006</v>
      </c>
      <c r="CCU4">
        <v>5.6230000000000002</v>
      </c>
      <c r="CCV4">
        <v>1.9870000000000001</v>
      </c>
      <c r="CCW4">
        <v>7.7750000000000004</v>
      </c>
      <c r="CCX4" t="s">
        <v>289</v>
      </c>
      <c r="CCY4">
        <v>10.6</v>
      </c>
      <c r="CCZ4">
        <v>10.8</v>
      </c>
      <c r="CDA4">
        <v>11.1</v>
      </c>
      <c r="CDB4">
        <v>11.5</v>
      </c>
      <c r="CDC4" t="s">
        <v>289</v>
      </c>
      <c r="CDD4" t="s">
        <v>289</v>
      </c>
      <c r="CDE4" t="s">
        <v>289</v>
      </c>
      <c r="CDF4" t="s">
        <v>289</v>
      </c>
      <c r="CDG4" t="s">
        <v>289</v>
      </c>
      <c r="CDH4" t="s">
        <v>289</v>
      </c>
      <c r="CDI4" t="s">
        <v>289</v>
      </c>
      <c r="CDJ4" t="s">
        <v>289</v>
      </c>
      <c r="CDK4" t="s">
        <v>289</v>
      </c>
      <c r="CDL4" t="s">
        <v>289</v>
      </c>
      <c r="CDM4" t="s">
        <v>289</v>
      </c>
      <c r="CDN4" t="s">
        <v>289</v>
      </c>
      <c r="CDO4" t="s">
        <v>289</v>
      </c>
      <c r="CDP4" t="s">
        <v>289</v>
      </c>
      <c r="CDQ4" t="s">
        <v>289</v>
      </c>
      <c r="CDR4" t="s">
        <v>289</v>
      </c>
      <c r="CDS4" t="s">
        <v>289</v>
      </c>
      <c r="CDT4" t="s">
        <v>289</v>
      </c>
      <c r="CDU4" t="s">
        <v>289</v>
      </c>
      <c r="CDV4" t="s">
        <v>289</v>
      </c>
      <c r="CDW4" t="s">
        <v>289</v>
      </c>
      <c r="CDX4" t="s">
        <v>289</v>
      </c>
      <c r="CDY4" t="s">
        <v>289</v>
      </c>
      <c r="CDZ4" t="s">
        <v>289</v>
      </c>
      <c r="CEA4" t="s">
        <v>289</v>
      </c>
      <c r="CEB4" t="s">
        <v>289</v>
      </c>
      <c r="CEC4" t="s">
        <v>289</v>
      </c>
      <c r="CED4" t="s">
        <v>289</v>
      </c>
      <c r="CEE4" t="s">
        <v>289</v>
      </c>
      <c r="CEF4" t="s">
        <v>289</v>
      </c>
      <c r="CEG4" t="s">
        <v>289</v>
      </c>
      <c r="CEH4" t="s">
        <v>289</v>
      </c>
      <c r="CEI4" t="s">
        <v>289</v>
      </c>
      <c r="CEJ4" t="s">
        <v>289</v>
      </c>
      <c r="CEK4" t="s">
        <v>289</v>
      </c>
      <c r="CEL4" t="s">
        <v>289</v>
      </c>
      <c r="CEM4" t="s">
        <v>289</v>
      </c>
      <c r="CEN4" t="s">
        <v>289</v>
      </c>
      <c r="CEO4" t="s">
        <v>289</v>
      </c>
      <c r="CEP4" t="s">
        <v>289</v>
      </c>
      <c r="CEQ4" t="s">
        <v>289</v>
      </c>
      <c r="CER4" t="s">
        <v>289</v>
      </c>
      <c r="CES4" t="s">
        <v>289</v>
      </c>
      <c r="CET4" t="s">
        <v>289</v>
      </c>
      <c r="CEU4" t="s">
        <v>289</v>
      </c>
      <c r="CEV4" t="s">
        <v>289</v>
      </c>
      <c r="CEW4" t="s">
        <v>289</v>
      </c>
      <c r="CEX4" t="s">
        <v>289</v>
      </c>
      <c r="CEY4" t="s">
        <v>289</v>
      </c>
      <c r="CEZ4" t="s">
        <v>289</v>
      </c>
      <c r="CFA4" t="s">
        <v>289</v>
      </c>
      <c r="CFB4" t="s">
        <v>289</v>
      </c>
      <c r="CFC4" t="s">
        <v>289</v>
      </c>
      <c r="CFD4" t="s">
        <v>289</v>
      </c>
      <c r="CFE4" t="s">
        <v>289</v>
      </c>
      <c r="CFF4" t="s">
        <v>289</v>
      </c>
      <c r="CFG4" t="s">
        <v>289</v>
      </c>
      <c r="CFH4" t="s">
        <v>289</v>
      </c>
      <c r="CFI4" t="s">
        <v>289</v>
      </c>
      <c r="CFJ4" t="s">
        <v>289</v>
      </c>
      <c r="CFK4" t="s">
        <v>289</v>
      </c>
      <c r="CFL4" t="s">
        <v>289</v>
      </c>
      <c r="CFM4" t="s">
        <v>289</v>
      </c>
      <c r="CFN4" t="s">
        <v>289</v>
      </c>
      <c r="CFO4" t="s">
        <v>289</v>
      </c>
      <c r="CFP4" t="s">
        <v>289</v>
      </c>
      <c r="CFQ4" t="s">
        <v>289</v>
      </c>
      <c r="CFR4" t="s">
        <v>289</v>
      </c>
      <c r="CFS4" t="s">
        <v>289</v>
      </c>
      <c r="CFT4" t="s">
        <v>289</v>
      </c>
      <c r="CFU4" t="s">
        <v>289</v>
      </c>
      <c r="CFV4" t="s">
        <v>289</v>
      </c>
      <c r="CFW4" t="s">
        <v>289</v>
      </c>
      <c r="CFX4" t="s">
        <v>289</v>
      </c>
      <c r="CFY4" t="s">
        <v>289</v>
      </c>
      <c r="CFZ4" t="s">
        <v>289</v>
      </c>
      <c r="CGA4" t="s">
        <v>289</v>
      </c>
      <c r="CGB4" t="s">
        <v>289</v>
      </c>
      <c r="CGC4" t="s">
        <v>289</v>
      </c>
      <c r="CGD4" t="s">
        <v>289</v>
      </c>
      <c r="CGE4" t="s">
        <v>289</v>
      </c>
      <c r="CGF4" t="s">
        <v>289</v>
      </c>
      <c r="CGG4" t="s">
        <v>289</v>
      </c>
      <c r="CGH4">
        <v>-5.3819999999999997</v>
      </c>
      <c r="CGI4">
        <v>-11.819000000000001</v>
      </c>
      <c r="CGJ4">
        <v>-11.92</v>
      </c>
      <c r="CGK4">
        <v>0.13900000000000001</v>
      </c>
      <c r="CGL4">
        <v>-1.351</v>
      </c>
      <c r="CGM4">
        <v>-5.3659999999999997</v>
      </c>
      <c r="CGN4">
        <v>-12.034000000000001</v>
      </c>
      <c r="CGO4">
        <v>4.5209999999999999</v>
      </c>
      <c r="CGP4">
        <v>5.0999999999999996</v>
      </c>
      <c r="CGQ4">
        <v>24.2</v>
      </c>
      <c r="CGR4">
        <v>4</v>
      </c>
      <c r="CGS4">
        <v>58.8</v>
      </c>
      <c r="CGT4">
        <v>7.3</v>
      </c>
      <c r="CGU4">
        <v>73.599999999999994</v>
      </c>
      <c r="CGV4">
        <v>128.6</v>
      </c>
      <c r="CGW4" t="s">
        <v>289</v>
      </c>
      <c r="CGX4" t="s">
        <v>289</v>
      </c>
      <c r="CGY4" t="s">
        <v>289</v>
      </c>
      <c r="CGZ4" t="s">
        <v>289</v>
      </c>
      <c r="CHA4" t="s">
        <v>289</v>
      </c>
      <c r="CHB4" t="s">
        <v>289</v>
      </c>
      <c r="CHC4" t="s">
        <v>289</v>
      </c>
      <c r="CHD4" t="s">
        <v>289</v>
      </c>
      <c r="CHE4">
        <v>3.4000000000000002E-2</v>
      </c>
      <c r="CHF4">
        <v>0.21299999999999999</v>
      </c>
      <c r="CHG4">
        <v>0.36199999999999999</v>
      </c>
      <c r="CHH4">
        <v>3.2000000000000001E-2</v>
      </c>
      <c r="CHI4">
        <v>0</v>
      </c>
      <c r="CHJ4">
        <v>0</v>
      </c>
      <c r="CHK4">
        <v>0</v>
      </c>
      <c r="CHL4">
        <v>0</v>
      </c>
      <c r="CHM4">
        <v>0</v>
      </c>
      <c r="CHN4">
        <v>0</v>
      </c>
      <c r="CHO4" t="s">
        <v>289</v>
      </c>
      <c r="CHP4" t="s">
        <v>289</v>
      </c>
      <c r="CHQ4" t="s">
        <v>289</v>
      </c>
      <c r="CHR4" t="s">
        <v>289</v>
      </c>
      <c r="CHS4" t="s">
        <v>289</v>
      </c>
      <c r="CHT4">
        <v>0</v>
      </c>
      <c r="CHU4">
        <v>0</v>
      </c>
      <c r="CHV4">
        <v>0</v>
      </c>
      <c r="CHW4">
        <v>0</v>
      </c>
      <c r="CHX4">
        <v>0</v>
      </c>
      <c r="CHY4">
        <v>0.443</v>
      </c>
      <c r="CHZ4">
        <v>1.542</v>
      </c>
      <c r="CIA4">
        <v>0</v>
      </c>
      <c r="CIB4">
        <v>0.1</v>
      </c>
      <c r="CIC4">
        <v>0.1</v>
      </c>
      <c r="CID4">
        <v>0</v>
      </c>
      <c r="CIE4">
        <v>0</v>
      </c>
      <c r="CIF4">
        <v>0.2</v>
      </c>
      <c r="CIG4">
        <v>0.1</v>
      </c>
      <c r="CIH4">
        <v>0.5</v>
      </c>
      <c r="CII4" t="s">
        <v>289</v>
      </c>
      <c r="CIJ4" t="s">
        <v>289</v>
      </c>
      <c r="CIK4" t="s">
        <v>289</v>
      </c>
      <c r="CIL4" t="s">
        <v>289</v>
      </c>
      <c r="CIM4" t="s">
        <v>289</v>
      </c>
      <c r="CIN4" t="s">
        <v>289</v>
      </c>
      <c r="CIO4" t="s">
        <v>289</v>
      </c>
      <c r="CIP4" t="s">
        <v>289</v>
      </c>
      <c r="CIQ4" t="s">
        <v>289</v>
      </c>
      <c r="CIR4" t="s">
        <v>289</v>
      </c>
      <c r="CIS4" t="s">
        <v>289</v>
      </c>
      <c r="CIT4" t="s">
        <v>289</v>
      </c>
      <c r="CIU4" t="s">
        <v>289</v>
      </c>
      <c r="CIV4" t="s">
        <v>289</v>
      </c>
      <c r="CIW4" t="s">
        <v>289</v>
      </c>
      <c r="CIX4" t="s">
        <v>289</v>
      </c>
      <c r="CIY4" t="s">
        <v>289</v>
      </c>
      <c r="CIZ4" t="s">
        <v>289</v>
      </c>
      <c r="CJA4" t="s">
        <v>289</v>
      </c>
      <c r="CJB4" t="s">
        <v>289</v>
      </c>
      <c r="CJC4" t="s">
        <v>289</v>
      </c>
      <c r="CJD4" t="s">
        <v>289</v>
      </c>
      <c r="CJE4" t="s">
        <v>289</v>
      </c>
      <c r="CJF4" t="s">
        <v>289</v>
      </c>
      <c r="CJG4" t="s">
        <v>289</v>
      </c>
      <c r="CJH4" t="s">
        <v>289</v>
      </c>
      <c r="CJI4" t="s">
        <v>289</v>
      </c>
      <c r="CJJ4" t="s">
        <v>289</v>
      </c>
      <c r="CJK4" t="s">
        <v>289</v>
      </c>
      <c r="CJL4" t="s">
        <v>289</v>
      </c>
      <c r="CJM4" t="s">
        <v>289</v>
      </c>
      <c r="CJN4" t="s">
        <v>289</v>
      </c>
      <c r="CJO4" t="s">
        <v>289</v>
      </c>
      <c r="CJP4" t="s">
        <v>289</v>
      </c>
      <c r="CJQ4" t="s">
        <v>289</v>
      </c>
      <c r="CJR4" t="s">
        <v>289</v>
      </c>
      <c r="CJS4" t="s">
        <v>289</v>
      </c>
      <c r="CJT4" t="s">
        <v>289</v>
      </c>
      <c r="CJU4" t="s">
        <v>289</v>
      </c>
      <c r="CJV4" t="s">
        <v>289</v>
      </c>
      <c r="CJW4" t="s">
        <v>289</v>
      </c>
      <c r="CJX4" t="s">
        <v>289</v>
      </c>
      <c r="CJY4" t="s">
        <v>289</v>
      </c>
      <c r="CJZ4" t="s">
        <v>289</v>
      </c>
      <c r="CKA4" t="s">
        <v>289</v>
      </c>
      <c r="CKB4" t="s">
        <v>289</v>
      </c>
      <c r="CKC4" t="s">
        <v>289</v>
      </c>
      <c r="CKD4" t="s">
        <v>289</v>
      </c>
      <c r="CKE4" t="s">
        <v>289</v>
      </c>
      <c r="CKF4" t="s">
        <v>289</v>
      </c>
      <c r="CKG4" t="s">
        <v>289</v>
      </c>
      <c r="CKH4" t="s">
        <v>289</v>
      </c>
      <c r="CKI4" t="s">
        <v>289</v>
      </c>
      <c r="CKJ4" t="s">
        <v>289</v>
      </c>
      <c r="CKK4" t="s">
        <v>289</v>
      </c>
      <c r="CKL4" t="s">
        <v>289</v>
      </c>
      <c r="CKM4" t="s">
        <v>289</v>
      </c>
      <c r="CKN4" t="s">
        <v>289</v>
      </c>
      <c r="CKO4" t="s">
        <v>289</v>
      </c>
      <c r="CKP4" t="s">
        <v>289</v>
      </c>
      <c r="CKQ4" t="s">
        <v>289</v>
      </c>
      <c r="CKR4" t="s">
        <v>289</v>
      </c>
      <c r="CKS4" t="s">
        <v>289</v>
      </c>
      <c r="CKT4" t="s">
        <v>289</v>
      </c>
      <c r="CKU4" t="s">
        <v>289</v>
      </c>
      <c r="CKV4" t="s">
        <v>289</v>
      </c>
      <c r="CKW4" t="s">
        <v>289</v>
      </c>
      <c r="CKX4" t="s">
        <v>289</v>
      </c>
      <c r="CKY4" t="s">
        <v>289</v>
      </c>
      <c r="CKZ4" t="s">
        <v>289</v>
      </c>
      <c r="CLA4" t="s">
        <v>289</v>
      </c>
      <c r="CLB4" t="s">
        <v>289</v>
      </c>
      <c r="CLC4" t="s">
        <v>289</v>
      </c>
      <c r="CLD4" t="s">
        <v>289</v>
      </c>
      <c r="CLE4" t="s">
        <v>289</v>
      </c>
      <c r="CLF4" t="s">
        <v>289</v>
      </c>
      <c r="CLG4" t="s">
        <v>289</v>
      </c>
      <c r="CLH4" t="s">
        <v>289</v>
      </c>
      <c r="CLI4" t="s">
        <v>289</v>
      </c>
      <c r="CLJ4" t="s">
        <v>289</v>
      </c>
      <c r="CLK4" t="s">
        <v>289</v>
      </c>
      <c r="CLL4" t="s">
        <v>289</v>
      </c>
      <c r="CLM4" t="s">
        <v>289</v>
      </c>
      <c r="CLN4" t="s">
        <v>289</v>
      </c>
      <c r="CLO4" t="s">
        <v>289</v>
      </c>
      <c r="CLP4" t="s">
        <v>289</v>
      </c>
      <c r="CLQ4" t="s">
        <v>289</v>
      </c>
      <c r="CLR4" t="s">
        <v>289</v>
      </c>
      <c r="CLS4" t="s">
        <v>289</v>
      </c>
      <c r="CLT4" t="s">
        <v>289</v>
      </c>
      <c r="CLU4" t="s">
        <v>289</v>
      </c>
      <c r="CLV4" t="s">
        <v>289</v>
      </c>
      <c r="CLW4" t="s">
        <v>289</v>
      </c>
      <c r="CLX4" t="s">
        <v>289</v>
      </c>
      <c r="CLY4" t="s">
        <v>289</v>
      </c>
      <c r="CLZ4" t="s">
        <v>289</v>
      </c>
      <c r="CMA4" t="s">
        <v>289</v>
      </c>
      <c r="CMB4" t="s">
        <v>289</v>
      </c>
      <c r="CMC4" t="s">
        <v>289</v>
      </c>
      <c r="CMD4" t="s">
        <v>289</v>
      </c>
      <c r="CME4" t="s">
        <v>289</v>
      </c>
      <c r="CMF4" t="s">
        <v>289</v>
      </c>
      <c r="CMG4" t="s">
        <v>289</v>
      </c>
      <c r="CMH4" t="s">
        <v>289</v>
      </c>
      <c r="CMI4" t="s">
        <v>289</v>
      </c>
      <c r="CMJ4" t="s">
        <v>289</v>
      </c>
      <c r="CMK4" t="s">
        <v>289</v>
      </c>
      <c r="CML4" t="s">
        <v>289</v>
      </c>
      <c r="CMM4" t="s">
        <v>289</v>
      </c>
      <c r="CMN4" t="s">
        <v>289</v>
      </c>
      <c r="CMO4" t="s">
        <v>289</v>
      </c>
      <c r="CMP4" t="s">
        <v>289</v>
      </c>
      <c r="CMQ4" t="s">
        <v>289</v>
      </c>
      <c r="CMR4" t="s">
        <v>289</v>
      </c>
      <c r="CMS4" t="s">
        <v>289</v>
      </c>
      <c r="CMT4" t="s">
        <v>289</v>
      </c>
      <c r="CMU4" t="s">
        <v>289</v>
      </c>
      <c r="CMV4" t="s">
        <v>289</v>
      </c>
      <c r="CMW4" t="s">
        <v>289</v>
      </c>
      <c r="CMX4" t="s">
        <v>289</v>
      </c>
      <c r="CMY4" t="s">
        <v>289</v>
      </c>
      <c r="CMZ4" t="s">
        <v>289</v>
      </c>
      <c r="CNA4" t="s">
        <v>289</v>
      </c>
      <c r="CNB4" t="s">
        <v>289</v>
      </c>
      <c r="CNC4" t="s">
        <v>289</v>
      </c>
      <c r="CND4" t="s">
        <v>289</v>
      </c>
      <c r="CNE4" t="s">
        <v>289</v>
      </c>
      <c r="CNF4" t="s">
        <v>289</v>
      </c>
      <c r="CNG4" t="s">
        <v>289</v>
      </c>
      <c r="CNH4" t="s">
        <v>289</v>
      </c>
      <c r="CNI4" t="s">
        <v>289</v>
      </c>
      <c r="CNJ4" t="s">
        <v>289</v>
      </c>
      <c r="CNK4" t="s">
        <v>289</v>
      </c>
      <c r="CNL4" t="s">
        <v>289</v>
      </c>
      <c r="CNM4" t="s">
        <v>289</v>
      </c>
      <c r="CNN4" t="s">
        <v>289</v>
      </c>
      <c r="CNO4" t="s">
        <v>289</v>
      </c>
      <c r="CNP4">
        <v>93.97</v>
      </c>
      <c r="CNQ4">
        <v>42.414999999999999</v>
      </c>
      <c r="CNR4">
        <v>27.309000000000001</v>
      </c>
      <c r="CNS4">
        <v>90.766000000000005</v>
      </c>
      <c r="CNT4">
        <v>56.963000000000001</v>
      </c>
      <c r="CNU4">
        <v>67.543000000000006</v>
      </c>
      <c r="CNV4">
        <v>-9.0399999999999991</v>
      </c>
      <c r="CNW4">
        <v>27.969000000000001</v>
      </c>
      <c r="CNX4">
        <v>45</v>
      </c>
      <c r="CNY4">
        <v>134.19999999999999</v>
      </c>
      <c r="CNZ4">
        <v>297.3</v>
      </c>
      <c r="COA4">
        <v>184.6</v>
      </c>
      <c r="COB4">
        <v>-27.6</v>
      </c>
      <c r="COC4">
        <v>-278.60000000000002</v>
      </c>
      <c r="COD4">
        <v>62</v>
      </c>
      <c r="COE4" t="s">
        <v>289</v>
      </c>
      <c r="COF4" t="s">
        <v>289</v>
      </c>
      <c r="COG4" t="s">
        <v>289</v>
      </c>
      <c r="COH4" t="s">
        <v>289</v>
      </c>
      <c r="COI4">
        <v>83.969399999999993</v>
      </c>
      <c r="COJ4">
        <v>48.734999999999999</v>
      </c>
      <c r="COK4">
        <v>15.2521</v>
      </c>
      <c r="COL4" t="s">
        <v>289</v>
      </c>
      <c r="COM4" t="s">
        <v>289</v>
      </c>
      <c r="CON4" t="s">
        <v>289</v>
      </c>
      <c r="COO4" t="s">
        <v>289</v>
      </c>
      <c r="COP4" t="s">
        <v>289</v>
      </c>
      <c r="COQ4" t="s">
        <v>289</v>
      </c>
      <c r="COR4" t="s">
        <v>289</v>
      </c>
      <c r="COS4">
        <v>299.7362</v>
      </c>
      <c r="COT4" t="s">
        <v>289</v>
      </c>
      <c r="COU4" t="s">
        <v>289</v>
      </c>
      <c r="COV4" t="s">
        <v>289</v>
      </c>
      <c r="COW4" t="s">
        <v>289</v>
      </c>
      <c r="COX4" t="s">
        <v>289</v>
      </c>
      <c r="COY4" t="s">
        <v>289</v>
      </c>
      <c r="COZ4" t="s">
        <v>289</v>
      </c>
      <c r="CPA4" t="s">
        <v>289</v>
      </c>
      <c r="CPB4">
        <v>3.024</v>
      </c>
      <c r="CPC4">
        <v>19.404</v>
      </c>
      <c r="CPD4">
        <v>-31.561</v>
      </c>
      <c r="CPE4">
        <v>7.0549999999999997</v>
      </c>
      <c r="CPF4">
        <v>6.0609999999999999</v>
      </c>
      <c r="CPG4">
        <v>-22.175999999999998</v>
      </c>
      <c r="CPH4">
        <v>-15.327</v>
      </c>
      <c r="CPI4">
        <v>15.884</v>
      </c>
      <c r="CPJ4">
        <v>12.7</v>
      </c>
      <c r="CPK4">
        <v>74.5</v>
      </c>
      <c r="CPL4">
        <v>-7.3</v>
      </c>
      <c r="CPM4">
        <v>102.3</v>
      </c>
      <c r="CPN4">
        <v>2.8</v>
      </c>
      <c r="CPO4">
        <v>15.4</v>
      </c>
      <c r="CPP4">
        <v>-14.4</v>
      </c>
      <c r="CPQ4" t="s">
        <v>289</v>
      </c>
      <c r="CPR4" t="s">
        <v>289</v>
      </c>
      <c r="CPS4" t="s">
        <v>289</v>
      </c>
      <c r="CPT4" t="s">
        <v>289</v>
      </c>
      <c r="CPU4" t="s">
        <v>289</v>
      </c>
      <c r="CPV4" t="s">
        <v>289</v>
      </c>
      <c r="CPW4" t="s">
        <v>289</v>
      </c>
      <c r="CPX4" t="s">
        <v>289</v>
      </c>
      <c r="CPY4" t="s">
        <v>289</v>
      </c>
      <c r="CPZ4" t="s">
        <v>289</v>
      </c>
      <c r="CQA4" t="s">
        <v>289</v>
      </c>
      <c r="CQB4" t="s">
        <v>289</v>
      </c>
      <c r="CQC4" t="s">
        <v>289</v>
      </c>
      <c r="CQD4" t="s">
        <v>289</v>
      </c>
      <c r="CQE4" t="s">
        <v>289</v>
      </c>
      <c r="CQF4" t="s">
        <v>289</v>
      </c>
      <c r="CQG4" t="s">
        <v>289</v>
      </c>
      <c r="CQH4" t="s">
        <v>289</v>
      </c>
      <c r="CQI4" t="s">
        <v>289</v>
      </c>
      <c r="CQJ4" t="s">
        <v>289</v>
      </c>
      <c r="CQK4" t="s">
        <v>289</v>
      </c>
      <c r="CQL4" t="s">
        <v>289</v>
      </c>
      <c r="CQM4" t="s">
        <v>289</v>
      </c>
      <c r="CQN4" t="s">
        <v>289</v>
      </c>
      <c r="CQO4" t="s">
        <v>289</v>
      </c>
      <c r="CQP4" t="s">
        <v>289</v>
      </c>
      <c r="CQQ4" t="s">
        <v>289</v>
      </c>
      <c r="CQR4" t="s">
        <v>289</v>
      </c>
      <c r="CQS4" t="s">
        <v>289</v>
      </c>
      <c r="CQT4" t="s">
        <v>289</v>
      </c>
      <c r="CQU4" t="s">
        <v>289</v>
      </c>
      <c r="CQV4" t="s">
        <v>289</v>
      </c>
      <c r="CQW4" t="s">
        <v>289</v>
      </c>
      <c r="CQX4" t="s">
        <v>289</v>
      </c>
      <c r="CQY4" t="s">
        <v>289</v>
      </c>
      <c r="CQZ4" t="s">
        <v>289</v>
      </c>
      <c r="CRA4" t="s">
        <v>289</v>
      </c>
      <c r="CRB4" t="s">
        <v>289</v>
      </c>
      <c r="CRC4" t="s">
        <v>289</v>
      </c>
      <c r="CRD4" t="s">
        <v>289</v>
      </c>
      <c r="CRE4" t="s">
        <v>289</v>
      </c>
      <c r="CRF4" t="s">
        <v>289</v>
      </c>
      <c r="CRG4" t="s">
        <v>289</v>
      </c>
      <c r="CRH4" t="s">
        <v>289</v>
      </c>
      <c r="CRI4" t="s">
        <v>289</v>
      </c>
      <c r="CRJ4" t="s">
        <v>289</v>
      </c>
      <c r="CRK4" t="s">
        <v>289</v>
      </c>
      <c r="CRL4" t="s">
        <v>289</v>
      </c>
      <c r="CRM4" t="s">
        <v>289</v>
      </c>
      <c r="CRN4" t="s">
        <v>289</v>
      </c>
      <c r="CRO4" t="s">
        <v>289</v>
      </c>
      <c r="CRP4" t="s">
        <v>289</v>
      </c>
      <c r="CRQ4" t="s">
        <v>289</v>
      </c>
      <c r="CRR4" t="s">
        <v>289</v>
      </c>
      <c r="CRS4" t="s">
        <v>289</v>
      </c>
      <c r="CRT4" t="s">
        <v>289</v>
      </c>
      <c r="CRU4" t="s">
        <v>289</v>
      </c>
      <c r="CRV4" t="s">
        <v>289</v>
      </c>
      <c r="CRW4" t="s">
        <v>289</v>
      </c>
      <c r="CRX4" t="s">
        <v>289</v>
      </c>
      <c r="CRY4" t="s">
        <v>289</v>
      </c>
      <c r="CRZ4" t="s">
        <v>289</v>
      </c>
      <c r="CSA4" t="s">
        <v>289</v>
      </c>
      <c r="CSB4" t="s">
        <v>289</v>
      </c>
      <c r="CSC4" t="s">
        <v>289</v>
      </c>
      <c r="CSD4" t="s">
        <v>289</v>
      </c>
      <c r="CSE4" t="s">
        <v>289</v>
      </c>
      <c r="CSF4" t="s">
        <v>289</v>
      </c>
      <c r="CSG4" t="s">
        <v>289</v>
      </c>
      <c r="CSH4" t="s">
        <v>289</v>
      </c>
      <c r="CSI4" t="s">
        <v>289</v>
      </c>
      <c r="CSJ4" t="s">
        <v>289</v>
      </c>
      <c r="CSK4" t="s">
        <v>289</v>
      </c>
      <c r="CSL4" t="s">
        <v>289</v>
      </c>
      <c r="CSM4" t="s">
        <v>289</v>
      </c>
      <c r="CSN4" t="s">
        <v>289</v>
      </c>
      <c r="CSO4" t="s">
        <v>289</v>
      </c>
      <c r="CSP4" t="s">
        <v>289</v>
      </c>
      <c r="CSQ4" t="s">
        <v>289</v>
      </c>
      <c r="CSR4" t="s">
        <v>289</v>
      </c>
      <c r="CSS4">
        <v>3.512</v>
      </c>
      <c r="CST4">
        <v>6.3769999999999998</v>
      </c>
      <c r="CSU4">
        <v>5.8280000000000003</v>
      </c>
      <c r="CSV4">
        <v>2.4849999999999999</v>
      </c>
      <c r="CSW4">
        <v>2.9089999999999998</v>
      </c>
      <c r="CSX4">
        <v>2.0790000000000002</v>
      </c>
      <c r="CSY4">
        <v>1.95</v>
      </c>
      <c r="CSZ4">
        <v>2.0369999999999999</v>
      </c>
      <c r="CTA4">
        <v>2.1</v>
      </c>
      <c r="CTB4">
        <v>2.2000000000000002</v>
      </c>
      <c r="CTC4">
        <v>3.1</v>
      </c>
      <c r="CTD4">
        <v>4.2</v>
      </c>
      <c r="CTE4">
        <v>5</v>
      </c>
      <c r="CTF4">
        <v>2.2999999999999998</v>
      </c>
      <c r="CTG4">
        <v>1.1000000000000001</v>
      </c>
      <c r="CTH4" t="s">
        <v>289</v>
      </c>
      <c r="CTI4" t="s">
        <v>289</v>
      </c>
      <c r="CTJ4" t="s">
        <v>289</v>
      </c>
      <c r="CTK4" t="s">
        <v>289</v>
      </c>
      <c r="CTL4" t="s">
        <v>289</v>
      </c>
      <c r="CTM4" t="s">
        <v>289</v>
      </c>
      <c r="CTN4" t="s">
        <v>289</v>
      </c>
      <c r="CTO4" t="s">
        <v>289</v>
      </c>
      <c r="CTP4" t="s">
        <v>289</v>
      </c>
      <c r="CTQ4" t="s">
        <v>289</v>
      </c>
      <c r="CTR4" t="s">
        <v>289</v>
      </c>
      <c r="CTS4" t="s">
        <v>289</v>
      </c>
      <c r="CTT4" t="s">
        <v>289</v>
      </c>
      <c r="CTU4" t="s">
        <v>289</v>
      </c>
      <c r="CTV4" t="s">
        <v>289</v>
      </c>
      <c r="CTW4" t="s">
        <v>289</v>
      </c>
      <c r="CTX4" t="s">
        <v>289</v>
      </c>
      <c r="CTY4" t="s">
        <v>289</v>
      </c>
      <c r="CTZ4" t="s">
        <v>289</v>
      </c>
      <c r="CUA4" t="s">
        <v>289</v>
      </c>
      <c r="CUB4" t="s">
        <v>289</v>
      </c>
      <c r="CUC4" t="s">
        <v>289</v>
      </c>
      <c r="CUD4" t="s">
        <v>289</v>
      </c>
      <c r="CUE4" t="s">
        <v>289</v>
      </c>
      <c r="CUF4">
        <v>-1.7869999999999999</v>
      </c>
      <c r="CUG4" t="s">
        <v>289</v>
      </c>
      <c r="CUH4">
        <v>-0.751</v>
      </c>
      <c r="CUI4" t="s">
        <v>289</v>
      </c>
      <c r="CUJ4">
        <v>-0.14899999999999999</v>
      </c>
      <c r="CUK4">
        <v>-1.1060000000000001</v>
      </c>
      <c r="CUL4">
        <v>-1.472</v>
      </c>
      <c r="CUM4">
        <v>-0.9</v>
      </c>
      <c r="CUN4">
        <v>-1.1000000000000001</v>
      </c>
      <c r="CUO4">
        <v>-0.7</v>
      </c>
      <c r="CUP4">
        <v>-7.9</v>
      </c>
      <c r="CUQ4">
        <v>-12.5</v>
      </c>
      <c r="CUR4">
        <v>-9.1999999999999993</v>
      </c>
      <c r="CUS4">
        <v>-9</v>
      </c>
      <c r="CUT4" t="s">
        <v>289</v>
      </c>
      <c r="CUU4">
        <v>13.926</v>
      </c>
      <c r="CUV4">
        <v>135.6</v>
      </c>
      <c r="CUW4">
        <v>861.83299999999997</v>
      </c>
      <c r="CUX4">
        <v>13.926</v>
      </c>
      <c r="CUY4">
        <v>1003</v>
      </c>
      <c r="CUZ4">
        <v>-300</v>
      </c>
      <c r="CVA4">
        <v>-240.11099999999999</v>
      </c>
      <c r="CVB4">
        <v>-60.8</v>
      </c>
      <c r="CVC4">
        <v>697.28599999999994</v>
      </c>
      <c r="CVD4">
        <v>-241.77799999999999</v>
      </c>
      <c r="CVE4">
        <v>565.44399999999996</v>
      </c>
      <c r="CVF4">
        <v>-261.286</v>
      </c>
      <c r="CVG4">
        <v>-80.882999999999996</v>
      </c>
      <c r="CVH4">
        <v>149.417</v>
      </c>
      <c r="CVI4">
        <v>867.22199999999998</v>
      </c>
      <c r="CVJ4">
        <v>-80.849999999999994</v>
      </c>
      <c r="CVK4">
        <v>1113.0830000000001</v>
      </c>
      <c r="CVL4">
        <v>-225.625</v>
      </c>
      <c r="CVM4">
        <v>-107.6</v>
      </c>
      <c r="CVN4">
        <v>219.727</v>
      </c>
      <c r="CVO4">
        <v>1046</v>
      </c>
      <c r="CVP4">
        <v>-107.6</v>
      </c>
      <c r="CVQ4">
        <v>1344.5</v>
      </c>
      <c r="CVR4">
        <v>-296.25</v>
      </c>
      <c r="CVS4">
        <v>22.077999999999999</v>
      </c>
      <c r="CVT4">
        <v>322.18200000000002</v>
      </c>
      <c r="CVU4">
        <v>1066.5</v>
      </c>
      <c r="CVV4">
        <v>22.077999999999999</v>
      </c>
      <c r="CVW4">
        <v>1582.8330000000001</v>
      </c>
      <c r="CVX4">
        <v>-288.125</v>
      </c>
      <c r="CVY4">
        <v>132.54499999999999</v>
      </c>
      <c r="CVZ4">
        <v>429.33300000000003</v>
      </c>
      <c r="CWA4">
        <v>1124.143</v>
      </c>
      <c r="CWB4">
        <v>132.54499999999999</v>
      </c>
      <c r="CWC4">
        <v>1850.5</v>
      </c>
      <c r="CWD4">
        <v>-293.125</v>
      </c>
      <c r="CWE4">
        <v>179.96</v>
      </c>
      <c r="CWF4">
        <v>465.8</v>
      </c>
      <c r="CWG4">
        <v>1210.25</v>
      </c>
      <c r="CWH4">
        <v>179.96</v>
      </c>
      <c r="CWI4">
        <v>1917</v>
      </c>
      <c r="CWJ4">
        <v>-300.8</v>
      </c>
      <c r="CWK4" t="s">
        <v>289</v>
      </c>
      <c r="CWL4" t="s">
        <v>289</v>
      </c>
      <c r="CWM4" t="s">
        <v>289</v>
      </c>
      <c r="CWN4">
        <v>103.956</v>
      </c>
      <c r="CWO4">
        <v>58.790999999999997</v>
      </c>
      <c r="CWP4">
        <v>41.255000000000003</v>
      </c>
      <c r="CWQ4">
        <v>102.124</v>
      </c>
      <c r="CWR4">
        <v>71.927999999999997</v>
      </c>
      <c r="CWS4">
        <v>100.372</v>
      </c>
      <c r="CWT4">
        <v>21.268000000000001</v>
      </c>
      <c r="CWU4">
        <v>57.87</v>
      </c>
      <c r="CWV4">
        <v>75.2</v>
      </c>
      <c r="CWW4">
        <v>164.6</v>
      </c>
      <c r="CWX4">
        <v>344</v>
      </c>
      <c r="CWY4">
        <v>222.6</v>
      </c>
      <c r="CWZ4">
        <v>19.399999999999999</v>
      </c>
      <c r="CXA4">
        <v>-198.6</v>
      </c>
      <c r="CXB4">
        <v>178.9</v>
      </c>
      <c r="CXC4" t="s">
        <v>289</v>
      </c>
      <c r="CXD4" t="s">
        <v>289</v>
      </c>
      <c r="CXE4" t="s">
        <v>289</v>
      </c>
      <c r="CXF4" t="s">
        <v>289</v>
      </c>
      <c r="CXG4" t="s">
        <v>289</v>
      </c>
      <c r="CXH4" t="s">
        <v>289</v>
      </c>
      <c r="CXI4" t="s">
        <v>289</v>
      </c>
      <c r="CXJ4" t="s">
        <v>289</v>
      </c>
      <c r="CXK4" t="s">
        <v>289</v>
      </c>
      <c r="CXL4" t="s">
        <v>289</v>
      </c>
      <c r="CXM4" t="s">
        <v>289</v>
      </c>
      <c r="CXN4" t="s">
        <v>289</v>
      </c>
      <c r="CXO4" t="s">
        <v>289</v>
      </c>
      <c r="CXP4" t="s">
        <v>289</v>
      </c>
      <c r="CXQ4" t="s">
        <v>289</v>
      </c>
      <c r="CXR4" t="s">
        <v>289</v>
      </c>
      <c r="CXS4" t="s">
        <v>289</v>
      </c>
      <c r="CXT4" t="s">
        <v>289</v>
      </c>
      <c r="CXU4" t="s">
        <v>289</v>
      </c>
      <c r="CXV4" t="s">
        <v>289</v>
      </c>
      <c r="CXW4" t="s">
        <v>289</v>
      </c>
      <c r="CXX4" t="s">
        <v>289</v>
      </c>
      <c r="CXY4" t="s">
        <v>289</v>
      </c>
      <c r="CXZ4" t="s">
        <v>289</v>
      </c>
      <c r="CYA4" t="s">
        <v>289</v>
      </c>
      <c r="CYB4" t="s">
        <v>289</v>
      </c>
      <c r="CYC4" t="s">
        <v>289</v>
      </c>
      <c r="CYD4" t="s">
        <v>289</v>
      </c>
      <c r="CYE4" t="s">
        <v>289</v>
      </c>
      <c r="CYF4" t="s">
        <v>289</v>
      </c>
      <c r="CYG4" t="s">
        <v>289</v>
      </c>
      <c r="CYH4" t="s">
        <v>289</v>
      </c>
      <c r="CYI4" t="s">
        <v>289</v>
      </c>
      <c r="CYJ4" t="s">
        <v>289</v>
      </c>
      <c r="CYK4" t="s">
        <v>289</v>
      </c>
      <c r="CYL4" t="s">
        <v>289</v>
      </c>
      <c r="CYM4" t="s">
        <v>289</v>
      </c>
      <c r="CYN4" t="s">
        <v>289</v>
      </c>
      <c r="CYO4" t="s">
        <v>289</v>
      </c>
      <c r="CYP4" t="s">
        <v>289</v>
      </c>
      <c r="CYQ4" t="s">
        <v>289</v>
      </c>
      <c r="CYR4" t="s">
        <v>289</v>
      </c>
      <c r="CYS4">
        <v>11.589</v>
      </c>
      <c r="CYT4">
        <v>-25.093</v>
      </c>
      <c r="CYU4">
        <v>32.249000000000002</v>
      </c>
      <c r="CYV4">
        <v>-22.484000000000002</v>
      </c>
      <c r="CYW4">
        <v>0.50700000000000001</v>
      </c>
      <c r="CYX4">
        <v>-7.2709999999999999</v>
      </c>
      <c r="CYY4">
        <v>3.4239999999999999</v>
      </c>
      <c r="CYZ4">
        <v>-21.841999999999999</v>
      </c>
      <c r="CZA4">
        <v>18.100000000000001</v>
      </c>
      <c r="CZB4">
        <v>-36.799999999999997</v>
      </c>
      <c r="CZC4">
        <v>-10.6</v>
      </c>
      <c r="CZD4">
        <v>-37.5</v>
      </c>
      <c r="CZE4">
        <v>-33.299999999999997</v>
      </c>
      <c r="CZF4">
        <v>-4.8</v>
      </c>
      <c r="CZG4">
        <v>7.7</v>
      </c>
      <c r="CZH4" t="s">
        <v>289</v>
      </c>
      <c r="CZI4" t="s">
        <v>289</v>
      </c>
      <c r="CZJ4" t="s">
        <v>289</v>
      </c>
      <c r="CZK4" t="s">
        <v>289</v>
      </c>
      <c r="CZL4" t="s">
        <v>289</v>
      </c>
      <c r="CZM4" t="s">
        <v>289</v>
      </c>
      <c r="CZN4" t="s">
        <v>289</v>
      </c>
      <c r="CZO4" t="s">
        <v>289</v>
      </c>
      <c r="CZP4" t="s">
        <v>289</v>
      </c>
      <c r="CZQ4" t="s">
        <v>289</v>
      </c>
      <c r="CZR4" t="s">
        <v>289</v>
      </c>
      <c r="CZS4" t="s">
        <v>289</v>
      </c>
      <c r="CZT4" t="s">
        <v>289</v>
      </c>
      <c r="CZU4" t="s">
        <v>289</v>
      </c>
      <c r="CZV4" t="s">
        <v>289</v>
      </c>
      <c r="CZW4" t="s">
        <v>289</v>
      </c>
      <c r="CZX4" t="s">
        <v>289</v>
      </c>
      <c r="CZY4" t="s">
        <v>289</v>
      </c>
      <c r="CZZ4" t="s">
        <v>289</v>
      </c>
      <c r="DAA4" t="s">
        <v>289</v>
      </c>
      <c r="DAB4" t="s">
        <v>289</v>
      </c>
      <c r="DAC4" t="s">
        <v>289</v>
      </c>
      <c r="DAD4" t="s">
        <v>289</v>
      </c>
      <c r="DAE4" t="s">
        <v>289</v>
      </c>
      <c r="DAF4" t="s">
        <v>289</v>
      </c>
      <c r="DAG4" t="s">
        <v>289</v>
      </c>
      <c r="DAH4" t="s">
        <v>289</v>
      </c>
      <c r="DAI4" t="s">
        <v>289</v>
      </c>
      <c r="DAJ4" t="s">
        <v>289</v>
      </c>
      <c r="DAK4" t="s">
        <v>289</v>
      </c>
      <c r="DAL4" t="s">
        <v>289</v>
      </c>
      <c r="DAM4" t="s">
        <v>289</v>
      </c>
      <c r="DAN4" t="s">
        <v>289</v>
      </c>
      <c r="DAO4" t="s">
        <v>289</v>
      </c>
      <c r="DAP4" t="s">
        <v>289</v>
      </c>
      <c r="DAQ4" t="s">
        <v>289</v>
      </c>
      <c r="DAR4" t="s">
        <v>289</v>
      </c>
      <c r="DAS4" t="s">
        <v>289</v>
      </c>
      <c r="DAT4" t="s">
        <v>289</v>
      </c>
      <c r="DAU4" t="s">
        <v>289</v>
      </c>
      <c r="DAV4" t="s">
        <v>289</v>
      </c>
      <c r="DAW4" t="s">
        <v>289</v>
      </c>
      <c r="DAX4" t="s">
        <v>289</v>
      </c>
      <c r="DAY4" t="s">
        <v>289</v>
      </c>
      <c r="DAZ4" t="s">
        <v>289</v>
      </c>
      <c r="DBA4" t="s">
        <v>289</v>
      </c>
      <c r="DBB4" t="s">
        <v>289</v>
      </c>
      <c r="DBC4" t="s">
        <v>289</v>
      </c>
      <c r="DBD4" t="s">
        <v>289</v>
      </c>
      <c r="DBE4" t="s">
        <v>289</v>
      </c>
      <c r="DBF4" t="s">
        <v>289</v>
      </c>
      <c r="DBG4" t="s">
        <v>289</v>
      </c>
      <c r="DBH4" t="s">
        <v>289</v>
      </c>
      <c r="DBI4" t="s">
        <v>289</v>
      </c>
      <c r="DBJ4" t="s">
        <v>289</v>
      </c>
      <c r="DBK4" t="s">
        <v>289</v>
      </c>
      <c r="DBL4" t="s">
        <v>289</v>
      </c>
      <c r="DBM4" t="s">
        <v>289</v>
      </c>
      <c r="DBN4" t="s">
        <v>289</v>
      </c>
      <c r="DBO4" t="s">
        <v>289</v>
      </c>
      <c r="DBP4" t="s">
        <v>289</v>
      </c>
      <c r="DBQ4" t="s">
        <v>289</v>
      </c>
      <c r="DBR4" t="s">
        <v>289</v>
      </c>
      <c r="DBS4" t="s">
        <v>289</v>
      </c>
      <c r="DBT4" t="s">
        <v>289</v>
      </c>
      <c r="DBU4" t="s">
        <v>289</v>
      </c>
      <c r="DBV4" t="s">
        <v>289</v>
      </c>
      <c r="DBW4" t="s">
        <v>289</v>
      </c>
      <c r="DBX4" t="s">
        <v>289</v>
      </c>
      <c r="DBY4" t="s">
        <v>289</v>
      </c>
      <c r="DBZ4" t="s">
        <v>289</v>
      </c>
      <c r="DCA4" t="s">
        <v>289</v>
      </c>
      <c r="DCB4" t="s">
        <v>289</v>
      </c>
      <c r="DCC4" t="s">
        <v>289</v>
      </c>
      <c r="DCD4" t="s">
        <v>289</v>
      </c>
      <c r="DCE4" t="s">
        <v>289</v>
      </c>
      <c r="DCF4" t="s">
        <v>289</v>
      </c>
      <c r="DCG4" t="s">
        <v>289</v>
      </c>
      <c r="DCH4" t="s">
        <v>289</v>
      </c>
      <c r="DCI4" t="s">
        <v>289</v>
      </c>
      <c r="DCJ4" t="s">
        <v>289</v>
      </c>
      <c r="DCK4" t="s">
        <v>289</v>
      </c>
      <c r="DCL4" t="s">
        <v>289</v>
      </c>
      <c r="DCM4" t="s">
        <v>289</v>
      </c>
      <c r="DCN4" t="s">
        <v>289</v>
      </c>
      <c r="DCO4" t="s">
        <v>289</v>
      </c>
      <c r="DCP4" t="s">
        <v>289</v>
      </c>
      <c r="DCQ4" t="s">
        <v>289</v>
      </c>
      <c r="DCR4" t="s">
        <v>289</v>
      </c>
      <c r="DCS4" t="s">
        <v>289</v>
      </c>
      <c r="DCT4" t="s">
        <v>289</v>
      </c>
      <c r="DCU4" t="s">
        <v>289</v>
      </c>
      <c r="DCV4" t="s">
        <v>289</v>
      </c>
      <c r="DCW4" t="s">
        <v>289</v>
      </c>
      <c r="DCX4" t="s">
        <v>289</v>
      </c>
      <c r="DCY4" t="s">
        <v>289</v>
      </c>
      <c r="DCZ4" t="s">
        <v>289</v>
      </c>
      <c r="DDA4" t="s">
        <v>289</v>
      </c>
      <c r="DDB4" t="s">
        <v>289</v>
      </c>
      <c r="DDC4">
        <v>74.849999999999994</v>
      </c>
      <c r="DDD4">
        <v>-24.806000000000001</v>
      </c>
      <c r="DDE4">
        <v>77.051000000000002</v>
      </c>
      <c r="DDF4">
        <v>25.122</v>
      </c>
      <c r="DDG4">
        <v>-71.727999999999994</v>
      </c>
      <c r="DDH4">
        <v>50.856999999999999</v>
      </c>
      <c r="DDI4">
        <v>-45.026000000000003</v>
      </c>
      <c r="DDJ4">
        <v>26.709</v>
      </c>
      <c r="DDK4">
        <v>21.6</v>
      </c>
      <c r="DDL4">
        <v>150.30000000000001</v>
      </c>
      <c r="DDM4">
        <v>166.7</v>
      </c>
      <c r="DDN4">
        <v>136.1</v>
      </c>
      <c r="DDO4">
        <v>-51.8</v>
      </c>
      <c r="DDP4">
        <v>-118.6</v>
      </c>
      <c r="DDQ4">
        <v>52.8</v>
      </c>
      <c r="DDR4" t="s">
        <v>289</v>
      </c>
      <c r="DDS4" t="s">
        <v>289</v>
      </c>
      <c r="DDT4" t="s">
        <v>289</v>
      </c>
      <c r="DDU4" t="s">
        <v>289</v>
      </c>
      <c r="DDV4">
        <v>-24.471</v>
      </c>
      <c r="DDW4">
        <v>36.643999999999998</v>
      </c>
      <c r="DDX4">
        <v>-90.754000000000005</v>
      </c>
      <c r="DDY4">
        <v>11.169</v>
      </c>
      <c r="DDZ4">
        <v>83.784000000000006</v>
      </c>
      <c r="DEA4">
        <v>-2.3090000000000002</v>
      </c>
      <c r="DEB4">
        <v>-6.7990000000000004</v>
      </c>
      <c r="DEC4">
        <v>-8.1460000000000008</v>
      </c>
      <c r="DED4">
        <v>-19.8</v>
      </c>
      <c r="DEE4">
        <v>-39.1</v>
      </c>
      <c r="DEF4">
        <v>-7.8</v>
      </c>
      <c r="DEG4">
        <v>-122.4</v>
      </c>
      <c r="DEH4">
        <v>-31.8</v>
      </c>
      <c r="DEI4">
        <v>67.400000000000006</v>
      </c>
      <c r="DEJ4">
        <v>-75.400000000000006</v>
      </c>
      <c r="DEK4" t="s">
        <v>289</v>
      </c>
      <c r="DEL4" t="s">
        <v>289</v>
      </c>
      <c r="DEM4" t="s">
        <v>289</v>
      </c>
      <c r="DEN4" t="s">
        <v>289</v>
      </c>
      <c r="DEO4" t="s">
        <v>289</v>
      </c>
      <c r="DEP4" t="s">
        <v>289</v>
      </c>
      <c r="DEQ4" t="s">
        <v>289</v>
      </c>
      <c r="DER4" t="s">
        <v>289</v>
      </c>
      <c r="DES4" t="s">
        <v>289</v>
      </c>
      <c r="DET4" t="s">
        <v>289</v>
      </c>
      <c r="DEU4" t="s">
        <v>289</v>
      </c>
      <c r="DEV4" t="s">
        <v>289</v>
      </c>
      <c r="DEW4" t="s">
        <v>289</v>
      </c>
      <c r="DEX4" t="s">
        <v>289</v>
      </c>
      <c r="DEY4" t="s">
        <v>289</v>
      </c>
      <c r="DEZ4" t="s">
        <v>289</v>
      </c>
      <c r="DFA4" t="s">
        <v>289</v>
      </c>
      <c r="DFB4" t="s">
        <v>289</v>
      </c>
      <c r="DFC4" t="s">
        <v>289</v>
      </c>
      <c r="DFD4" t="s">
        <v>289</v>
      </c>
      <c r="DFE4" t="s">
        <v>289</v>
      </c>
      <c r="DFF4" t="s">
        <v>289</v>
      </c>
      <c r="DFG4" t="s">
        <v>289</v>
      </c>
      <c r="DFH4" t="s">
        <v>289</v>
      </c>
      <c r="DFI4" t="s">
        <v>289</v>
      </c>
      <c r="DFJ4" t="s">
        <v>289</v>
      </c>
      <c r="DFK4" t="s">
        <v>289</v>
      </c>
      <c r="DFL4" t="s">
        <v>289</v>
      </c>
      <c r="DFM4" t="s">
        <v>289</v>
      </c>
      <c r="DFN4" t="s">
        <v>289</v>
      </c>
      <c r="DFO4" t="s">
        <v>289</v>
      </c>
      <c r="DFP4" t="s">
        <v>289</v>
      </c>
      <c r="DFQ4" t="s">
        <v>289</v>
      </c>
      <c r="DFR4" t="s">
        <v>289</v>
      </c>
      <c r="DFS4" t="s">
        <v>289</v>
      </c>
      <c r="DFT4" t="s">
        <v>289</v>
      </c>
      <c r="DFU4" t="s">
        <v>289</v>
      </c>
      <c r="DFV4" t="s">
        <v>289</v>
      </c>
      <c r="DFW4" t="s">
        <v>289</v>
      </c>
      <c r="DFX4" t="s">
        <v>289</v>
      </c>
      <c r="DFY4" t="s">
        <v>289</v>
      </c>
      <c r="DFZ4" t="s">
        <v>289</v>
      </c>
      <c r="DGA4" t="s">
        <v>289</v>
      </c>
      <c r="DGB4" t="s">
        <v>289</v>
      </c>
      <c r="DGC4" t="s">
        <v>289</v>
      </c>
      <c r="DGD4" t="s">
        <v>289</v>
      </c>
      <c r="DGE4" t="s">
        <v>289</v>
      </c>
      <c r="DGF4" t="s">
        <v>289</v>
      </c>
      <c r="DGG4" t="s">
        <v>289</v>
      </c>
      <c r="DGH4" t="s">
        <v>289</v>
      </c>
      <c r="DGI4" t="s">
        <v>289</v>
      </c>
      <c r="DGJ4" t="s">
        <v>289</v>
      </c>
      <c r="DGK4" t="s">
        <v>289</v>
      </c>
      <c r="DGL4" t="s">
        <v>289</v>
      </c>
      <c r="DGM4" t="s">
        <v>289</v>
      </c>
      <c r="DGN4" t="s">
        <v>289</v>
      </c>
      <c r="DGO4" t="s">
        <v>289</v>
      </c>
      <c r="DGP4" t="s">
        <v>289</v>
      </c>
      <c r="DGQ4" t="s">
        <v>289</v>
      </c>
      <c r="DGR4" t="s">
        <v>289</v>
      </c>
      <c r="DGS4" t="s">
        <v>289</v>
      </c>
      <c r="DGT4" t="s">
        <v>289</v>
      </c>
      <c r="DGU4" t="s">
        <v>289</v>
      </c>
      <c r="DGV4" t="s">
        <v>289</v>
      </c>
      <c r="DGW4" t="s">
        <v>289</v>
      </c>
      <c r="DGX4" t="s">
        <v>289</v>
      </c>
      <c r="DGY4" t="s">
        <v>289</v>
      </c>
      <c r="DGZ4" t="s">
        <v>289</v>
      </c>
      <c r="DHA4" t="s">
        <v>289</v>
      </c>
      <c r="DHB4" t="s">
        <v>289</v>
      </c>
      <c r="DHC4" t="s">
        <v>289</v>
      </c>
      <c r="DHD4" t="s">
        <v>289</v>
      </c>
      <c r="DHE4" t="s">
        <v>289</v>
      </c>
      <c r="DHF4" t="s">
        <v>289</v>
      </c>
      <c r="DHG4" t="s">
        <v>289</v>
      </c>
      <c r="DHH4" t="s">
        <v>289</v>
      </c>
      <c r="DHI4" t="s">
        <v>289</v>
      </c>
      <c r="DHJ4" t="s">
        <v>289</v>
      </c>
      <c r="DHK4" t="s">
        <v>289</v>
      </c>
      <c r="DHL4" t="s">
        <v>289</v>
      </c>
      <c r="DHM4" t="s">
        <v>289</v>
      </c>
      <c r="DHN4" t="s">
        <v>289</v>
      </c>
      <c r="DHO4" t="s">
        <v>289</v>
      </c>
      <c r="DHP4" t="s">
        <v>289</v>
      </c>
      <c r="DHQ4" t="s">
        <v>289</v>
      </c>
      <c r="DHR4" t="s">
        <v>289</v>
      </c>
      <c r="DHS4" t="s">
        <v>289</v>
      </c>
      <c r="DHT4" t="s">
        <v>289</v>
      </c>
      <c r="DHU4" t="s">
        <v>289</v>
      </c>
      <c r="DHV4" t="s">
        <v>289</v>
      </c>
      <c r="DHW4" t="s">
        <v>289</v>
      </c>
      <c r="DHX4" t="s">
        <v>289</v>
      </c>
      <c r="DHY4" t="s">
        <v>289</v>
      </c>
      <c r="DHZ4" t="s">
        <v>289</v>
      </c>
      <c r="DIA4" t="s">
        <v>289</v>
      </c>
      <c r="DIB4" t="s">
        <v>289</v>
      </c>
      <c r="DIC4" t="s">
        <v>289</v>
      </c>
      <c r="DID4" t="s">
        <v>289</v>
      </c>
      <c r="DIE4" t="s">
        <v>289</v>
      </c>
      <c r="DIF4" t="s">
        <v>289</v>
      </c>
      <c r="DIG4" t="s">
        <v>289</v>
      </c>
      <c r="DIH4" t="s">
        <v>289</v>
      </c>
      <c r="DII4" t="s">
        <v>289</v>
      </c>
      <c r="DIJ4" t="s">
        <v>289</v>
      </c>
      <c r="DIK4" t="s">
        <v>289</v>
      </c>
      <c r="DIL4" t="s">
        <v>289</v>
      </c>
      <c r="DIM4" t="s">
        <v>289</v>
      </c>
      <c r="DIN4" t="s">
        <v>289</v>
      </c>
      <c r="DIO4" t="s">
        <v>289</v>
      </c>
      <c r="DIP4" t="s">
        <v>289</v>
      </c>
      <c r="DIQ4" t="s">
        <v>289</v>
      </c>
      <c r="DIR4" t="s">
        <v>289</v>
      </c>
      <c r="DIS4" t="s">
        <v>289</v>
      </c>
      <c r="DIT4" t="s">
        <v>289</v>
      </c>
      <c r="DIU4" t="s">
        <v>289</v>
      </c>
      <c r="DIV4" t="s">
        <v>289</v>
      </c>
      <c r="DIW4" t="s">
        <v>289</v>
      </c>
      <c r="DIX4" t="s">
        <v>289</v>
      </c>
      <c r="DIY4">
        <v>11.589</v>
      </c>
      <c r="DIZ4">
        <v>-25.093</v>
      </c>
      <c r="DJA4">
        <v>32.249000000000002</v>
      </c>
      <c r="DJB4">
        <v>-22.484000000000002</v>
      </c>
      <c r="DJC4">
        <v>0.50700000000000001</v>
      </c>
      <c r="DJD4">
        <v>-7.2709999999999999</v>
      </c>
      <c r="DJE4">
        <v>3.4239999999999999</v>
      </c>
      <c r="DJF4">
        <v>-21.841999999999999</v>
      </c>
      <c r="DJG4">
        <v>18.100000000000001</v>
      </c>
      <c r="DJH4">
        <v>-36.799999999999997</v>
      </c>
      <c r="DJI4">
        <v>-10.6</v>
      </c>
      <c r="DJJ4">
        <v>-37.5</v>
      </c>
      <c r="DJK4">
        <v>-33.299999999999997</v>
      </c>
      <c r="DJL4">
        <v>-4.8</v>
      </c>
      <c r="DJM4">
        <v>7.7</v>
      </c>
      <c r="DJN4" t="s">
        <v>289</v>
      </c>
      <c r="DJO4" t="s">
        <v>289</v>
      </c>
      <c r="DJP4" t="s">
        <v>289</v>
      </c>
      <c r="DJQ4" t="s">
        <v>289</v>
      </c>
      <c r="DJR4">
        <v>50.378999999999998</v>
      </c>
      <c r="DJS4">
        <v>11.837999999999999</v>
      </c>
      <c r="DJT4">
        <v>-13.702999999999999</v>
      </c>
      <c r="DJU4">
        <v>36.290999999999997</v>
      </c>
      <c r="DJV4">
        <v>8.6359999999999992</v>
      </c>
      <c r="DJW4">
        <v>48.548000000000002</v>
      </c>
      <c r="DJX4">
        <v>-51.825000000000003</v>
      </c>
      <c r="DJY4">
        <v>18.562999999999999</v>
      </c>
      <c r="DJZ4">
        <v>1.8</v>
      </c>
      <c r="DKA4">
        <v>111.2</v>
      </c>
      <c r="DKB4">
        <v>158.9</v>
      </c>
      <c r="DKC4">
        <v>82.5</v>
      </c>
      <c r="DKD4">
        <v>-35.200000000000003</v>
      </c>
      <c r="DKE4">
        <v>-104</v>
      </c>
      <c r="DKF4">
        <v>48.1</v>
      </c>
      <c r="DKG4" t="s">
        <v>289</v>
      </c>
      <c r="DKH4" t="s">
        <v>289</v>
      </c>
      <c r="DKI4" t="s">
        <v>289</v>
      </c>
      <c r="DKJ4" t="s">
        <v>289</v>
      </c>
      <c r="DKK4">
        <v>50.378999999999998</v>
      </c>
      <c r="DKL4">
        <v>11.837999999999999</v>
      </c>
      <c r="DKM4">
        <v>-13.702999999999999</v>
      </c>
      <c r="DKN4">
        <v>36.290999999999997</v>
      </c>
      <c r="DKO4">
        <v>8.6359999999999992</v>
      </c>
      <c r="DKP4">
        <v>48.548000000000002</v>
      </c>
      <c r="DKQ4">
        <v>-51.825000000000003</v>
      </c>
      <c r="DKR4">
        <v>18.562999999999999</v>
      </c>
      <c r="DKS4">
        <v>1.8</v>
      </c>
      <c r="DKT4">
        <v>111.2</v>
      </c>
      <c r="DKU4">
        <v>158.9</v>
      </c>
      <c r="DKV4">
        <v>82.5</v>
      </c>
      <c r="DKW4">
        <v>-35.200000000000003</v>
      </c>
      <c r="DKX4">
        <v>-104</v>
      </c>
      <c r="DKY4">
        <v>48.1</v>
      </c>
      <c r="DKZ4" t="s">
        <v>289</v>
      </c>
      <c r="DLA4" t="s">
        <v>289</v>
      </c>
      <c r="DLB4" t="s">
        <v>289</v>
      </c>
      <c r="DLC4" t="s">
        <v>289</v>
      </c>
      <c r="DLD4" t="s">
        <v>289</v>
      </c>
      <c r="DLE4" t="s">
        <v>289</v>
      </c>
      <c r="DLF4" t="s">
        <v>289</v>
      </c>
      <c r="DLG4" t="s">
        <v>289</v>
      </c>
      <c r="DLH4" t="s">
        <v>289</v>
      </c>
      <c r="DLI4" t="s">
        <v>289</v>
      </c>
      <c r="DLJ4" t="s">
        <v>289</v>
      </c>
      <c r="DLK4" t="s">
        <v>289</v>
      </c>
      <c r="DLL4" t="s">
        <v>289</v>
      </c>
      <c r="DLM4" t="s">
        <v>289</v>
      </c>
      <c r="DLN4" t="s">
        <v>289</v>
      </c>
      <c r="DLO4" t="s">
        <v>289</v>
      </c>
      <c r="DLP4" t="s">
        <v>289</v>
      </c>
      <c r="DLQ4" t="s">
        <v>289</v>
      </c>
      <c r="DLR4" t="s">
        <v>289</v>
      </c>
      <c r="DLS4" t="s">
        <v>289</v>
      </c>
      <c r="DLT4" t="s">
        <v>289</v>
      </c>
      <c r="DLU4" t="s">
        <v>289</v>
      </c>
      <c r="DLV4" t="s">
        <v>289</v>
      </c>
      <c r="DLW4">
        <v>61.968000000000004</v>
      </c>
      <c r="DLX4">
        <v>-13.255000000000001</v>
      </c>
      <c r="DLY4">
        <v>18.545999999999999</v>
      </c>
      <c r="DLZ4">
        <v>13.807</v>
      </c>
      <c r="DMA4">
        <v>9.1430000000000007</v>
      </c>
      <c r="DMB4">
        <v>41.277000000000001</v>
      </c>
      <c r="DMC4">
        <v>-48.401000000000003</v>
      </c>
      <c r="DMD4">
        <v>-3.2789999999999999</v>
      </c>
      <c r="DME4">
        <v>19.899999999999999</v>
      </c>
      <c r="DMF4">
        <v>74.400000000000006</v>
      </c>
      <c r="DMG4">
        <v>148.30000000000001</v>
      </c>
      <c r="DMH4">
        <v>45</v>
      </c>
      <c r="DMI4">
        <v>-68.5</v>
      </c>
      <c r="DMJ4">
        <v>-108.8</v>
      </c>
      <c r="DMK4">
        <v>55.8</v>
      </c>
      <c r="DML4" t="s">
        <v>289</v>
      </c>
      <c r="DMM4" t="s">
        <v>289</v>
      </c>
      <c r="DMN4" t="s">
        <v>289</v>
      </c>
      <c r="DMO4" t="s">
        <v>289</v>
      </c>
      <c r="DMP4" t="s">
        <v>289</v>
      </c>
      <c r="DMQ4" t="s">
        <v>289</v>
      </c>
      <c r="DMR4" t="s">
        <v>289</v>
      </c>
      <c r="DMS4" t="s">
        <v>289</v>
      </c>
      <c r="DMT4" t="s">
        <v>289</v>
      </c>
      <c r="DMU4" t="s">
        <v>289</v>
      </c>
      <c r="DMV4" t="s">
        <v>289</v>
      </c>
      <c r="DMW4" t="s">
        <v>289</v>
      </c>
      <c r="DMX4" t="s">
        <v>289</v>
      </c>
      <c r="DMY4" t="s">
        <v>289</v>
      </c>
      <c r="DMZ4" t="s">
        <v>289</v>
      </c>
      <c r="DNA4" t="s">
        <v>289</v>
      </c>
      <c r="DNB4" t="s">
        <v>289</v>
      </c>
      <c r="DNC4" t="s">
        <v>289</v>
      </c>
      <c r="DND4" t="s">
        <v>289</v>
      </c>
      <c r="DNE4" t="s">
        <v>289</v>
      </c>
      <c r="DNF4" t="s">
        <v>289</v>
      </c>
      <c r="DNG4" t="s">
        <v>289</v>
      </c>
      <c r="DNH4" t="s">
        <v>289</v>
      </c>
      <c r="DNI4" t="s">
        <v>289</v>
      </c>
      <c r="DNJ4" t="s">
        <v>289</v>
      </c>
      <c r="DNK4" t="s">
        <v>289</v>
      </c>
      <c r="DNL4" t="s">
        <v>289</v>
      </c>
      <c r="DNM4" t="s">
        <v>289</v>
      </c>
      <c r="DNN4" t="s">
        <v>289</v>
      </c>
      <c r="DNO4" t="s">
        <v>289</v>
      </c>
      <c r="DNP4" t="s">
        <v>289</v>
      </c>
      <c r="DNQ4" t="s">
        <v>289</v>
      </c>
      <c r="DNR4" t="s">
        <v>289</v>
      </c>
      <c r="DNS4" t="s">
        <v>289</v>
      </c>
      <c r="DNT4" t="s">
        <v>289</v>
      </c>
      <c r="DNU4" t="s">
        <v>289</v>
      </c>
      <c r="DNV4" t="s">
        <v>289</v>
      </c>
      <c r="DNW4" t="s">
        <v>289</v>
      </c>
      <c r="DNX4" t="s">
        <v>289</v>
      </c>
      <c r="DNY4" t="s">
        <v>289</v>
      </c>
      <c r="DNZ4" t="s">
        <v>289</v>
      </c>
      <c r="DOA4" t="s">
        <v>289</v>
      </c>
      <c r="DOB4" t="s">
        <v>289</v>
      </c>
      <c r="DOC4">
        <v>1.7869999999999999</v>
      </c>
      <c r="DOD4">
        <v>-1.6679999999999999</v>
      </c>
      <c r="DOE4">
        <v>0.751</v>
      </c>
      <c r="DOF4">
        <v>-0.86799999999999999</v>
      </c>
      <c r="DOG4">
        <v>0.14899999999999999</v>
      </c>
      <c r="DOH4">
        <v>1.1060000000000001</v>
      </c>
      <c r="DOI4">
        <v>1.472</v>
      </c>
      <c r="DOJ4">
        <v>0.9</v>
      </c>
      <c r="DOK4">
        <v>1.1000000000000001</v>
      </c>
      <c r="DOL4">
        <v>0.7</v>
      </c>
      <c r="DOM4">
        <v>7.9</v>
      </c>
      <c r="DON4">
        <v>12.5</v>
      </c>
      <c r="DOO4">
        <v>9.1999999999999993</v>
      </c>
      <c r="DOP4">
        <v>9</v>
      </c>
      <c r="DOQ4" t="s">
        <v>289</v>
      </c>
      <c r="DOR4" t="s">
        <v>289</v>
      </c>
      <c r="DOS4" t="s">
        <v>289</v>
      </c>
      <c r="DOT4" t="s">
        <v>289</v>
      </c>
      <c r="DOU4">
        <v>13.497999999999999</v>
      </c>
      <c r="DOV4">
        <v>22.753</v>
      </c>
      <c r="DOW4">
        <v>19.774000000000001</v>
      </c>
      <c r="DOX4">
        <v>13.843</v>
      </c>
      <c r="DOY4">
        <v>17.873999999999999</v>
      </c>
      <c r="DOZ4">
        <v>34.908000000000001</v>
      </c>
      <c r="DPA4">
        <v>32.258000000000003</v>
      </c>
      <c r="DPB4">
        <v>31.937999999999999</v>
      </c>
      <c r="DPC4">
        <v>32.299999999999997</v>
      </c>
      <c r="DPD4">
        <v>32.6</v>
      </c>
      <c r="DPE4">
        <v>49.8</v>
      </c>
      <c r="DPF4">
        <v>42.2</v>
      </c>
      <c r="DPG4">
        <v>52</v>
      </c>
      <c r="DPH4">
        <v>82.3</v>
      </c>
      <c r="DPI4">
        <v>118</v>
      </c>
      <c r="DPJ4" t="s">
        <v>289</v>
      </c>
      <c r="DPK4" t="s">
        <v>289</v>
      </c>
      <c r="DPL4" t="s">
        <v>289</v>
      </c>
      <c r="DPM4" t="s">
        <v>289</v>
      </c>
      <c r="DPN4" t="s">
        <v>289</v>
      </c>
      <c r="DPO4" t="s">
        <v>289</v>
      </c>
      <c r="DPP4" t="s">
        <v>289</v>
      </c>
      <c r="DPQ4" t="s">
        <v>289</v>
      </c>
      <c r="DPR4">
        <v>2.4E-2</v>
      </c>
      <c r="DPS4">
        <v>0.20399999999999999</v>
      </c>
      <c r="DPT4">
        <v>6.9000000000000006E-2</v>
      </c>
      <c r="DPU4" t="s">
        <v>289</v>
      </c>
      <c r="DPV4" t="s">
        <v>289</v>
      </c>
      <c r="DPW4" t="s">
        <v>289</v>
      </c>
      <c r="DPX4">
        <v>-0.1</v>
      </c>
      <c r="DPY4">
        <v>0.4</v>
      </c>
      <c r="DPZ4">
        <v>0.9</v>
      </c>
      <c r="DQA4">
        <v>0</v>
      </c>
      <c r="DQB4" t="s">
        <v>289</v>
      </c>
      <c r="DQC4" t="s">
        <v>289</v>
      </c>
    </row>
    <row r="5" spans="2:3149">
      <c r="B5" t="s">
        <v>3796</v>
      </c>
      <c r="C5" t="s">
        <v>3804</v>
      </c>
      <c r="D5" t="s">
        <v>3809</v>
      </c>
      <c r="E5" s="100">
        <v>44531</v>
      </c>
      <c r="F5" t="s">
        <v>3629</v>
      </c>
      <c r="G5">
        <v>56.63</v>
      </c>
      <c r="H5">
        <v>56.63</v>
      </c>
      <c r="I5">
        <v>60584.8946</v>
      </c>
      <c r="J5">
        <v>60584.8946</v>
      </c>
      <c r="K5" t="s">
        <v>289</v>
      </c>
      <c r="L5" t="s">
        <v>289</v>
      </c>
      <c r="M5" t="s">
        <v>289</v>
      </c>
      <c r="N5" t="s">
        <v>289</v>
      </c>
      <c r="O5" t="s">
        <v>289</v>
      </c>
      <c r="P5" t="s">
        <v>289</v>
      </c>
      <c r="Q5" t="s">
        <v>289</v>
      </c>
      <c r="R5" t="s">
        <v>289</v>
      </c>
      <c r="S5" t="s">
        <v>289</v>
      </c>
      <c r="T5" t="s">
        <v>289</v>
      </c>
      <c r="U5" t="s">
        <v>289</v>
      </c>
      <c r="V5" t="s">
        <v>289</v>
      </c>
      <c r="W5" t="s">
        <v>289</v>
      </c>
      <c r="X5" t="s">
        <v>289</v>
      </c>
      <c r="Y5" t="s">
        <v>289</v>
      </c>
      <c r="Z5" t="s">
        <v>289</v>
      </c>
      <c r="AA5" t="s">
        <v>289</v>
      </c>
      <c r="AB5" t="s">
        <v>289</v>
      </c>
      <c r="AC5" t="s">
        <v>289</v>
      </c>
      <c r="AD5" t="s">
        <v>289</v>
      </c>
      <c r="AE5" t="s">
        <v>289</v>
      </c>
      <c r="AF5" t="s">
        <v>289</v>
      </c>
      <c r="AG5" t="s">
        <v>289</v>
      </c>
      <c r="AH5" t="s">
        <v>289</v>
      </c>
      <c r="AI5" t="s">
        <v>289</v>
      </c>
      <c r="AJ5" t="s">
        <v>289</v>
      </c>
      <c r="AK5" t="s">
        <v>289</v>
      </c>
      <c r="AL5" t="s">
        <v>289</v>
      </c>
      <c r="AM5" t="s">
        <v>289</v>
      </c>
      <c r="AN5" t="s">
        <v>289</v>
      </c>
      <c r="AO5" t="s">
        <v>289</v>
      </c>
      <c r="AP5" t="s">
        <v>289</v>
      </c>
      <c r="AQ5" t="s">
        <v>289</v>
      </c>
      <c r="AR5" t="s">
        <v>289</v>
      </c>
      <c r="AS5" t="s">
        <v>289</v>
      </c>
      <c r="AT5" t="s">
        <v>289</v>
      </c>
      <c r="AU5" t="s">
        <v>289</v>
      </c>
      <c r="AV5" t="s">
        <v>289</v>
      </c>
      <c r="AW5" t="s">
        <v>289</v>
      </c>
      <c r="AX5" t="s">
        <v>289</v>
      </c>
      <c r="AY5" t="s">
        <v>289</v>
      </c>
      <c r="AZ5" t="s">
        <v>289</v>
      </c>
      <c r="BA5" t="s">
        <v>289</v>
      </c>
      <c r="BB5" t="s">
        <v>289</v>
      </c>
      <c r="BC5" t="s">
        <v>289</v>
      </c>
      <c r="BD5" t="s">
        <v>289</v>
      </c>
      <c r="BE5" t="s">
        <v>289</v>
      </c>
      <c r="BF5" t="s">
        <v>289</v>
      </c>
      <c r="BG5" t="s">
        <v>289</v>
      </c>
      <c r="BH5" t="s">
        <v>289</v>
      </c>
      <c r="BI5" t="s">
        <v>289</v>
      </c>
      <c r="BJ5" t="s">
        <v>289</v>
      </c>
      <c r="BK5" t="s">
        <v>289</v>
      </c>
      <c r="BL5" t="s">
        <v>289</v>
      </c>
      <c r="BM5" t="s">
        <v>289</v>
      </c>
      <c r="BN5" t="s">
        <v>289</v>
      </c>
      <c r="BO5" t="s">
        <v>289</v>
      </c>
      <c r="BP5" t="s">
        <v>289</v>
      </c>
      <c r="BQ5" t="s">
        <v>289</v>
      </c>
      <c r="BR5" t="s">
        <v>289</v>
      </c>
      <c r="BS5" t="s">
        <v>289</v>
      </c>
      <c r="BT5" t="s">
        <v>289</v>
      </c>
      <c r="BU5" t="s">
        <v>289</v>
      </c>
      <c r="BV5" t="s">
        <v>289</v>
      </c>
      <c r="BW5" t="s">
        <v>289</v>
      </c>
      <c r="BX5" t="s">
        <v>289</v>
      </c>
      <c r="BY5" t="s">
        <v>289</v>
      </c>
      <c r="BZ5" t="s">
        <v>289</v>
      </c>
      <c r="CA5" t="s">
        <v>289</v>
      </c>
      <c r="CB5" t="s">
        <v>289</v>
      </c>
      <c r="CC5" t="s">
        <v>289</v>
      </c>
      <c r="CD5" t="s">
        <v>289</v>
      </c>
      <c r="CE5" t="s">
        <v>289</v>
      </c>
      <c r="CF5" t="s">
        <v>289</v>
      </c>
      <c r="CG5" t="s">
        <v>289</v>
      </c>
      <c r="CH5" t="s">
        <v>289</v>
      </c>
      <c r="CI5" t="s">
        <v>289</v>
      </c>
      <c r="CJ5" t="s">
        <v>289</v>
      </c>
      <c r="CK5" t="s">
        <v>289</v>
      </c>
      <c r="CL5" t="s">
        <v>289</v>
      </c>
      <c r="CM5" t="s">
        <v>289</v>
      </c>
      <c r="CN5" t="s">
        <v>289</v>
      </c>
      <c r="CO5" t="s">
        <v>289</v>
      </c>
      <c r="CP5" t="s">
        <v>289</v>
      </c>
      <c r="CQ5" t="s">
        <v>289</v>
      </c>
      <c r="CR5" t="s">
        <v>289</v>
      </c>
      <c r="CS5" t="s">
        <v>289</v>
      </c>
      <c r="CT5" t="s">
        <v>289</v>
      </c>
      <c r="CU5" t="s">
        <v>289</v>
      </c>
      <c r="CV5" t="s">
        <v>289</v>
      </c>
      <c r="CW5" t="s">
        <v>289</v>
      </c>
      <c r="CX5" t="s">
        <v>289</v>
      </c>
      <c r="CY5" t="s">
        <v>289</v>
      </c>
      <c r="CZ5" t="s">
        <v>289</v>
      </c>
      <c r="DA5" t="s">
        <v>289</v>
      </c>
      <c r="DB5" t="s">
        <v>289</v>
      </c>
      <c r="DC5" t="s">
        <v>289</v>
      </c>
      <c r="DD5" t="s">
        <v>289</v>
      </c>
      <c r="DE5" t="s">
        <v>289</v>
      </c>
      <c r="DF5" t="s">
        <v>289</v>
      </c>
      <c r="DG5" t="s">
        <v>289</v>
      </c>
      <c r="DH5" t="s">
        <v>289</v>
      </c>
      <c r="DI5" t="s">
        <v>289</v>
      </c>
      <c r="DJ5" t="s">
        <v>289</v>
      </c>
      <c r="DK5" t="s">
        <v>289</v>
      </c>
      <c r="DL5" t="s">
        <v>289</v>
      </c>
      <c r="DM5" t="s">
        <v>289</v>
      </c>
      <c r="DN5" t="s">
        <v>289</v>
      </c>
      <c r="DO5" t="s">
        <v>289</v>
      </c>
      <c r="DP5" t="s">
        <v>289</v>
      </c>
      <c r="DQ5" t="s">
        <v>289</v>
      </c>
      <c r="DR5" t="s">
        <v>289</v>
      </c>
      <c r="DS5" t="s">
        <v>289</v>
      </c>
      <c r="DT5" t="s">
        <v>289</v>
      </c>
      <c r="DU5" t="s">
        <v>289</v>
      </c>
      <c r="DV5" t="s">
        <v>289</v>
      </c>
      <c r="DW5" t="s">
        <v>289</v>
      </c>
      <c r="DX5" t="s">
        <v>289</v>
      </c>
      <c r="DY5" t="s">
        <v>289</v>
      </c>
      <c r="DZ5" t="s">
        <v>289</v>
      </c>
      <c r="EA5" t="s">
        <v>289</v>
      </c>
      <c r="EB5" t="s">
        <v>289</v>
      </c>
      <c r="EC5" t="s">
        <v>289</v>
      </c>
      <c r="ED5" t="s">
        <v>289</v>
      </c>
      <c r="EE5" t="s">
        <v>289</v>
      </c>
      <c r="EF5" t="s">
        <v>289</v>
      </c>
      <c r="EG5" t="s">
        <v>289</v>
      </c>
      <c r="EH5" t="s">
        <v>289</v>
      </c>
      <c r="EI5" t="s">
        <v>289</v>
      </c>
      <c r="EJ5" t="s">
        <v>289</v>
      </c>
      <c r="EK5" t="s">
        <v>289</v>
      </c>
      <c r="EL5" t="s">
        <v>289</v>
      </c>
      <c r="EM5" t="s">
        <v>289</v>
      </c>
      <c r="EN5" t="s">
        <v>289</v>
      </c>
      <c r="EO5" t="s">
        <v>289</v>
      </c>
      <c r="EP5" t="s">
        <v>289</v>
      </c>
      <c r="EQ5" t="s">
        <v>289</v>
      </c>
      <c r="ER5" t="s">
        <v>289</v>
      </c>
      <c r="ES5" t="s">
        <v>289</v>
      </c>
      <c r="ET5" t="s">
        <v>289</v>
      </c>
      <c r="EU5" t="s">
        <v>289</v>
      </c>
      <c r="EV5" t="s">
        <v>289</v>
      </c>
      <c r="EW5" t="s">
        <v>289</v>
      </c>
      <c r="EX5" t="s">
        <v>289</v>
      </c>
      <c r="EY5" t="s">
        <v>289</v>
      </c>
      <c r="EZ5" t="s">
        <v>289</v>
      </c>
      <c r="FA5" t="s">
        <v>289</v>
      </c>
      <c r="FB5" t="s">
        <v>289</v>
      </c>
      <c r="FC5" t="s">
        <v>289</v>
      </c>
      <c r="FD5" t="s">
        <v>289</v>
      </c>
      <c r="FE5" t="s">
        <v>289</v>
      </c>
      <c r="FF5" t="s">
        <v>289</v>
      </c>
      <c r="FG5" t="s">
        <v>289</v>
      </c>
      <c r="FH5" t="s">
        <v>289</v>
      </c>
      <c r="FI5" t="s">
        <v>289</v>
      </c>
      <c r="FJ5" t="s">
        <v>289</v>
      </c>
      <c r="FK5" t="s">
        <v>289</v>
      </c>
      <c r="FL5" t="s">
        <v>289</v>
      </c>
      <c r="FM5" t="s">
        <v>289</v>
      </c>
      <c r="FN5" t="s">
        <v>289</v>
      </c>
      <c r="FO5" t="s">
        <v>289</v>
      </c>
      <c r="FP5" t="s">
        <v>289</v>
      </c>
      <c r="FQ5" t="s">
        <v>289</v>
      </c>
      <c r="FR5" t="s">
        <v>289</v>
      </c>
      <c r="FS5" t="s">
        <v>289</v>
      </c>
      <c r="FT5" t="s">
        <v>289</v>
      </c>
      <c r="FU5" t="s">
        <v>289</v>
      </c>
      <c r="FV5" t="s">
        <v>289</v>
      </c>
      <c r="FW5" t="s">
        <v>289</v>
      </c>
      <c r="FX5" t="s">
        <v>289</v>
      </c>
      <c r="FY5" t="s">
        <v>289</v>
      </c>
      <c r="FZ5" t="s">
        <v>289</v>
      </c>
      <c r="GA5" t="s">
        <v>289</v>
      </c>
      <c r="GB5" t="s">
        <v>289</v>
      </c>
      <c r="GC5" t="s">
        <v>289</v>
      </c>
      <c r="GD5" t="s">
        <v>289</v>
      </c>
      <c r="GE5" t="s">
        <v>289</v>
      </c>
      <c r="GF5" t="s">
        <v>289</v>
      </c>
      <c r="GG5" t="s">
        <v>289</v>
      </c>
      <c r="GH5" t="s">
        <v>289</v>
      </c>
      <c r="GI5" t="s">
        <v>289</v>
      </c>
      <c r="GJ5" t="s">
        <v>289</v>
      </c>
      <c r="GK5" t="s">
        <v>289</v>
      </c>
      <c r="GL5" t="s">
        <v>289</v>
      </c>
      <c r="GM5" t="s">
        <v>289</v>
      </c>
      <c r="GN5" t="s">
        <v>289</v>
      </c>
      <c r="GO5" t="s">
        <v>289</v>
      </c>
      <c r="GP5" t="s">
        <v>289</v>
      </c>
      <c r="GQ5" t="s">
        <v>289</v>
      </c>
      <c r="GR5" t="s">
        <v>289</v>
      </c>
      <c r="GS5" t="s">
        <v>289</v>
      </c>
      <c r="GT5" t="s">
        <v>289</v>
      </c>
      <c r="GU5" t="s">
        <v>289</v>
      </c>
      <c r="GV5" t="s">
        <v>289</v>
      </c>
      <c r="GW5" t="s">
        <v>289</v>
      </c>
      <c r="GX5" t="s">
        <v>289</v>
      </c>
      <c r="GY5" t="s">
        <v>289</v>
      </c>
      <c r="GZ5" t="s">
        <v>289</v>
      </c>
      <c r="HA5" t="s">
        <v>289</v>
      </c>
      <c r="HB5" t="s">
        <v>289</v>
      </c>
      <c r="HC5" t="s">
        <v>289</v>
      </c>
      <c r="HD5" t="s">
        <v>289</v>
      </c>
      <c r="HE5" t="s">
        <v>289</v>
      </c>
      <c r="HF5" t="s">
        <v>289</v>
      </c>
      <c r="HG5" t="s">
        <v>289</v>
      </c>
      <c r="HH5" t="s">
        <v>289</v>
      </c>
      <c r="HI5" t="s">
        <v>289</v>
      </c>
      <c r="HJ5" t="s">
        <v>289</v>
      </c>
      <c r="HK5" t="s">
        <v>289</v>
      </c>
      <c r="HL5" t="s">
        <v>289</v>
      </c>
      <c r="HM5" t="s">
        <v>289</v>
      </c>
      <c r="HN5" t="s">
        <v>289</v>
      </c>
      <c r="HO5" t="s">
        <v>289</v>
      </c>
      <c r="HP5" t="s">
        <v>289</v>
      </c>
      <c r="HQ5" t="s">
        <v>289</v>
      </c>
      <c r="HR5" t="s">
        <v>289</v>
      </c>
      <c r="HS5" t="s">
        <v>289</v>
      </c>
      <c r="HT5" t="s">
        <v>289</v>
      </c>
      <c r="HU5" t="s">
        <v>289</v>
      </c>
      <c r="HV5" t="s">
        <v>289</v>
      </c>
      <c r="HW5" t="s">
        <v>289</v>
      </c>
      <c r="HX5" t="s">
        <v>289</v>
      </c>
      <c r="HY5" t="s">
        <v>289</v>
      </c>
      <c r="HZ5" t="s">
        <v>289</v>
      </c>
      <c r="IA5" t="s">
        <v>289</v>
      </c>
      <c r="IB5" t="s">
        <v>289</v>
      </c>
      <c r="IC5" t="s">
        <v>289</v>
      </c>
      <c r="ID5" t="s">
        <v>289</v>
      </c>
      <c r="IE5" t="s">
        <v>289</v>
      </c>
      <c r="IF5" t="s">
        <v>289</v>
      </c>
      <c r="IG5" t="s">
        <v>289</v>
      </c>
      <c r="IH5" t="s">
        <v>289</v>
      </c>
      <c r="II5" t="s">
        <v>289</v>
      </c>
      <c r="IJ5" t="s">
        <v>289</v>
      </c>
      <c r="IK5" t="s">
        <v>289</v>
      </c>
      <c r="IL5" t="s">
        <v>289</v>
      </c>
      <c r="IM5" t="s">
        <v>289</v>
      </c>
      <c r="IN5" t="s">
        <v>289</v>
      </c>
      <c r="IO5" t="s">
        <v>289</v>
      </c>
      <c r="IP5" t="s">
        <v>289</v>
      </c>
      <c r="IQ5" t="s">
        <v>289</v>
      </c>
      <c r="IR5" t="s">
        <v>289</v>
      </c>
      <c r="IS5" t="s">
        <v>289</v>
      </c>
      <c r="IT5" t="s">
        <v>289</v>
      </c>
      <c r="IU5" t="s">
        <v>289</v>
      </c>
      <c r="IV5" t="s">
        <v>289</v>
      </c>
      <c r="IW5" t="s">
        <v>289</v>
      </c>
      <c r="IX5" t="s">
        <v>289</v>
      </c>
      <c r="IY5" t="s">
        <v>289</v>
      </c>
      <c r="IZ5" t="s">
        <v>289</v>
      </c>
      <c r="JA5" t="s">
        <v>289</v>
      </c>
      <c r="JB5" t="s">
        <v>289</v>
      </c>
      <c r="JC5" t="s">
        <v>289</v>
      </c>
      <c r="JD5" t="s">
        <v>289</v>
      </c>
      <c r="JE5" t="s">
        <v>289</v>
      </c>
      <c r="JF5" t="s">
        <v>289</v>
      </c>
      <c r="JG5" t="s">
        <v>289</v>
      </c>
      <c r="JH5" t="s">
        <v>289</v>
      </c>
      <c r="JI5" t="s">
        <v>289</v>
      </c>
      <c r="JJ5" t="s">
        <v>289</v>
      </c>
      <c r="JK5" t="s">
        <v>289</v>
      </c>
      <c r="JL5" t="s">
        <v>289</v>
      </c>
      <c r="JM5" t="s">
        <v>289</v>
      </c>
      <c r="JN5" t="s">
        <v>289</v>
      </c>
      <c r="JO5" t="s">
        <v>289</v>
      </c>
      <c r="JP5" t="s">
        <v>289</v>
      </c>
      <c r="JQ5">
        <v>7771</v>
      </c>
      <c r="JR5">
        <v>7711</v>
      </c>
      <c r="JS5">
        <v>8409</v>
      </c>
      <c r="JT5">
        <v>15631</v>
      </c>
      <c r="JU5">
        <v>6912</v>
      </c>
      <c r="JV5">
        <v>9800</v>
      </c>
      <c r="JW5">
        <v>10903</v>
      </c>
      <c r="JX5">
        <v>9576</v>
      </c>
      <c r="JY5">
        <v>10996</v>
      </c>
      <c r="JZ5">
        <v>11053</v>
      </c>
      <c r="KA5">
        <v>9667</v>
      </c>
      <c r="KB5">
        <v>9936</v>
      </c>
      <c r="KC5">
        <v>10981</v>
      </c>
      <c r="KD5">
        <v>12072</v>
      </c>
      <c r="KE5">
        <v>15853</v>
      </c>
      <c r="KF5">
        <v>18883</v>
      </c>
      <c r="KG5">
        <v>23048</v>
      </c>
      <c r="KH5">
        <v>23120</v>
      </c>
      <c r="KI5" t="s">
        <v>289</v>
      </c>
      <c r="KJ5" t="s">
        <v>289</v>
      </c>
      <c r="KK5" t="s">
        <v>289</v>
      </c>
      <c r="KL5" t="s">
        <v>289</v>
      </c>
      <c r="KM5" t="s">
        <v>289</v>
      </c>
      <c r="KN5" t="s">
        <v>289</v>
      </c>
      <c r="KO5" t="s">
        <v>289</v>
      </c>
      <c r="KP5" t="s">
        <v>289</v>
      </c>
      <c r="KQ5" t="s">
        <v>289</v>
      </c>
      <c r="KR5" t="s">
        <v>289</v>
      </c>
      <c r="KS5" t="s">
        <v>289</v>
      </c>
      <c r="KT5" t="s">
        <v>289</v>
      </c>
      <c r="KU5" t="s">
        <v>289</v>
      </c>
      <c r="KV5" t="s">
        <v>289</v>
      </c>
      <c r="KW5" t="s">
        <v>289</v>
      </c>
      <c r="KX5" t="s">
        <v>289</v>
      </c>
      <c r="KY5" t="s">
        <v>289</v>
      </c>
      <c r="KZ5" t="s">
        <v>289</v>
      </c>
      <c r="LA5" t="s">
        <v>289</v>
      </c>
      <c r="LB5" t="s">
        <v>289</v>
      </c>
      <c r="LC5" t="s">
        <v>289</v>
      </c>
      <c r="LD5" t="s">
        <v>289</v>
      </c>
      <c r="LE5" t="s">
        <v>289</v>
      </c>
      <c r="LF5" t="s">
        <v>289</v>
      </c>
      <c r="LG5" t="s">
        <v>289</v>
      </c>
      <c r="LH5" t="s">
        <v>289</v>
      </c>
      <c r="LI5" t="s">
        <v>289</v>
      </c>
      <c r="LJ5" t="s">
        <v>289</v>
      </c>
      <c r="LK5" t="s">
        <v>289</v>
      </c>
      <c r="LL5" t="s">
        <v>289</v>
      </c>
      <c r="LM5" t="s">
        <v>289</v>
      </c>
      <c r="LN5" t="s">
        <v>289</v>
      </c>
      <c r="LO5" t="s">
        <v>289</v>
      </c>
      <c r="LP5" t="s">
        <v>289</v>
      </c>
      <c r="LQ5" t="s">
        <v>289</v>
      </c>
      <c r="LR5" t="s">
        <v>289</v>
      </c>
      <c r="LS5" t="s">
        <v>289</v>
      </c>
      <c r="LT5" t="s">
        <v>289</v>
      </c>
      <c r="LU5" t="s">
        <v>289</v>
      </c>
      <c r="LV5">
        <v>4130</v>
      </c>
      <c r="LW5">
        <v>7249</v>
      </c>
      <c r="LX5" t="s">
        <v>289</v>
      </c>
      <c r="LY5" t="s">
        <v>289</v>
      </c>
      <c r="LZ5" t="s">
        <v>289</v>
      </c>
      <c r="MA5" t="s">
        <v>289</v>
      </c>
      <c r="MB5" t="s">
        <v>289</v>
      </c>
      <c r="MC5" t="s">
        <v>289</v>
      </c>
      <c r="MD5" t="s">
        <v>289</v>
      </c>
      <c r="ME5" t="s">
        <v>289</v>
      </c>
      <c r="MF5" t="s">
        <v>289</v>
      </c>
      <c r="MG5" t="s">
        <v>289</v>
      </c>
      <c r="MH5" t="s">
        <v>289</v>
      </c>
      <c r="MI5" t="s">
        <v>289</v>
      </c>
      <c r="MJ5" t="s">
        <v>289</v>
      </c>
      <c r="MK5" t="s">
        <v>289</v>
      </c>
      <c r="ML5" t="s">
        <v>289</v>
      </c>
      <c r="MM5" t="s">
        <v>289</v>
      </c>
      <c r="MN5" t="s">
        <v>289</v>
      </c>
      <c r="MO5" t="s">
        <v>289</v>
      </c>
      <c r="MP5" t="s">
        <v>289</v>
      </c>
      <c r="MQ5">
        <v>5000</v>
      </c>
      <c r="MR5">
        <v>1882</v>
      </c>
      <c r="MS5">
        <v>2828</v>
      </c>
      <c r="MT5">
        <v>2233</v>
      </c>
      <c r="MU5">
        <v>2613</v>
      </c>
      <c r="MV5">
        <v>2772</v>
      </c>
      <c r="MW5">
        <v>2733</v>
      </c>
      <c r="MX5">
        <v>1829</v>
      </c>
      <c r="MY5">
        <v>4124</v>
      </c>
      <c r="MZ5">
        <v>3284</v>
      </c>
      <c r="NA5">
        <v>3870</v>
      </c>
      <c r="NB5">
        <v>2844</v>
      </c>
      <c r="NC5">
        <v>4021</v>
      </c>
      <c r="ND5">
        <v>5803</v>
      </c>
      <c r="NE5">
        <v>6259</v>
      </c>
      <c r="NF5">
        <v>3434</v>
      </c>
      <c r="NG5" t="s">
        <v>289</v>
      </c>
      <c r="NH5" t="s">
        <v>289</v>
      </c>
      <c r="NI5" t="s">
        <v>289</v>
      </c>
      <c r="NJ5" t="s">
        <v>289</v>
      </c>
      <c r="NK5" t="s">
        <v>289</v>
      </c>
      <c r="NL5" t="s">
        <v>289</v>
      </c>
      <c r="NM5" t="s">
        <v>289</v>
      </c>
      <c r="NN5" t="s">
        <v>289</v>
      </c>
      <c r="NO5" t="s">
        <v>289</v>
      </c>
      <c r="NP5" t="s">
        <v>289</v>
      </c>
      <c r="NQ5" t="s">
        <v>289</v>
      </c>
      <c r="NR5" t="s">
        <v>289</v>
      </c>
      <c r="NS5" t="s">
        <v>289</v>
      </c>
      <c r="NT5" t="s">
        <v>289</v>
      </c>
      <c r="NU5" t="s">
        <v>289</v>
      </c>
      <c r="NV5" t="s">
        <v>289</v>
      </c>
      <c r="NW5" t="s">
        <v>289</v>
      </c>
      <c r="NX5" t="s">
        <v>289</v>
      </c>
      <c r="NY5" t="s">
        <v>289</v>
      </c>
      <c r="NZ5" t="s">
        <v>289</v>
      </c>
      <c r="OA5" t="s">
        <v>289</v>
      </c>
      <c r="OB5" t="s">
        <v>289</v>
      </c>
      <c r="OC5" t="s">
        <v>289</v>
      </c>
      <c r="OD5" t="s">
        <v>289</v>
      </c>
      <c r="OE5" t="s">
        <v>289</v>
      </c>
      <c r="OF5" t="s">
        <v>289</v>
      </c>
      <c r="OG5" t="s">
        <v>289</v>
      </c>
      <c r="OH5" t="s">
        <v>289</v>
      </c>
      <c r="OI5" t="s">
        <v>289</v>
      </c>
      <c r="OJ5" t="s">
        <v>289</v>
      </c>
      <c r="OK5" t="s">
        <v>289</v>
      </c>
      <c r="OL5" t="s">
        <v>289</v>
      </c>
      <c r="OM5" t="s">
        <v>289</v>
      </c>
      <c r="ON5" t="s">
        <v>289</v>
      </c>
      <c r="OO5" t="s">
        <v>289</v>
      </c>
      <c r="OP5" t="s">
        <v>289</v>
      </c>
      <c r="OQ5" t="s">
        <v>289</v>
      </c>
      <c r="OR5" t="s">
        <v>289</v>
      </c>
      <c r="OS5" t="s">
        <v>289</v>
      </c>
      <c r="OT5" t="s">
        <v>289</v>
      </c>
      <c r="OU5" t="s">
        <v>289</v>
      </c>
      <c r="OV5" t="s">
        <v>289</v>
      </c>
      <c r="OW5" t="s">
        <v>289</v>
      </c>
      <c r="OX5" t="s">
        <v>289</v>
      </c>
      <c r="OY5" t="s">
        <v>289</v>
      </c>
      <c r="OZ5" t="s">
        <v>289</v>
      </c>
      <c r="PA5" t="s">
        <v>289</v>
      </c>
      <c r="PB5" t="s">
        <v>289</v>
      </c>
      <c r="PC5" t="s">
        <v>289</v>
      </c>
      <c r="PD5" t="s">
        <v>289</v>
      </c>
      <c r="PE5" t="s">
        <v>289</v>
      </c>
      <c r="PF5" t="s">
        <v>289</v>
      </c>
      <c r="PG5" t="s">
        <v>289</v>
      </c>
      <c r="PH5" t="s">
        <v>289</v>
      </c>
      <c r="PI5" t="s">
        <v>289</v>
      </c>
      <c r="PJ5" t="s">
        <v>289</v>
      </c>
      <c r="PK5" t="s">
        <v>289</v>
      </c>
      <c r="PL5" t="s">
        <v>289</v>
      </c>
      <c r="PM5" t="s">
        <v>289</v>
      </c>
      <c r="PN5" t="s">
        <v>289</v>
      </c>
      <c r="PO5" t="s">
        <v>289</v>
      </c>
      <c r="PP5" t="s">
        <v>289</v>
      </c>
      <c r="PQ5" t="s">
        <v>289</v>
      </c>
      <c r="PR5" t="s">
        <v>289</v>
      </c>
      <c r="PS5" t="s">
        <v>289</v>
      </c>
      <c r="PT5" t="s">
        <v>289</v>
      </c>
      <c r="PU5" t="s">
        <v>289</v>
      </c>
      <c r="PV5" t="s">
        <v>289</v>
      </c>
      <c r="PW5" t="s">
        <v>289</v>
      </c>
      <c r="PX5" t="s">
        <v>289</v>
      </c>
      <c r="PY5" t="s">
        <v>289</v>
      </c>
      <c r="PZ5" t="s">
        <v>289</v>
      </c>
      <c r="QA5" t="s">
        <v>289</v>
      </c>
      <c r="QB5">
        <v>7751</v>
      </c>
      <c r="QC5">
        <v>8957</v>
      </c>
      <c r="QD5">
        <v>6980</v>
      </c>
      <c r="QE5" t="s">
        <v>289</v>
      </c>
      <c r="QF5" t="s">
        <v>289</v>
      </c>
      <c r="QG5" t="s">
        <v>289</v>
      </c>
      <c r="QH5" t="s">
        <v>289</v>
      </c>
      <c r="QI5" t="s">
        <v>289</v>
      </c>
      <c r="QJ5" t="s">
        <v>289</v>
      </c>
      <c r="QK5" t="s">
        <v>289</v>
      </c>
      <c r="QL5" t="s">
        <v>289</v>
      </c>
      <c r="QM5" t="s">
        <v>289</v>
      </c>
      <c r="QN5" t="s">
        <v>289</v>
      </c>
      <c r="QO5" t="s">
        <v>289</v>
      </c>
      <c r="QP5" t="s">
        <v>289</v>
      </c>
      <c r="QQ5" t="s">
        <v>289</v>
      </c>
      <c r="QR5" t="s">
        <v>289</v>
      </c>
      <c r="QS5" t="s">
        <v>289</v>
      </c>
      <c r="QT5" t="s">
        <v>289</v>
      </c>
      <c r="QU5" t="s">
        <v>289</v>
      </c>
      <c r="QV5" t="s">
        <v>289</v>
      </c>
      <c r="QW5" t="s">
        <v>289</v>
      </c>
      <c r="QX5" t="s">
        <v>289</v>
      </c>
      <c r="QY5">
        <v>11262</v>
      </c>
      <c r="QZ5">
        <v>12653</v>
      </c>
      <c r="RA5">
        <v>12944</v>
      </c>
      <c r="RB5">
        <v>8010</v>
      </c>
      <c r="RC5">
        <v>5623</v>
      </c>
      <c r="RD5">
        <v>3264</v>
      </c>
      <c r="RE5">
        <v>3364</v>
      </c>
      <c r="RF5">
        <v>3575</v>
      </c>
      <c r="RG5">
        <v>4067</v>
      </c>
      <c r="RH5">
        <v>4368</v>
      </c>
      <c r="RI5">
        <v>4999</v>
      </c>
      <c r="RJ5">
        <v>5384</v>
      </c>
      <c r="RK5">
        <v>5478</v>
      </c>
      <c r="RL5">
        <v>5676</v>
      </c>
      <c r="RM5">
        <v>6305</v>
      </c>
      <c r="RN5" t="s">
        <v>289</v>
      </c>
      <c r="RO5" t="s">
        <v>289</v>
      </c>
      <c r="RP5" t="s">
        <v>289</v>
      </c>
      <c r="RQ5" t="s">
        <v>289</v>
      </c>
      <c r="RR5" t="s">
        <v>289</v>
      </c>
      <c r="RS5" t="s">
        <v>289</v>
      </c>
      <c r="RT5" t="s">
        <v>289</v>
      </c>
      <c r="RU5" t="s">
        <v>289</v>
      </c>
      <c r="RV5" t="s">
        <v>289</v>
      </c>
      <c r="RW5" t="s">
        <v>289</v>
      </c>
      <c r="RX5" t="s">
        <v>289</v>
      </c>
      <c r="RY5" t="s">
        <v>289</v>
      </c>
      <c r="RZ5" t="s">
        <v>289</v>
      </c>
      <c r="SA5" t="s">
        <v>289</v>
      </c>
      <c r="SB5" t="s">
        <v>289</v>
      </c>
      <c r="SC5" t="s">
        <v>289</v>
      </c>
      <c r="SD5" t="s">
        <v>289</v>
      </c>
      <c r="SE5" t="s">
        <v>289</v>
      </c>
      <c r="SF5" t="s">
        <v>289</v>
      </c>
      <c r="SG5" t="s">
        <v>289</v>
      </c>
      <c r="SH5" t="s">
        <v>289</v>
      </c>
      <c r="SI5" t="s">
        <v>289</v>
      </c>
      <c r="SJ5" t="s">
        <v>289</v>
      </c>
      <c r="SK5" t="s">
        <v>289</v>
      </c>
      <c r="SL5" t="s">
        <v>289</v>
      </c>
      <c r="SM5" t="s">
        <v>289</v>
      </c>
      <c r="SN5" t="s">
        <v>289</v>
      </c>
      <c r="SO5" t="s">
        <v>289</v>
      </c>
      <c r="SP5" t="s">
        <v>289</v>
      </c>
      <c r="SQ5" t="s">
        <v>289</v>
      </c>
      <c r="SR5" t="s">
        <v>289</v>
      </c>
      <c r="SS5" t="s">
        <v>289</v>
      </c>
      <c r="ST5" t="s">
        <v>289</v>
      </c>
      <c r="SU5" t="s">
        <v>289</v>
      </c>
      <c r="SV5" t="s">
        <v>289</v>
      </c>
      <c r="SW5" t="s">
        <v>289</v>
      </c>
      <c r="SX5" t="s">
        <v>289</v>
      </c>
      <c r="SY5" t="s">
        <v>289</v>
      </c>
      <c r="SZ5" t="s">
        <v>289</v>
      </c>
      <c r="TA5" t="s">
        <v>289</v>
      </c>
      <c r="TB5" t="s">
        <v>289</v>
      </c>
      <c r="TC5" t="s">
        <v>289</v>
      </c>
      <c r="TD5" t="s">
        <v>289</v>
      </c>
      <c r="TE5" t="s">
        <v>289</v>
      </c>
      <c r="TF5">
        <v>5104</v>
      </c>
      <c r="TG5">
        <v>5034</v>
      </c>
      <c r="TH5">
        <v>4319</v>
      </c>
      <c r="TI5">
        <v>4295</v>
      </c>
      <c r="TJ5" t="s">
        <v>289</v>
      </c>
      <c r="TK5" t="s">
        <v>289</v>
      </c>
      <c r="TL5" t="s">
        <v>289</v>
      </c>
      <c r="TM5" t="s">
        <v>289</v>
      </c>
      <c r="TN5" t="s">
        <v>289</v>
      </c>
      <c r="TO5" t="s">
        <v>289</v>
      </c>
      <c r="TP5" t="s">
        <v>289</v>
      </c>
      <c r="TQ5" t="s">
        <v>289</v>
      </c>
      <c r="TR5" t="s">
        <v>289</v>
      </c>
      <c r="TS5" t="s">
        <v>289</v>
      </c>
      <c r="TT5" t="s">
        <v>289</v>
      </c>
      <c r="TU5" t="s">
        <v>289</v>
      </c>
      <c r="TV5" t="s">
        <v>289</v>
      </c>
      <c r="TW5" t="s">
        <v>289</v>
      </c>
      <c r="TX5" t="s">
        <v>289</v>
      </c>
      <c r="TY5" t="s">
        <v>289</v>
      </c>
      <c r="TZ5" t="s">
        <v>289</v>
      </c>
      <c r="UA5" t="s">
        <v>289</v>
      </c>
      <c r="UB5" t="s">
        <v>289</v>
      </c>
      <c r="UC5" t="s">
        <v>289</v>
      </c>
      <c r="UD5" t="s">
        <v>289</v>
      </c>
      <c r="UE5" t="s">
        <v>289</v>
      </c>
      <c r="UF5" t="s">
        <v>289</v>
      </c>
      <c r="UG5" t="s">
        <v>289</v>
      </c>
      <c r="UH5" t="s">
        <v>289</v>
      </c>
      <c r="UI5" t="s">
        <v>289</v>
      </c>
      <c r="UJ5" t="s">
        <v>289</v>
      </c>
      <c r="UK5" t="s">
        <v>289</v>
      </c>
      <c r="UL5" t="s">
        <v>289</v>
      </c>
      <c r="UM5" t="s">
        <v>289</v>
      </c>
      <c r="UN5" t="s">
        <v>289</v>
      </c>
      <c r="UO5" t="s">
        <v>289</v>
      </c>
      <c r="UP5">
        <v>2003</v>
      </c>
      <c r="UQ5">
        <v>1881</v>
      </c>
      <c r="UR5" t="s">
        <v>289</v>
      </c>
      <c r="US5" t="s">
        <v>289</v>
      </c>
      <c r="UT5" t="s">
        <v>289</v>
      </c>
      <c r="UU5" t="s">
        <v>289</v>
      </c>
      <c r="UV5" t="s">
        <v>289</v>
      </c>
      <c r="UW5" t="s">
        <v>289</v>
      </c>
      <c r="UX5" t="s">
        <v>289</v>
      </c>
      <c r="UY5" t="s">
        <v>289</v>
      </c>
      <c r="UZ5" t="s">
        <v>289</v>
      </c>
      <c r="VA5" t="s">
        <v>289</v>
      </c>
      <c r="VB5" t="s">
        <v>289</v>
      </c>
      <c r="VC5" t="s">
        <v>289</v>
      </c>
      <c r="VD5" t="s">
        <v>289</v>
      </c>
      <c r="VE5" t="s">
        <v>289</v>
      </c>
      <c r="VF5" t="s">
        <v>289</v>
      </c>
      <c r="VG5" t="s">
        <v>289</v>
      </c>
      <c r="VH5" t="s">
        <v>289</v>
      </c>
      <c r="VI5" t="s">
        <v>289</v>
      </c>
      <c r="VJ5" t="s">
        <v>289</v>
      </c>
      <c r="VK5" t="s">
        <v>289</v>
      </c>
      <c r="VL5" t="s">
        <v>289</v>
      </c>
      <c r="VM5" t="s">
        <v>289</v>
      </c>
      <c r="VN5" t="s">
        <v>289</v>
      </c>
      <c r="VO5" t="s">
        <v>289</v>
      </c>
      <c r="VP5" t="s">
        <v>289</v>
      </c>
      <c r="VQ5" t="s">
        <v>289</v>
      </c>
      <c r="VR5" t="s">
        <v>289</v>
      </c>
      <c r="VS5" t="s">
        <v>289</v>
      </c>
      <c r="VT5" t="s">
        <v>289</v>
      </c>
      <c r="VU5" t="s">
        <v>289</v>
      </c>
      <c r="VV5" t="s">
        <v>289</v>
      </c>
      <c r="VW5" t="s">
        <v>289</v>
      </c>
      <c r="VX5" t="s">
        <v>289</v>
      </c>
      <c r="VY5" t="s">
        <v>289</v>
      </c>
      <c r="VZ5" t="s">
        <v>289</v>
      </c>
      <c r="WA5" t="s">
        <v>289</v>
      </c>
      <c r="WB5" t="s">
        <v>289</v>
      </c>
      <c r="WC5" t="s">
        <v>289</v>
      </c>
      <c r="WD5" t="s">
        <v>289</v>
      </c>
      <c r="WE5" t="s">
        <v>289</v>
      </c>
      <c r="WF5" t="s">
        <v>289</v>
      </c>
      <c r="WG5">
        <v>4295</v>
      </c>
      <c r="WH5">
        <v>3960</v>
      </c>
      <c r="WI5">
        <v>4661</v>
      </c>
      <c r="WJ5">
        <v>4304</v>
      </c>
      <c r="WK5">
        <v>3432</v>
      </c>
      <c r="WL5">
        <v>2294</v>
      </c>
      <c r="WM5">
        <v>3633</v>
      </c>
      <c r="WN5">
        <v>4098</v>
      </c>
      <c r="WO5">
        <v>4818</v>
      </c>
      <c r="WP5">
        <v>4860</v>
      </c>
      <c r="WQ5">
        <v>5949</v>
      </c>
      <c r="WR5">
        <v>5189</v>
      </c>
      <c r="WS5">
        <v>13588</v>
      </c>
      <c r="WT5" t="s">
        <v>289</v>
      </c>
      <c r="WU5" t="s">
        <v>289</v>
      </c>
      <c r="WV5" t="s">
        <v>289</v>
      </c>
      <c r="WW5" t="s">
        <v>289</v>
      </c>
      <c r="WX5" t="s">
        <v>289</v>
      </c>
      <c r="WY5" t="s">
        <v>289</v>
      </c>
      <c r="WZ5" t="s">
        <v>289</v>
      </c>
      <c r="XA5" t="s">
        <v>289</v>
      </c>
      <c r="XB5" t="s">
        <v>289</v>
      </c>
      <c r="XC5" t="s">
        <v>289</v>
      </c>
      <c r="XD5" t="s">
        <v>289</v>
      </c>
      <c r="XE5" t="s">
        <v>289</v>
      </c>
      <c r="XF5" t="s">
        <v>289</v>
      </c>
      <c r="XG5" t="s">
        <v>289</v>
      </c>
      <c r="XH5" t="s">
        <v>289</v>
      </c>
      <c r="XI5" t="s">
        <v>289</v>
      </c>
      <c r="XJ5" t="s">
        <v>289</v>
      </c>
      <c r="XK5" t="s">
        <v>289</v>
      </c>
      <c r="XL5" t="s">
        <v>289</v>
      </c>
      <c r="XM5" t="s">
        <v>289</v>
      </c>
      <c r="XN5" t="s">
        <v>289</v>
      </c>
      <c r="XO5" t="s">
        <v>289</v>
      </c>
      <c r="XP5" t="s">
        <v>289</v>
      </c>
      <c r="XQ5" t="s">
        <v>289</v>
      </c>
      <c r="XR5" t="s">
        <v>289</v>
      </c>
      <c r="XS5" t="s">
        <v>289</v>
      </c>
      <c r="XT5" t="s">
        <v>289</v>
      </c>
      <c r="XU5" t="s">
        <v>289</v>
      </c>
      <c r="XV5" t="s">
        <v>289</v>
      </c>
      <c r="XW5" t="s">
        <v>289</v>
      </c>
      <c r="XX5" t="s">
        <v>289</v>
      </c>
      <c r="XY5" t="s">
        <v>289</v>
      </c>
      <c r="XZ5" t="s">
        <v>289</v>
      </c>
      <c r="YA5" t="s">
        <v>289</v>
      </c>
      <c r="YB5" t="s">
        <v>289</v>
      </c>
      <c r="YC5" t="s">
        <v>289</v>
      </c>
      <c r="YD5" t="s">
        <v>289</v>
      </c>
      <c r="YE5" t="s">
        <v>289</v>
      </c>
      <c r="YF5" t="s">
        <v>289</v>
      </c>
      <c r="YG5" t="s">
        <v>289</v>
      </c>
      <c r="YH5" t="s">
        <v>289</v>
      </c>
      <c r="YI5" t="s">
        <v>289</v>
      </c>
      <c r="YJ5" t="s">
        <v>289</v>
      </c>
      <c r="YK5" t="s">
        <v>289</v>
      </c>
      <c r="YL5" t="s">
        <v>289</v>
      </c>
      <c r="YM5" t="s">
        <v>289</v>
      </c>
      <c r="YN5" t="s">
        <v>289</v>
      </c>
      <c r="YO5" t="s">
        <v>289</v>
      </c>
      <c r="YP5" t="s">
        <v>289</v>
      </c>
      <c r="YQ5" t="s">
        <v>289</v>
      </c>
      <c r="YR5" t="s">
        <v>289</v>
      </c>
      <c r="YS5" t="s">
        <v>289</v>
      </c>
      <c r="YT5" t="s">
        <v>289</v>
      </c>
      <c r="YU5" t="s">
        <v>289</v>
      </c>
      <c r="YV5" t="s">
        <v>289</v>
      </c>
      <c r="YW5" t="s">
        <v>289</v>
      </c>
      <c r="YX5" t="s">
        <v>289</v>
      </c>
      <c r="YY5" t="s">
        <v>289</v>
      </c>
      <c r="YZ5">
        <v>7043</v>
      </c>
      <c r="ZA5" t="s">
        <v>289</v>
      </c>
      <c r="ZB5">
        <v>5889</v>
      </c>
      <c r="ZC5">
        <v>3044</v>
      </c>
      <c r="ZD5">
        <v>3278</v>
      </c>
      <c r="ZE5" t="s">
        <v>289</v>
      </c>
      <c r="ZF5" t="s">
        <v>289</v>
      </c>
      <c r="ZG5" t="s">
        <v>289</v>
      </c>
      <c r="ZH5" t="s">
        <v>289</v>
      </c>
      <c r="ZI5" t="s">
        <v>289</v>
      </c>
      <c r="ZJ5" t="s">
        <v>289</v>
      </c>
      <c r="ZK5" t="s">
        <v>289</v>
      </c>
      <c r="ZL5" t="s">
        <v>289</v>
      </c>
      <c r="ZM5" t="s">
        <v>289</v>
      </c>
      <c r="ZN5" t="s">
        <v>289</v>
      </c>
      <c r="ZO5" t="s">
        <v>289</v>
      </c>
      <c r="ZP5" t="s">
        <v>289</v>
      </c>
      <c r="ZQ5" t="s">
        <v>289</v>
      </c>
      <c r="ZR5" t="s">
        <v>289</v>
      </c>
      <c r="ZS5" t="s">
        <v>289</v>
      </c>
      <c r="ZT5" t="s">
        <v>289</v>
      </c>
      <c r="ZU5" t="s">
        <v>289</v>
      </c>
      <c r="ZV5" t="s">
        <v>289</v>
      </c>
      <c r="ZW5" t="s">
        <v>289</v>
      </c>
      <c r="ZX5" t="s">
        <v>289</v>
      </c>
      <c r="ZY5" t="s">
        <v>289</v>
      </c>
      <c r="ZZ5" t="s">
        <v>289</v>
      </c>
      <c r="AAA5" t="s">
        <v>289</v>
      </c>
      <c r="AAB5" t="s">
        <v>289</v>
      </c>
      <c r="AAC5" t="s">
        <v>289</v>
      </c>
      <c r="AAD5" t="s">
        <v>289</v>
      </c>
      <c r="AAE5" t="s">
        <v>289</v>
      </c>
      <c r="AAF5" t="s">
        <v>289</v>
      </c>
      <c r="AAG5" t="s">
        <v>289</v>
      </c>
      <c r="AAH5" t="s">
        <v>289</v>
      </c>
      <c r="AAI5" t="s">
        <v>289</v>
      </c>
      <c r="AAJ5" t="s">
        <v>289</v>
      </c>
      <c r="AAK5" t="s">
        <v>289</v>
      </c>
      <c r="AAL5">
        <v>3884</v>
      </c>
      <c r="AAM5">
        <v>4936</v>
      </c>
      <c r="AAN5">
        <v>7043</v>
      </c>
      <c r="AAO5">
        <v>6583</v>
      </c>
      <c r="AAP5">
        <v>4718</v>
      </c>
      <c r="AAQ5" t="s">
        <v>289</v>
      </c>
      <c r="AAR5">
        <v>1330</v>
      </c>
      <c r="AAS5">
        <v>1334</v>
      </c>
      <c r="AAT5">
        <v>4059</v>
      </c>
      <c r="AAU5">
        <v>5400</v>
      </c>
      <c r="AAV5">
        <v>5260</v>
      </c>
      <c r="AAW5">
        <v>7125</v>
      </c>
      <c r="AAX5">
        <v>9648</v>
      </c>
      <c r="AAY5">
        <v>9073</v>
      </c>
      <c r="AAZ5">
        <v>8855</v>
      </c>
      <c r="ABA5">
        <v>7885</v>
      </c>
      <c r="ABB5">
        <v>5356</v>
      </c>
      <c r="ABC5">
        <v>6706</v>
      </c>
      <c r="ABD5" t="s">
        <v>289</v>
      </c>
      <c r="ABE5" t="s">
        <v>289</v>
      </c>
      <c r="ABF5" t="s">
        <v>289</v>
      </c>
      <c r="ABG5" t="s">
        <v>289</v>
      </c>
      <c r="ABH5" t="s">
        <v>289</v>
      </c>
      <c r="ABI5" t="s">
        <v>289</v>
      </c>
      <c r="ABJ5" t="s">
        <v>289</v>
      </c>
      <c r="ABK5" t="s">
        <v>289</v>
      </c>
      <c r="ABL5" t="s">
        <v>289</v>
      </c>
      <c r="ABM5" t="s">
        <v>289</v>
      </c>
      <c r="ABN5" t="s">
        <v>289</v>
      </c>
      <c r="ABO5" t="s">
        <v>289</v>
      </c>
      <c r="ABP5" t="s">
        <v>289</v>
      </c>
      <c r="ABQ5" t="s">
        <v>289</v>
      </c>
      <c r="ABR5" t="s">
        <v>289</v>
      </c>
      <c r="ABS5" t="s">
        <v>289</v>
      </c>
      <c r="ABT5" t="s">
        <v>289</v>
      </c>
      <c r="ABU5" t="s">
        <v>289</v>
      </c>
      <c r="ABV5" t="s">
        <v>289</v>
      </c>
      <c r="ABW5" t="s">
        <v>289</v>
      </c>
      <c r="ABX5" t="s">
        <v>289</v>
      </c>
      <c r="ABY5" t="s">
        <v>289</v>
      </c>
      <c r="ABZ5" t="s">
        <v>289</v>
      </c>
      <c r="ACA5" t="s">
        <v>289</v>
      </c>
      <c r="ACB5" t="s">
        <v>289</v>
      </c>
      <c r="ACC5" t="s">
        <v>289</v>
      </c>
      <c r="ACD5" t="s">
        <v>289</v>
      </c>
      <c r="ACE5" t="s">
        <v>289</v>
      </c>
      <c r="ACF5" t="s">
        <v>289</v>
      </c>
      <c r="ACG5" t="s">
        <v>289</v>
      </c>
      <c r="ACH5" t="s">
        <v>289</v>
      </c>
      <c r="ACI5" t="s">
        <v>289</v>
      </c>
      <c r="ACJ5" t="s">
        <v>289</v>
      </c>
      <c r="ACK5" t="s">
        <v>289</v>
      </c>
      <c r="ACL5" t="s">
        <v>289</v>
      </c>
      <c r="ACM5" t="s">
        <v>289</v>
      </c>
      <c r="ACN5" t="s">
        <v>289</v>
      </c>
      <c r="ACO5" t="s">
        <v>289</v>
      </c>
      <c r="ACP5" t="s">
        <v>289</v>
      </c>
      <c r="ACQ5" t="s">
        <v>289</v>
      </c>
      <c r="ACR5" t="s">
        <v>289</v>
      </c>
      <c r="ACS5" t="s">
        <v>289</v>
      </c>
      <c r="ACT5" t="s">
        <v>289</v>
      </c>
      <c r="ACU5" t="s">
        <v>289</v>
      </c>
      <c r="ACV5" t="s">
        <v>289</v>
      </c>
      <c r="ACW5">
        <v>766</v>
      </c>
      <c r="ACX5">
        <v>947</v>
      </c>
      <c r="ACY5">
        <v>1539</v>
      </c>
      <c r="ACZ5">
        <v>1666</v>
      </c>
      <c r="ADA5">
        <v>1374</v>
      </c>
      <c r="ADB5">
        <v>1148</v>
      </c>
      <c r="ADC5">
        <v>1100</v>
      </c>
      <c r="ADD5">
        <v>990</v>
      </c>
      <c r="ADE5">
        <v>722</v>
      </c>
      <c r="ADF5">
        <v>770</v>
      </c>
      <c r="ADG5">
        <v>1041</v>
      </c>
      <c r="ADH5">
        <v>873</v>
      </c>
      <c r="ADI5" t="s">
        <v>289</v>
      </c>
      <c r="ADJ5" t="s">
        <v>289</v>
      </c>
      <c r="ADK5" t="s">
        <v>289</v>
      </c>
      <c r="ADL5" t="s">
        <v>289</v>
      </c>
      <c r="ADM5" t="s">
        <v>289</v>
      </c>
      <c r="ADN5" t="s">
        <v>289</v>
      </c>
      <c r="ADO5">
        <v>4017</v>
      </c>
      <c r="ADP5">
        <v>3194</v>
      </c>
      <c r="ADQ5">
        <v>2957</v>
      </c>
      <c r="ADR5">
        <v>3890</v>
      </c>
      <c r="ADS5">
        <v>3523</v>
      </c>
      <c r="ADT5">
        <v>3634</v>
      </c>
      <c r="ADU5">
        <v>4908</v>
      </c>
      <c r="ADV5">
        <v>2899</v>
      </c>
      <c r="ADW5">
        <v>3204</v>
      </c>
      <c r="ADX5">
        <v>2763</v>
      </c>
      <c r="ADY5">
        <v>3347</v>
      </c>
      <c r="ADZ5">
        <v>4167</v>
      </c>
      <c r="AEA5">
        <v>3181</v>
      </c>
      <c r="AEB5" t="s">
        <v>289</v>
      </c>
      <c r="AEC5">
        <v>2671</v>
      </c>
      <c r="AED5">
        <v>3191</v>
      </c>
      <c r="AEE5" t="s">
        <v>289</v>
      </c>
      <c r="AEF5" t="s">
        <v>289</v>
      </c>
      <c r="AEG5" t="s">
        <v>289</v>
      </c>
      <c r="AEH5" t="s">
        <v>289</v>
      </c>
      <c r="AEI5" t="s">
        <v>289</v>
      </c>
      <c r="AEJ5" t="s">
        <v>289</v>
      </c>
      <c r="AEK5" t="s">
        <v>289</v>
      </c>
      <c r="AEL5" t="s">
        <v>289</v>
      </c>
      <c r="AEM5" t="s">
        <v>289</v>
      </c>
      <c r="AEN5" t="s">
        <v>289</v>
      </c>
      <c r="AEO5" t="s">
        <v>289</v>
      </c>
      <c r="AEP5" t="s">
        <v>289</v>
      </c>
      <c r="AEQ5" t="s">
        <v>289</v>
      </c>
      <c r="AER5" t="s">
        <v>289</v>
      </c>
      <c r="AES5" t="s">
        <v>289</v>
      </c>
      <c r="AET5" t="s">
        <v>289</v>
      </c>
      <c r="AEU5" t="s">
        <v>289</v>
      </c>
      <c r="AEV5" t="s">
        <v>289</v>
      </c>
      <c r="AEW5" t="s">
        <v>289</v>
      </c>
      <c r="AEX5" t="s">
        <v>289</v>
      </c>
      <c r="AEY5" t="s">
        <v>289</v>
      </c>
      <c r="AEZ5" t="s">
        <v>289</v>
      </c>
      <c r="AFA5" t="s">
        <v>289</v>
      </c>
      <c r="AFB5" t="s">
        <v>289</v>
      </c>
      <c r="AFC5" t="s">
        <v>289</v>
      </c>
      <c r="AFD5" t="s">
        <v>289</v>
      </c>
      <c r="AFE5" t="s">
        <v>289</v>
      </c>
      <c r="AFF5" t="s">
        <v>289</v>
      </c>
      <c r="AFG5" t="s">
        <v>289</v>
      </c>
      <c r="AFH5" t="s">
        <v>289</v>
      </c>
      <c r="AFI5" t="s">
        <v>289</v>
      </c>
      <c r="AFJ5" t="s">
        <v>289</v>
      </c>
      <c r="AFK5" t="s">
        <v>289</v>
      </c>
      <c r="AFL5" t="s">
        <v>289</v>
      </c>
      <c r="AFM5" t="s">
        <v>289</v>
      </c>
      <c r="AFN5" t="s">
        <v>289</v>
      </c>
      <c r="AFO5" t="s">
        <v>289</v>
      </c>
      <c r="AFP5">
        <v>8731</v>
      </c>
      <c r="AFQ5">
        <v>2720</v>
      </c>
      <c r="AFR5">
        <v>480</v>
      </c>
      <c r="AFS5">
        <v>606</v>
      </c>
      <c r="AFT5">
        <v>496</v>
      </c>
      <c r="AFU5">
        <v>408</v>
      </c>
      <c r="AFV5">
        <v>420</v>
      </c>
      <c r="AFW5">
        <v>534</v>
      </c>
      <c r="AFX5">
        <v>531</v>
      </c>
      <c r="AFY5">
        <v>555</v>
      </c>
      <c r="AFZ5">
        <v>654</v>
      </c>
      <c r="AGA5">
        <v>667</v>
      </c>
      <c r="AGB5">
        <v>1203</v>
      </c>
      <c r="AGC5">
        <v>1115</v>
      </c>
      <c r="AGD5">
        <v>1286</v>
      </c>
      <c r="AGE5">
        <v>911</v>
      </c>
      <c r="AGF5">
        <v>1536</v>
      </c>
      <c r="AGG5" t="s">
        <v>289</v>
      </c>
      <c r="AGH5" t="s">
        <v>289</v>
      </c>
      <c r="AGI5" t="s">
        <v>289</v>
      </c>
      <c r="AGJ5" t="s">
        <v>289</v>
      </c>
      <c r="AGK5" t="s">
        <v>289</v>
      </c>
      <c r="AGL5">
        <v>25003</v>
      </c>
      <c r="AGM5" t="s">
        <v>289</v>
      </c>
      <c r="AGN5" t="s">
        <v>289</v>
      </c>
      <c r="AGO5" t="s">
        <v>289</v>
      </c>
      <c r="AGP5" t="s">
        <v>289</v>
      </c>
      <c r="AGQ5" t="s">
        <v>289</v>
      </c>
      <c r="AGR5" t="s">
        <v>289</v>
      </c>
      <c r="AGS5" t="s">
        <v>289</v>
      </c>
      <c r="AGT5" t="s">
        <v>289</v>
      </c>
      <c r="AGU5" t="s">
        <v>289</v>
      </c>
      <c r="AGV5" t="s">
        <v>289</v>
      </c>
      <c r="AGW5" t="s">
        <v>289</v>
      </c>
      <c r="AGX5" t="s">
        <v>289</v>
      </c>
      <c r="AGY5" t="s">
        <v>289</v>
      </c>
      <c r="AGZ5" t="s">
        <v>289</v>
      </c>
      <c r="AHA5" t="s">
        <v>289</v>
      </c>
      <c r="AHB5" t="s">
        <v>289</v>
      </c>
      <c r="AHC5" t="s">
        <v>289</v>
      </c>
      <c r="AHD5" t="s">
        <v>289</v>
      </c>
      <c r="AHE5" t="s">
        <v>289</v>
      </c>
      <c r="AHF5" t="s">
        <v>289</v>
      </c>
      <c r="AHG5" t="s">
        <v>289</v>
      </c>
      <c r="AHH5" t="s">
        <v>289</v>
      </c>
      <c r="AHI5" t="s">
        <v>289</v>
      </c>
      <c r="AHJ5" t="s">
        <v>289</v>
      </c>
      <c r="AHK5" t="s">
        <v>289</v>
      </c>
      <c r="AHL5" t="s">
        <v>289</v>
      </c>
      <c r="AHM5" t="s">
        <v>289</v>
      </c>
      <c r="AHN5" t="s">
        <v>289</v>
      </c>
      <c r="AHO5" t="s">
        <v>289</v>
      </c>
      <c r="AHP5" t="s">
        <v>289</v>
      </c>
      <c r="AHQ5" t="s">
        <v>289</v>
      </c>
      <c r="AHR5" t="s">
        <v>289</v>
      </c>
      <c r="AHS5" t="s">
        <v>289</v>
      </c>
      <c r="AHT5" t="s">
        <v>289</v>
      </c>
      <c r="AHU5" t="s">
        <v>289</v>
      </c>
      <c r="AHV5" t="s">
        <v>289</v>
      </c>
      <c r="AHW5" t="s">
        <v>289</v>
      </c>
      <c r="AHX5" t="s">
        <v>289</v>
      </c>
      <c r="AHY5" t="s">
        <v>289</v>
      </c>
      <c r="AHZ5" t="s">
        <v>289</v>
      </c>
      <c r="AIA5" t="s">
        <v>289</v>
      </c>
      <c r="AIB5" t="s">
        <v>289</v>
      </c>
      <c r="AIC5" t="s">
        <v>289</v>
      </c>
      <c r="AID5" t="s">
        <v>289</v>
      </c>
      <c r="AIE5" t="s">
        <v>289</v>
      </c>
      <c r="AIF5" t="s">
        <v>289</v>
      </c>
      <c r="AIG5" t="s">
        <v>289</v>
      </c>
      <c r="AIH5" t="s">
        <v>289</v>
      </c>
      <c r="AII5" t="s">
        <v>289</v>
      </c>
      <c r="AIJ5" t="s">
        <v>289</v>
      </c>
      <c r="AIK5" t="s">
        <v>289</v>
      </c>
      <c r="AIL5" t="s">
        <v>289</v>
      </c>
      <c r="AIM5">
        <v>34001</v>
      </c>
      <c r="AIN5">
        <v>36739</v>
      </c>
      <c r="AIO5">
        <v>32747</v>
      </c>
      <c r="AIP5">
        <v>14650</v>
      </c>
      <c r="AIQ5">
        <v>16087</v>
      </c>
      <c r="AIR5">
        <v>34497</v>
      </c>
      <c r="AIS5">
        <v>37518</v>
      </c>
      <c r="AIT5">
        <v>41991</v>
      </c>
      <c r="AIU5">
        <v>46657</v>
      </c>
      <c r="AIV5">
        <v>49939</v>
      </c>
      <c r="AIW5">
        <v>56232</v>
      </c>
      <c r="AIX5">
        <v>63264</v>
      </c>
      <c r="AIY5">
        <v>73323</v>
      </c>
      <c r="AIZ5">
        <v>75055</v>
      </c>
      <c r="AJA5">
        <v>80424</v>
      </c>
      <c r="AJB5">
        <v>88625</v>
      </c>
      <c r="AJC5">
        <v>82798</v>
      </c>
      <c r="AJD5">
        <v>72330</v>
      </c>
      <c r="AJE5" t="s">
        <v>289</v>
      </c>
      <c r="AJF5">
        <v>142059</v>
      </c>
      <c r="AJG5">
        <v>149776</v>
      </c>
      <c r="AJH5">
        <v>99222</v>
      </c>
      <c r="AJI5">
        <v>99399</v>
      </c>
      <c r="AJJ5">
        <v>95873</v>
      </c>
      <c r="AJK5">
        <v>78924</v>
      </c>
      <c r="AJL5">
        <v>97761</v>
      </c>
      <c r="AJM5">
        <v>106540</v>
      </c>
      <c r="AJN5">
        <v>114297</v>
      </c>
      <c r="AJO5">
        <v>117982</v>
      </c>
      <c r="AJP5">
        <v>129872</v>
      </c>
      <c r="AJQ5">
        <v>149467</v>
      </c>
      <c r="AJR5">
        <v>153261</v>
      </c>
      <c r="AJS5">
        <v>164154</v>
      </c>
      <c r="AJT5">
        <v>167362</v>
      </c>
      <c r="AJU5">
        <v>172745</v>
      </c>
      <c r="AJV5">
        <v>121778</v>
      </c>
      <c r="AJW5">
        <v>133893</v>
      </c>
      <c r="AJX5" t="s">
        <v>289</v>
      </c>
      <c r="AJY5" t="s">
        <v>289</v>
      </c>
      <c r="AJZ5" t="s">
        <v>289</v>
      </c>
      <c r="AKA5">
        <v>54399</v>
      </c>
      <c r="AKB5">
        <v>31542</v>
      </c>
      <c r="AKC5">
        <v>35804</v>
      </c>
      <c r="AKD5" t="s">
        <v>289</v>
      </c>
      <c r="AKE5" t="s">
        <v>289</v>
      </c>
      <c r="AKF5" t="s">
        <v>289</v>
      </c>
      <c r="AKG5">
        <v>39610</v>
      </c>
      <c r="AKH5">
        <v>39567</v>
      </c>
      <c r="AKI5">
        <v>44352</v>
      </c>
      <c r="AKJ5">
        <v>50795</v>
      </c>
      <c r="AKK5">
        <v>56830</v>
      </c>
      <c r="AKL5">
        <v>55651</v>
      </c>
      <c r="AKM5">
        <v>63897</v>
      </c>
      <c r="AKN5">
        <v>70353</v>
      </c>
      <c r="AKO5">
        <v>65930</v>
      </c>
      <c r="AKP5">
        <v>58297</v>
      </c>
      <c r="AKQ5" t="s">
        <v>289</v>
      </c>
      <c r="AKR5">
        <v>182696</v>
      </c>
      <c r="AKS5">
        <v>201632</v>
      </c>
      <c r="AKT5">
        <v>217634</v>
      </c>
      <c r="AKU5">
        <v>135094</v>
      </c>
      <c r="AKV5">
        <v>132219</v>
      </c>
      <c r="AKW5">
        <v>128821</v>
      </c>
      <c r="AKX5">
        <v>135830</v>
      </c>
      <c r="AKY5">
        <v>148132</v>
      </c>
      <c r="AKZ5">
        <v>163062</v>
      </c>
      <c r="ALA5">
        <v>168518</v>
      </c>
      <c r="ALB5">
        <v>189635</v>
      </c>
      <c r="ALC5">
        <v>217166</v>
      </c>
      <c r="ALD5">
        <v>242988</v>
      </c>
      <c r="ALE5">
        <v>255345</v>
      </c>
      <c r="ALF5">
        <v>281619</v>
      </c>
      <c r="ALG5">
        <v>302438</v>
      </c>
      <c r="ALH5">
        <v>285737</v>
      </c>
      <c r="ALI5">
        <v>259831</v>
      </c>
      <c r="ALJ5" t="s">
        <v>289</v>
      </c>
      <c r="ALK5" t="s">
        <v>289</v>
      </c>
      <c r="ALL5" t="s">
        <v>289</v>
      </c>
      <c r="ALM5">
        <v>80431</v>
      </c>
      <c r="ALN5">
        <v>62231</v>
      </c>
      <c r="ALO5">
        <v>55389</v>
      </c>
      <c r="ALP5">
        <v>54280</v>
      </c>
      <c r="ALQ5">
        <v>57003</v>
      </c>
      <c r="ALR5">
        <v>61118</v>
      </c>
      <c r="ALS5">
        <v>67458</v>
      </c>
      <c r="ALT5">
        <v>70441</v>
      </c>
      <c r="ALU5">
        <v>77145</v>
      </c>
      <c r="ALV5">
        <v>91847</v>
      </c>
      <c r="ALW5">
        <v>102052</v>
      </c>
      <c r="ALX5">
        <v>106896</v>
      </c>
      <c r="ALY5">
        <v>121613</v>
      </c>
      <c r="ALZ5">
        <v>127800</v>
      </c>
      <c r="AMA5">
        <v>115264</v>
      </c>
      <c r="AMB5">
        <v>102929</v>
      </c>
      <c r="AMC5" t="s">
        <v>289</v>
      </c>
      <c r="AMD5" t="s">
        <v>289</v>
      </c>
      <c r="AME5" t="s">
        <v>289</v>
      </c>
      <c r="AMF5">
        <v>89836</v>
      </c>
      <c r="AMG5">
        <v>48940</v>
      </c>
      <c r="AMH5">
        <v>52182</v>
      </c>
      <c r="AMI5">
        <v>47538</v>
      </c>
      <c r="AMJ5">
        <v>53139</v>
      </c>
      <c r="AMK5">
        <v>54855</v>
      </c>
      <c r="AML5">
        <v>58716</v>
      </c>
      <c r="AMM5">
        <v>59108</v>
      </c>
      <c r="AMN5">
        <v>66974</v>
      </c>
      <c r="AMO5">
        <v>77081</v>
      </c>
      <c r="AMP5">
        <v>84457</v>
      </c>
      <c r="AMQ5">
        <v>87624</v>
      </c>
      <c r="AMR5">
        <v>97952</v>
      </c>
      <c r="AMS5">
        <v>105802</v>
      </c>
      <c r="AMT5">
        <v>99809</v>
      </c>
      <c r="AMU5">
        <v>87675</v>
      </c>
      <c r="AMV5" t="s">
        <v>289</v>
      </c>
      <c r="AMW5" t="s">
        <v>289</v>
      </c>
      <c r="AMX5" t="s">
        <v>289</v>
      </c>
      <c r="AMY5">
        <v>7614</v>
      </c>
      <c r="AMZ5">
        <v>5202</v>
      </c>
      <c r="ANA5">
        <v>6037</v>
      </c>
      <c r="ANB5">
        <v>6753</v>
      </c>
      <c r="ANC5">
        <v>7504</v>
      </c>
      <c r="AND5">
        <v>8259</v>
      </c>
      <c r="ANE5">
        <v>8885</v>
      </c>
      <c r="ANF5">
        <v>9388</v>
      </c>
      <c r="ANG5">
        <v>9367</v>
      </c>
      <c r="ANH5">
        <v>10069</v>
      </c>
      <c r="ANI5">
        <v>12098</v>
      </c>
      <c r="ANJ5">
        <v>13735</v>
      </c>
      <c r="ANK5">
        <v>14801</v>
      </c>
      <c r="ANL5">
        <v>15978</v>
      </c>
      <c r="ANM5">
        <v>16399</v>
      </c>
      <c r="ANN5">
        <v>15005</v>
      </c>
      <c r="ANO5" t="s">
        <v>289</v>
      </c>
      <c r="ANP5" t="s">
        <v>289</v>
      </c>
      <c r="ANQ5" t="s">
        <v>289</v>
      </c>
      <c r="ANR5" t="s">
        <v>289</v>
      </c>
      <c r="ANS5" t="s">
        <v>289</v>
      </c>
      <c r="ANT5" t="s">
        <v>289</v>
      </c>
      <c r="ANU5" t="s">
        <v>289</v>
      </c>
      <c r="ANV5" t="s">
        <v>289</v>
      </c>
      <c r="ANW5" t="s">
        <v>289</v>
      </c>
      <c r="ANX5" t="s">
        <v>289</v>
      </c>
      <c r="ANY5" t="s">
        <v>289</v>
      </c>
      <c r="ANZ5" t="s">
        <v>289</v>
      </c>
      <c r="AOA5" t="s">
        <v>289</v>
      </c>
      <c r="AOB5" t="s">
        <v>289</v>
      </c>
      <c r="AOC5" t="s">
        <v>289</v>
      </c>
      <c r="AOD5" t="s">
        <v>289</v>
      </c>
      <c r="AOE5" t="s">
        <v>289</v>
      </c>
      <c r="AOF5" t="s">
        <v>289</v>
      </c>
      <c r="AOG5" t="s">
        <v>289</v>
      </c>
      <c r="AOH5" t="s">
        <v>289</v>
      </c>
      <c r="AOI5" t="s">
        <v>289</v>
      </c>
      <c r="AOJ5" t="s">
        <v>289</v>
      </c>
      <c r="AOK5" t="s">
        <v>289</v>
      </c>
      <c r="AOL5" t="s">
        <v>289</v>
      </c>
      <c r="AOM5" t="s">
        <v>289</v>
      </c>
      <c r="AON5" t="s">
        <v>289</v>
      </c>
      <c r="AOO5" t="s">
        <v>289</v>
      </c>
      <c r="AOP5" t="s">
        <v>289</v>
      </c>
      <c r="AOQ5" t="s">
        <v>289</v>
      </c>
      <c r="AOR5" t="s">
        <v>289</v>
      </c>
      <c r="AOS5" t="s">
        <v>289</v>
      </c>
      <c r="AOT5" t="s">
        <v>289</v>
      </c>
      <c r="AOU5" t="s">
        <v>289</v>
      </c>
      <c r="AOV5" t="s">
        <v>289</v>
      </c>
      <c r="AOW5" t="s">
        <v>289</v>
      </c>
      <c r="AOX5" t="s">
        <v>289</v>
      </c>
      <c r="AOY5" t="s">
        <v>289</v>
      </c>
      <c r="AOZ5" t="s">
        <v>289</v>
      </c>
      <c r="APA5" t="s">
        <v>289</v>
      </c>
      <c r="APB5" t="s">
        <v>289</v>
      </c>
      <c r="APC5" t="s">
        <v>289</v>
      </c>
      <c r="APD5" t="s">
        <v>289</v>
      </c>
      <c r="APE5" t="s">
        <v>289</v>
      </c>
      <c r="APF5" t="s">
        <v>289</v>
      </c>
      <c r="APG5" t="s">
        <v>289</v>
      </c>
      <c r="APH5" t="s">
        <v>289</v>
      </c>
      <c r="API5" t="s">
        <v>289</v>
      </c>
      <c r="APJ5" t="s">
        <v>289</v>
      </c>
      <c r="APK5" t="s">
        <v>289</v>
      </c>
      <c r="APL5" t="s">
        <v>289</v>
      </c>
      <c r="APM5" t="s">
        <v>289</v>
      </c>
      <c r="APN5" t="s">
        <v>289</v>
      </c>
      <c r="APO5" t="s">
        <v>289</v>
      </c>
      <c r="APP5" t="s">
        <v>289</v>
      </c>
      <c r="APQ5" t="s">
        <v>289</v>
      </c>
      <c r="APR5" t="s">
        <v>289</v>
      </c>
      <c r="APS5" t="s">
        <v>289</v>
      </c>
      <c r="APT5" t="s">
        <v>289</v>
      </c>
      <c r="APU5" t="s">
        <v>289</v>
      </c>
      <c r="APV5" t="s">
        <v>289</v>
      </c>
      <c r="APW5" t="s">
        <v>289</v>
      </c>
      <c r="APX5" t="s">
        <v>289</v>
      </c>
      <c r="APY5" t="s">
        <v>289</v>
      </c>
      <c r="APZ5" t="s">
        <v>289</v>
      </c>
      <c r="AQA5" t="s">
        <v>289</v>
      </c>
      <c r="AQB5" t="s">
        <v>289</v>
      </c>
      <c r="AQC5" t="s">
        <v>289</v>
      </c>
      <c r="AQD5" t="s">
        <v>289</v>
      </c>
      <c r="AQE5" t="s">
        <v>289</v>
      </c>
      <c r="AQF5" t="s">
        <v>289</v>
      </c>
      <c r="AQG5" t="s">
        <v>289</v>
      </c>
      <c r="AQH5" t="s">
        <v>289</v>
      </c>
      <c r="AQI5" t="s">
        <v>289</v>
      </c>
      <c r="AQJ5" t="s">
        <v>289</v>
      </c>
      <c r="AQK5" t="s">
        <v>289</v>
      </c>
      <c r="AQL5" t="s">
        <v>289</v>
      </c>
      <c r="AQM5" t="s">
        <v>289</v>
      </c>
      <c r="AQN5" t="s">
        <v>289</v>
      </c>
      <c r="AQO5" t="s">
        <v>289</v>
      </c>
      <c r="AQP5">
        <v>1493</v>
      </c>
      <c r="AQQ5">
        <v>1078</v>
      </c>
      <c r="AQR5">
        <v>846</v>
      </c>
      <c r="AQS5">
        <v>647</v>
      </c>
      <c r="AQT5">
        <v>719</v>
      </c>
      <c r="AQU5">
        <v>829</v>
      </c>
      <c r="AQV5">
        <v>982</v>
      </c>
      <c r="AQW5">
        <v>1138</v>
      </c>
      <c r="AQX5">
        <v>1221</v>
      </c>
      <c r="AQY5">
        <v>1255</v>
      </c>
      <c r="AQZ5">
        <v>1280</v>
      </c>
      <c r="ARA5">
        <v>1323</v>
      </c>
      <c r="ARB5">
        <v>1553</v>
      </c>
      <c r="ARC5">
        <v>2397</v>
      </c>
      <c r="ARD5">
        <v>2564</v>
      </c>
      <c r="ARE5">
        <v>2563</v>
      </c>
      <c r="ARF5" t="s">
        <v>289</v>
      </c>
      <c r="ARG5" t="s">
        <v>289</v>
      </c>
      <c r="ARH5" t="s">
        <v>289</v>
      </c>
      <c r="ARI5" t="s">
        <v>289</v>
      </c>
      <c r="ARJ5" t="s">
        <v>289</v>
      </c>
      <c r="ARK5" t="s">
        <v>289</v>
      </c>
      <c r="ARL5" t="s">
        <v>289</v>
      </c>
      <c r="ARM5" t="s">
        <v>289</v>
      </c>
      <c r="ARN5" t="s">
        <v>289</v>
      </c>
      <c r="ARO5" t="s">
        <v>289</v>
      </c>
      <c r="ARP5" t="s">
        <v>289</v>
      </c>
      <c r="ARQ5" t="s">
        <v>289</v>
      </c>
      <c r="ARR5" t="s">
        <v>289</v>
      </c>
      <c r="ARS5" t="s">
        <v>289</v>
      </c>
      <c r="ART5" t="s">
        <v>289</v>
      </c>
      <c r="ARU5" t="s">
        <v>289</v>
      </c>
      <c r="ARV5" t="s">
        <v>289</v>
      </c>
      <c r="ARW5" t="s">
        <v>289</v>
      </c>
      <c r="ARX5" t="s">
        <v>289</v>
      </c>
      <c r="ARY5" t="s">
        <v>289</v>
      </c>
      <c r="ARZ5" t="s">
        <v>289</v>
      </c>
      <c r="ASA5" t="s">
        <v>289</v>
      </c>
      <c r="ASB5" t="s">
        <v>289</v>
      </c>
      <c r="ASC5" t="s">
        <v>289</v>
      </c>
      <c r="ASD5" t="s">
        <v>289</v>
      </c>
      <c r="ASE5" t="s">
        <v>289</v>
      </c>
      <c r="ASF5" t="s">
        <v>289</v>
      </c>
      <c r="ASG5" t="s">
        <v>289</v>
      </c>
      <c r="ASH5" t="s">
        <v>289</v>
      </c>
      <c r="ASI5" t="s">
        <v>289</v>
      </c>
      <c r="ASJ5" t="s">
        <v>289</v>
      </c>
      <c r="ASK5" t="s">
        <v>289</v>
      </c>
      <c r="ASL5" t="s">
        <v>289</v>
      </c>
      <c r="ASM5" t="s">
        <v>289</v>
      </c>
      <c r="ASN5" t="s">
        <v>289</v>
      </c>
      <c r="ASO5" t="s">
        <v>289</v>
      </c>
      <c r="ASP5" t="s">
        <v>289</v>
      </c>
      <c r="ASQ5" t="s">
        <v>289</v>
      </c>
      <c r="ASR5" t="s">
        <v>289</v>
      </c>
      <c r="ASS5" t="s">
        <v>289</v>
      </c>
      <c r="AST5" t="s">
        <v>289</v>
      </c>
      <c r="ASU5" t="s">
        <v>289</v>
      </c>
      <c r="ASV5" t="s">
        <v>289</v>
      </c>
      <c r="ASW5" t="s">
        <v>289</v>
      </c>
      <c r="ASX5" t="s">
        <v>289</v>
      </c>
      <c r="ASY5" t="s">
        <v>289</v>
      </c>
      <c r="ASZ5" t="s">
        <v>289</v>
      </c>
      <c r="ATA5" t="s">
        <v>289</v>
      </c>
      <c r="ATB5" t="s">
        <v>289</v>
      </c>
      <c r="ATC5" t="s">
        <v>289</v>
      </c>
      <c r="ATD5" t="s">
        <v>289</v>
      </c>
      <c r="ATE5" t="s">
        <v>289</v>
      </c>
      <c r="ATF5" t="s">
        <v>289</v>
      </c>
      <c r="ATG5" t="s">
        <v>289</v>
      </c>
      <c r="ATH5" t="s">
        <v>289</v>
      </c>
      <c r="ATI5" t="s">
        <v>289</v>
      </c>
      <c r="ATJ5" t="s">
        <v>289</v>
      </c>
      <c r="ATK5" t="s">
        <v>289</v>
      </c>
      <c r="ATL5" t="s">
        <v>289</v>
      </c>
      <c r="ATM5" t="s">
        <v>289</v>
      </c>
      <c r="ATN5" t="s">
        <v>289</v>
      </c>
      <c r="ATO5" t="s">
        <v>289</v>
      </c>
      <c r="ATP5" t="s">
        <v>289</v>
      </c>
      <c r="ATQ5" t="s">
        <v>289</v>
      </c>
      <c r="ATR5" t="s">
        <v>289</v>
      </c>
      <c r="ATS5" t="s">
        <v>289</v>
      </c>
      <c r="ATT5" t="s">
        <v>289</v>
      </c>
      <c r="ATU5" t="s">
        <v>289</v>
      </c>
      <c r="ATV5" t="s">
        <v>289</v>
      </c>
      <c r="ATW5" t="s">
        <v>289</v>
      </c>
      <c r="ATX5" t="s">
        <v>289</v>
      </c>
      <c r="ATY5" t="s">
        <v>289</v>
      </c>
      <c r="ATZ5" t="s">
        <v>289</v>
      </c>
      <c r="AUA5" t="s">
        <v>289</v>
      </c>
      <c r="AUB5" t="s">
        <v>289</v>
      </c>
      <c r="AUC5" t="s">
        <v>289</v>
      </c>
      <c r="AUD5" t="s">
        <v>289</v>
      </c>
      <c r="AUE5" t="s">
        <v>289</v>
      </c>
      <c r="AUF5" t="s">
        <v>289</v>
      </c>
      <c r="AUG5" t="s">
        <v>289</v>
      </c>
      <c r="AUH5" t="s">
        <v>289</v>
      </c>
      <c r="AUI5" t="s">
        <v>289</v>
      </c>
      <c r="AUJ5" t="s">
        <v>289</v>
      </c>
      <c r="AUK5" t="s">
        <v>289</v>
      </c>
      <c r="AUL5" t="s">
        <v>289</v>
      </c>
      <c r="AUM5" t="s">
        <v>289</v>
      </c>
      <c r="AUN5" t="s">
        <v>289</v>
      </c>
      <c r="AUO5" t="s">
        <v>289</v>
      </c>
      <c r="AUP5" t="s">
        <v>289</v>
      </c>
      <c r="AUQ5" t="s">
        <v>289</v>
      </c>
      <c r="AUR5" t="s">
        <v>289</v>
      </c>
      <c r="AUS5" t="s">
        <v>289</v>
      </c>
      <c r="AUT5" t="s">
        <v>289</v>
      </c>
      <c r="AUU5" t="s">
        <v>289</v>
      </c>
      <c r="AUV5" t="s">
        <v>289</v>
      </c>
      <c r="AUW5" t="s">
        <v>289</v>
      </c>
      <c r="AUX5" t="s">
        <v>289</v>
      </c>
      <c r="AUY5" t="s">
        <v>289</v>
      </c>
      <c r="AUZ5" t="s">
        <v>289</v>
      </c>
      <c r="AVA5" t="s">
        <v>289</v>
      </c>
      <c r="AVB5" t="s">
        <v>289</v>
      </c>
      <c r="AVC5" t="s">
        <v>289</v>
      </c>
      <c r="AVD5" t="s">
        <v>289</v>
      </c>
      <c r="AVE5" t="s">
        <v>289</v>
      </c>
      <c r="AVF5" t="s">
        <v>289</v>
      </c>
      <c r="AVG5" t="s">
        <v>289</v>
      </c>
      <c r="AVH5" t="s">
        <v>289</v>
      </c>
      <c r="AVI5" t="s">
        <v>289</v>
      </c>
      <c r="AVJ5" t="s">
        <v>289</v>
      </c>
      <c r="AVK5" t="s">
        <v>289</v>
      </c>
      <c r="AVL5" t="s">
        <v>289</v>
      </c>
      <c r="AVM5" t="s">
        <v>289</v>
      </c>
      <c r="AVN5" t="s">
        <v>289</v>
      </c>
      <c r="AVO5" t="s">
        <v>289</v>
      </c>
      <c r="AVP5" t="s">
        <v>289</v>
      </c>
      <c r="AVQ5" t="s">
        <v>289</v>
      </c>
      <c r="AVR5" t="s">
        <v>289</v>
      </c>
      <c r="AVS5" t="s">
        <v>289</v>
      </c>
      <c r="AVT5" t="s">
        <v>289</v>
      </c>
      <c r="AVU5" t="s">
        <v>289</v>
      </c>
      <c r="AVV5" t="s">
        <v>289</v>
      </c>
      <c r="AVW5" t="s">
        <v>289</v>
      </c>
      <c r="AVX5" t="s">
        <v>289</v>
      </c>
      <c r="AVY5" t="s">
        <v>289</v>
      </c>
      <c r="AVZ5" t="s">
        <v>289</v>
      </c>
      <c r="AWA5" t="s">
        <v>289</v>
      </c>
      <c r="AWB5" t="s">
        <v>289</v>
      </c>
      <c r="AWC5" t="s">
        <v>289</v>
      </c>
      <c r="AWD5" t="s">
        <v>289</v>
      </c>
      <c r="AWE5" t="s">
        <v>289</v>
      </c>
      <c r="AWF5" t="s">
        <v>289</v>
      </c>
      <c r="AWG5" t="s">
        <v>289</v>
      </c>
      <c r="AWH5" t="s">
        <v>289</v>
      </c>
      <c r="AWI5" t="s">
        <v>289</v>
      </c>
      <c r="AWJ5" t="s">
        <v>289</v>
      </c>
      <c r="AWK5" t="s">
        <v>289</v>
      </c>
      <c r="AWL5" t="s">
        <v>289</v>
      </c>
      <c r="AWM5" t="s">
        <v>289</v>
      </c>
      <c r="AWN5" t="s">
        <v>289</v>
      </c>
      <c r="AWO5" t="s">
        <v>289</v>
      </c>
      <c r="AWP5" t="s">
        <v>289</v>
      </c>
      <c r="AWQ5" t="s">
        <v>289</v>
      </c>
      <c r="AWR5" t="s">
        <v>289</v>
      </c>
      <c r="AWS5" t="s">
        <v>289</v>
      </c>
      <c r="AWT5" t="s">
        <v>289</v>
      </c>
      <c r="AWU5" t="s">
        <v>289</v>
      </c>
      <c r="AWV5" t="s">
        <v>289</v>
      </c>
      <c r="AWW5" t="s">
        <v>289</v>
      </c>
      <c r="AWX5" t="s">
        <v>289</v>
      </c>
      <c r="AWY5" t="s">
        <v>289</v>
      </c>
      <c r="AWZ5" t="s">
        <v>289</v>
      </c>
      <c r="AXA5" t="s">
        <v>289</v>
      </c>
      <c r="AXB5" t="s">
        <v>289</v>
      </c>
      <c r="AXC5" t="s">
        <v>289</v>
      </c>
      <c r="AXD5" t="s">
        <v>289</v>
      </c>
      <c r="AXE5" t="s">
        <v>289</v>
      </c>
      <c r="AXF5" t="s">
        <v>289</v>
      </c>
      <c r="AXG5" t="s">
        <v>289</v>
      </c>
      <c r="AXH5" t="s">
        <v>289</v>
      </c>
      <c r="AXI5" t="s">
        <v>289</v>
      </c>
      <c r="AXJ5" t="s">
        <v>289</v>
      </c>
      <c r="AXK5" t="s">
        <v>289</v>
      </c>
      <c r="AXL5" t="s">
        <v>289</v>
      </c>
      <c r="AXM5" t="s">
        <v>289</v>
      </c>
      <c r="AXN5" t="s">
        <v>289</v>
      </c>
      <c r="AXO5" t="s">
        <v>289</v>
      </c>
      <c r="AXP5" t="s">
        <v>289</v>
      </c>
      <c r="AXQ5" t="s">
        <v>289</v>
      </c>
      <c r="AXR5" t="s">
        <v>289</v>
      </c>
      <c r="AXS5" t="s">
        <v>289</v>
      </c>
      <c r="AXT5" t="s">
        <v>289</v>
      </c>
      <c r="AXU5" t="s">
        <v>289</v>
      </c>
      <c r="AXV5" t="s">
        <v>289</v>
      </c>
      <c r="AXW5" t="s">
        <v>289</v>
      </c>
      <c r="AXX5" t="s">
        <v>289</v>
      </c>
      <c r="AXY5" t="s">
        <v>289</v>
      </c>
      <c r="AXZ5" t="s">
        <v>289</v>
      </c>
      <c r="AYA5" t="s">
        <v>289</v>
      </c>
      <c r="AYB5" t="s">
        <v>289</v>
      </c>
      <c r="AYC5" t="s">
        <v>289</v>
      </c>
      <c r="AYD5" t="s">
        <v>289</v>
      </c>
      <c r="AYE5" t="s">
        <v>289</v>
      </c>
      <c r="AYF5" t="s">
        <v>289</v>
      </c>
      <c r="AYG5" t="s">
        <v>289</v>
      </c>
      <c r="AYH5" t="s">
        <v>289</v>
      </c>
      <c r="AYI5" t="s">
        <v>289</v>
      </c>
      <c r="AYJ5" t="s">
        <v>289</v>
      </c>
      <c r="AYK5" t="s">
        <v>289</v>
      </c>
      <c r="AYL5" t="s">
        <v>289</v>
      </c>
      <c r="AYM5" t="s">
        <v>289</v>
      </c>
      <c r="AYN5" t="s">
        <v>289</v>
      </c>
      <c r="AYO5" t="s">
        <v>289</v>
      </c>
      <c r="AYP5" t="s">
        <v>289</v>
      </c>
      <c r="AYQ5" t="s">
        <v>289</v>
      </c>
      <c r="AYR5" t="s">
        <v>289</v>
      </c>
      <c r="AYS5" t="s">
        <v>289</v>
      </c>
      <c r="AYT5" t="s">
        <v>289</v>
      </c>
      <c r="AYU5" t="s">
        <v>289</v>
      </c>
      <c r="AYV5" t="s">
        <v>289</v>
      </c>
      <c r="AYW5" t="s">
        <v>289</v>
      </c>
      <c r="AYX5" t="s">
        <v>289</v>
      </c>
      <c r="AYY5" t="s">
        <v>289</v>
      </c>
      <c r="AYZ5" t="s">
        <v>289</v>
      </c>
      <c r="AZA5" t="s">
        <v>289</v>
      </c>
      <c r="AZB5" t="s">
        <v>289</v>
      </c>
      <c r="AZC5" t="s">
        <v>289</v>
      </c>
      <c r="AZD5" t="s">
        <v>289</v>
      </c>
      <c r="AZE5" t="s">
        <v>289</v>
      </c>
      <c r="AZF5" t="s">
        <v>289</v>
      </c>
      <c r="AZG5" t="s">
        <v>289</v>
      </c>
      <c r="AZH5" t="s">
        <v>289</v>
      </c>
      <c r="AZI5" t="s">
        <v>289</v>
      </c>
      <c r="AZJ5">
        <v>998</v>
      </c>
      <c r="AZK5">
        <v>546</v>
      </c>
      <c r="AZL5">
        <v>661</v>
      </c>
      <c r="AZM5">
        <v>706</v>
      </c>
      <c r="AZN5">
        <v>766</v>
      </c>
      <c r="AZO5">
        <v>864</v>
      </c>
      <c r="AZP5">
        <v>996</v>
      </c>
      <c r="AZQ5">
        <v>1397</v>
      </c>
      <c r="AZR5">
        <v>1382</v>
      </c>
      <c r="AZS5">
        <v>1553</v>
      </c>
      <c r="AZT5">
        <v>2083</v>
      </c>
      <c r="AZU5">
        <v>2340</v>
      </c>
      <c r="AZV5">
        <v>2462</v>
      </c>
      <c r="AZW5">
        <v>2236</v>
      </c>
      <c r="AZX5">
        <v>2071</v>
      </c>
      <c r="AZY5">
        <v>1544</v>
      </c>
      <c r="AZZ5" t="s">
        <v>289</v>
      </c>
      <c r="BAA5" t="s">
        <v>289</v>
      </c>
      <c r="BAB5" t="s">
        <v>289</v>
      </c>
      <c r="BAC5" t="s">
        <v>289</v>
      </c>
      <c r="BAD5" t="s">
        <v>289</v>
      </c>
      <c r="BAE5" t="s">
        <v>289</v>
      </c>
      <c r="BAF5" t="s">
        <v>289</v>
      </c>
      <c r="BAG5" t="s">
        <v>289</v>
      </c>
      <c r="BAH5" t="s">
        <v>289</v>
      </c>
      <c r="BAI5" t="s">
        <v>289</v>
      </c>
      <c r="BAJ5" t="s">
        <v>289</v>
      </c>
      <c r="BAK5" t="s">
        <v>289</v>
      </c>
      <c r="BAL5" t="s">
        <v>289</v>
      </c>
      <c r="BAM5" t="s">
        <v>289</v>
      </c>
      <c r="BAN5" t="s">
        <v>289</v>
      </c>
      <c r="BAO5" t="s">
        <v>289</v>
      </c>
      <c r="BAP5" t="s">
        <v>289</v>
      </c>
      <c r="BAQ5" t="s">
        <v>289</v>
      </c>
      <c r="BAR5" t="s">
        <v>289</v>
      </c>
      <c r="BAS5" t="s">
        <v>289</v>
      </c>
      <c r="BAT5" t="s">
        <v>289</v>
      </c>
      <c r="BAU5" t="s">
        <v>289</v>
      </c>
      <c r="BAV5" t="s">
        <v>289</v>
      </c>
      <c r="BAW5" t="s">
        <v>289</v>
      </c>
      <c r="BAX5" t="s">
        <v>289</v>
      </c>
      <c r="BAY5" t="s">
        <v>289</v>
      </c>
      <c r="BAZ5" t="s">
        <v>289</v>
      </c>
      <c r="BBA5" t="s">
        <v>289</v>
      </c>
      <c r="BBB5" t="s">
        <v>289</v>
      </c>
      <c r="BBC5" t="s">
        <v>289</v>
      </c>
      <c r="BBD5" t="s">
        <v>289</v>
      </c>
      <c r="BBE5" t="s">
        <v>289</v>
      </c>
      <c r="BBF5" t="s">
        <v>289</v>
      </c>
      <c r="BBG5" t="s">
        <v>289</v>
      </c>
      <c r="BBH5" t="s">
        <v>289</v>
      </c>
      <c r="BBI5" t="s">
        <v>289</v>
      </c>
      <c r="BBJ5" t="s">
        <v>289</v>
      </c>
      <c r="BBK5" t="s">
        <v>289</v>
      </c>
      <c r="BBL5" t="s">
        <v>289</v>
      </c>
      <c r="BBM5">
        <v>60712</v>
      </c>
      <c r="BBN5" t="s">
        <v>289</v>
      </c>
      <c r="BBO5" t="s">
        <v>289</v>
      </c>
      <c r="BBP5" t="s">
        <v>289</v>
      </c>
      <c r="BBQ5">
        <v>34759</v>
      </c>
      <c r="BBR5">
        <v>34497</v>
      </c>
      <c r="BBS5">
        <v>37518</v>
      </c>
      <c r="BBT5">
        <v>41991</v>
      </c>
      <c r="BBU5">
        <v>46657</v>
      </c>
      <c r="BBV5">
        <v>49939</v>
      </c>
      <c r="BBW5">
        <v>56232</v>
      </c>
      <c r="BBX5">
        <v>63264</v>
      </c>
      <c r="BBY5">
        <v>73323</v>
      </c>
      <c r="BBZ5">
        <v>75055</v>
      </c>
      <c r="BCA5">
        <v>80424</v>
      </c>
      <c r="BCB5">
        <v>84391</v>
      </c>
      <c r="BCC5">
        <v>79088</v>
      </c>
      <c r="BCD5">
        <v>69619</v>
      </c>
      <c r="BCE5" t="s">
        <v>289</v>
      </c>
      <c r="BCF5">
        <v>7381</v>
      </c>
      <c r="BCG5">
        <v>7711</v>
      </c>
      <c r="BCH5">
        <v>8409</v>
      </c>
      <c r="BCI5">
        <v>15631</v>
      </c>
      <c r="BCJ5">
        <v>6912</v>
      </c>
      <c r="BCK5">
        <v>9800</v>
      </c>
      <c r="BCL5">
        <v>10903</v>
      </c>
      <c r="BCM5">
        <v>9576</v>
      </c>
      <c r="BCN5">
        <v>10996</v>
      </c>
      <c r="BCO5">
        <v>11053</v>
      </c>
      <c r="BCP5">
        <v>9667</v>
      </c>
      <c r="BCQ5">
        <v>9936</v>
      </c>
      <c r="BCR5">
        <v>10981</v>
      </c>
      <c r="BCS5">
        <v>12072</v>
      </c>
      <c r="BCT5">
        <v>15853</v>
      </c>
      <c r="BCU5">
        <v>18883</v>
      </c>
      <c r="BCV5">
        <v>23048</v>
      </c>
      <c r="BCW5">
        <v>23120</v>
      </c>
      <c r="BCX5" t="s">
        <v>289</v>
      </c>
      <c r="BCY5">
        <v>68596</v>
      </c>
      <c r="BCZ5">
        <v>46400</v>
      </c>
      <c r="BDA5">
        <v>80431</v>
      </c>
      <c r="BDB5">
        <v>62231</v>
      </c>
      <c r="BDC5">
        <v>55389</v>
      </c>
      <c r="BDD5">
        <v>54280</v>
      </c>
      <c r="BDE5">
        <v>57003</v>
      </c>
      <c r="BDF5">
        <v>61118</v>
      </c>
      <c r="BDG5">
        <v>67458</v>
      </c>
      <c r="BDH5">
        <v>70441</v>
      </c>
      <c r="BDI5">
        <v>77145</v>
      </c>
      <c r="BDJ5">
        <v>91847</v>
      </c>
      <c r="BDK5">
        <v>102052</v>
      </c>
      <c r="BDL5">
        <v>106896</v>
      </c>
      <c r="BDM5">
        <v>121613</v>
      </c>
      <c r="BDN5">
        <v>127800</v>
      </c>
      <c r="BDO5">
        <v>115264</v>
      </c>
      <c r="BDP5">
        <v>102929</v>
      </c>
      <c r="BDQ5" t="s">
        <v>289</v>
      </c>
      <c r="BDR5">
        <v>78020</v>
      </c>
      <c r="BDS5">
        <v>74182</v>
      </c>
      <c r="BDT5">
        <v>92328</v>
      </c>
      <c r="BDU5">
        <v>50701</v>
      </c>
      <c r="BDV5">
        <v>53764</v>
      </c>
      <c r="BDW5">
        <v>47538</v>
      </c>
      <c r="BDX5">
        <v>53139</v>
      </c>
      <c r="BDY5">
        <v>54855</v>
      </c>
      <c r="BDZ5">
        <v>58716</v>
      </c>
      <c r="BEA5">
        <v>59108</v>
      </c>
      <c r="BEB5">
        <v>66974</v>
      </c>
      <c r="BEC5">
        <v>77081</v>
      </c>
      <c r="BED5">
        <v>84457</v>
      </c>
      <c r="BEE5">
        <v>87624</v>
      </c>
      <c r="BEF5">
        <v>97952</v>
      </c>
      <c r="BEG5">
        <v>105802</v>
      </c>
      <c r="BEH5">
        <v>99809</v>
      </c>
      <c r="BEI5">
        <v>87675</v>
      </c>
      <c r="BEJ5" t="s">
        <v>289</v>
      </c>
      <c r="BEK5">
        <v>4674</v>
      </c>
      <c r="BEL5">
        <v>5072</v>
      </c>
      <c r="BEM5">
        <v>7614</v>
      </c>
      <c r="BEN5">
        <v>5202</v>
      </c>
      <c r="BEO5">
        <v>6037</v>
      </c>
      <c r="BEP5">
        <v>6753</v>
      </c>
      <c r="BEQ5">
        <v>7504</v>
      </c>
      <c r="BER5">
        <v>8259</v>
      </c>
      <c r="BES5">
        <v>8885</v>
      </c>
      <c r="BET5">
        <v>9388</v>
      </c>
      <c r="BEU5">
        <v>9367</v>
      </c>
      <c r="BEV5">
        <v>10069</v>
      </c>
      <c r="BEW5">
        <v>12098</v>
      </c>
      <c r="BEX5">
        <v>13735</v>
      </c>
      <c r="BEY5">
        <v>14801</v>
      </c>
      <c r="BEZ5">
        <v>15978</v>
      </c>
      <c r="BFA5">
        <v>16399</v>
      </c>
      <c r="BFB5">
        <v>15005</v>
      </c>
      <c r="BFC5" t="s">
        <v>289</v>
      </c>
      <c r="BFD5">
        <v>2003</v>
      </c>
      <c r="BFE5">
        <v>1881</v>
      </c>
      <c r="BFF5">
        <v>1689</v>
      </c>
      <c r="BFG5">
        <v>693</v>
      </c>
      <c r="BFH5">
        <v>660</v>
      </c>
      <c r="BFI5">
        <v>694</v>
      </c>
      <c r="BFJ5">
        <v>729</v>
      </c>
      <c r="BFK5">
        <v>736</v>
      </c>
      <c r="BFL5">
        <v>729</v>
      </c>
      <c r="BFM5">
        <v>681</v>
      </c>
      <c r="BFN5">
        <v>740</v>
      </c>
      <c r="BFO5">
        <v>727</v>
      </c>
      <c r="BFP5">
        <v>1188</v>
      </c>
      <c r="BFQ5">
        <v>1115</v>
      </c>
      <c r="BFR5">
        <v>1082</v>
      </c>
      <c r="BFS5">
        <v>1217</v>
      </c>
      <c r="BFT5">
        <v>1221</v>
      </c>
      <c r="BFU5">
        <v>764</v>
      </c>
      <c r="BFV5" t="s">
        <v>289</v>
      </c>
      <c r="BFW5">
        <v>60712</v>
      </c>
      <c r="BFX5">
        <v>70977</v>
      </c>
      <c r="BFY5">
        <v>69696</v>
      </c>
      <c r="BFZ5">
        <v>34288</v>
      </c>
      <c r="BGA5">
        <v>34759</v>
      </c>
      <c r="BGB5">
        <v>34497</v>
      </c>
      <c r="BGC5">
        <v>37518</v>
      </c>
      <c r="BGD5">
        <v>41991</v>
      </c>
      <c r="BGE5">
        <v>46657</v>
      </c>
      <c r="BGF5">
        <v>49939</v>
      </c>
      <c r="BGG5">
        <v>56232</v>
      </c>
      <c r="BGH5">
        <v>63264</v>
      </c>
      <c r="BGI5">
        <v>73323</v>
      </c>
      <c r="BGJ5">
        <v>75055</v>
      </c>
      <c r="BGK5">
        <v>80424</v>
      </c>
      <c r="BGL5">
        <v>88625</v>
      </c>
      <c r="BGM5">
        <v>82798</v>
      </c>
      <c r="BGN5">
        <v>72330</v>
      </c>
      <c r="BGO5" t="s">
        <v>289</v>
      </c>
      <c r="BGP5">
        <v>34128</v>
      </c>
      <c r="BGQ5">
        <v>36483</v>
      </c>
      <c r="BGR5">
        <v>54399</v>
      </c>
      <c r="BGS5">
        <v>31542</v>
      </c>
      <c r="BGT5">
        <v>35804</v>
      </c>
      <c r="BGU5">
        <v>25036</v>
      </c>
      <c r="BGV5">
        <v>25821</v>
      </c>
      <c r="BGW5">
        <v>26701</v>
      </c>
      <c r="BGX5">
        <v>32911</v>
      </c>
      <c r="BGY5">
        <v>32992</v>
      </c>
      <c r="BGZ5">
        <v>36290</v>
      </c>
      <c r="BHA5">
        <v>41311</v>
      </c>
      <c r="BHB5">
        <v>47288</v>
      </c>
      <c r="BHC5">
        <v>48746</v>
      </c>
      <c r="BHD5">
        <v>56240</v>
      </c>
      <c r="BHE5">
        <v>62601</v>
      </c>
      <c r="BHF5">
        <v>65815</v>
      </c>
      <c r="BHG5">
        <v>57964</v>
      </c>
      <c r="BHH5" t="s">
        <v>289</v>
      </c>
      <c r="BHI5" t="s">
        <v>289</v>
      </c>
      <c r="BHJ5" t="s">
        <v>289</v>
      </c>
      <c r="BHK5" t="s">
        <v>289</v>
      </c>
      <c r="BHL5" t="s">
        <v>289</v>
      </c>
      <c r="BHM5" t="s">
        <v>289</v>
      </c>
      <c r="BHN5">
        <v>17015</v>
      </c>
      <c r="BHO5">
        <v>15419</v>
      </c>
      <c r="BHP5">
        <v>21016</v>
      </c>
      <c r="BHQ5">
        <v>25086</v>
      </c>
      <c r="BHR5">
        <v>23862</v>
      </c>
      <c r="BHS5">
        <v>26336</v>
      </c>
      <c r="BHT5">
        <v>31030</v>
      </c>
      <c r="BHU5">
        <v>33438</v>
      </c>
      <c r="BHV5">
        <v>34934</v>
      </c>
      <c r="BHW5">
        <v>41123</v>
      </c>
      <c r="BHX5">
        <v>44092</v>
      </c>
      <c r="BHY5">
        <v>47331</v>
      </c>
      <c r="BHZ5">
        <v>42327</v>
      </c>
      <c r="BIA5" t="s">
        <v>289</v>
      </c>
      <c r="BIB5">
        <v>182696</v>
      </c>
      <c r="BIC5">
        <v>201632</v>
      </c>
      <c r="BID5">
        <v>217634</v>
      </c>
      <c r="BIE5">
        <v>135094</v>
      </c>
      <c r="BIF5">
        <v>132219</v>
      </c>
      <c r="BIG5">
        <v>128821</v>
      </c>
      <c r="BIH5">
        <v>135830</v>
      </c>
      <c r="BII5">
        <v>148132</v>
      </c>
      <c r="BIJ5">
        <v>163062</v>
      </c>
      <c r="BIK5">
        <v>168518</v>
      </c>
      <c r="BIL5">
        <v>189635</v>
      </c>
      <c r="BIM5">
        <v>217166</v>
      </c>
      <c r="BIN5">
        <v>242988</v>
      </c>
      <c r="BIO5">
        <v>255345</v>
      </c>
      <c r="BIP5">
        <v>281619</v>
      </c>
      <c r="BIQ5">
        <v>302438</v>
      </c>
      <c r="BIR5">
        <v>285737</v>
      </c>
      <c r="BIS5">
        <v>259831</v>
      </c>
      <c r="BIT5" t="s">
        <v>289</v>
      </c>
      <c r="BIU5" t="s">
        <v>289</v>
      </c>
      <c r="BIV5" t="s">
        <v>289</v>
      </c>
      <c r="BIW5" t="s">
        <v>289</v>
      </c>
      <c r="BIX5" t="s">
        <v>289</v>
      </c>
      <c r="BIY5" t="s">
        <v>289</v>
      </c>
      <c r="BIZ5" t="s">
        <v>289</v>
      </c>
      <c r="BJA5" t="s">
        <v>289</v>
      </c>
      <c r="BJB5" t="s">
        <v>289</v>
      </c>
      <c r="BJC5" t="s">
        <v>289</v>
      </c>
      <c r="BJD5" t="s">
        <v>289</v>
      </c>
      <c r="BJE5" t="s">
        <v>289</v>
      </c>
      <c r="BJF5" t="s">
        <v>289</v>
      </c>
      <c r="BJG5" t="s">
        <v>289</v>
      </c>
      <c r="BJH5" t="s">
        <v>289</v>
      </c>
      <c r="BJI5" t="s">
        <v>289</v>
      </c>
      <c r="BJJ5" t="s">
        <v>289</v>
      </c>
      <c r="BJK5" t="s">
        <v>289</v>
      </c>
      <c r="BJL5" t="s">
        <v>289</v>
      </c>
      <c r="BJM5" t="s">
        <v>289</v>
      </c>
      <c r="BJN5">
        <v>-24578</v>
      </c>
      <c r="BJO5">
        <v>-27088</v>
      </c>
      <c r="BJP5">
        <v>-21685</v>
      </c>
      <c r="BJQ5">
        <v>-15478</v>
      </c>
      <c r="BJR5">
        <v>-3559</v>
      </c>
      <c r="BJS5">
        <v>-2423</v>
      </c>
      <c r="BJT5">
        <v>-3653</v>
      </c>
      <c r="BJU5">
        <v>-4158</v>
      </c>
      <c r="BJV5">
        <v>-4827</v>
      </c>
      <c r="BJW5">
        <v>-4975</v>
      </c>
      <c r="BJX5">
        <v>-4844</v>
      </c>
      <c r="BJY5">
        <v>-5075</v>
      </c>
      <c r="BJZ5">
        <v>-5889</v>
      </c>
      <c r="BKA5">
        <v>-6744</v>
      </c>
      <c r="BKB5">
        <v>-7534</v>
      </c>
      <c r="BKC5">
        <v>-7199</v>
      </c>
      <c r="BKD5">
        <v>-5741</v>
      </c>
      <c r="BKE5">
        <v>-4579</v>
      </c>
      <c r="BKF5" t="s">
        <v>289</v>
      </c>
      <c r="BKG5">
        <v>11262</v>
      </c>
      <c r="BKH5">
        <v>12653</v>
      </c>
      <c r="BKI5">
        <v>12944</v>
      </c>
      <c r="BKJ5">
        <v>8048</v>
      </c>
      <c r="BKK5">
        <v>5729</v>
      </c>
      <c r="BKL5">
        <v>3264</v>
      </c>
      <c r="BKM5">
        <v>3364</v>
      </c>
      <c r="BKN5">
        <v>3575</v>
      </c>
      <c r="BKO5">
        <v>4067</v>
      </c>
      <c r="BKP5">
        <v>4368</v>
      </c>
      <c r="BKQ5">
        <v>4999</v>
      </c>
      <c r="BKR5">
        <v>5384</v>
      </c>
      <c r="BKS5">
        <v>5478</v>
      </c>
      <c r="BKT5">
        <v>5676</v>
      </c>
      <c r="BKU5">
        <v>6305</v>
      </c>
      <c r="BKV5">
        <v>7751</v>
      </c>
      <c r="BKW5">
        <v>8957</v>
      </c>
      <c r="BKX5">
        <v>6980</v>
      </c>
      <c r="BKY5" t="s">
        <v>289</v>
      </c>
      <c r="BKZ5">
        <v>4535</v>
      </c>
      <c r="BLA5">
        <v>2800</v>
      </c>
      <c r="BLB5">
        <v>4524</v>
      </c>
      <c r="BLC5">
        <v>7791</v>
      </c>
      <c r="BLD5">
        <v>5956</v>
      </c>
      <c r="BLE5">
        <v>-244</v>
      </c>
      <c r="BLF5">
        <v>7274</v>
      </c>
      <c r="BLG5">
        <v>8690</v>
      </c>
      <c r="BLH5">
        <v>8084</v>
      </c>
      <c r="BLI5">
        <v>7819</v>
      </c>
      <c r="BLJ5">
        <v>9397</v>
      </c>
      <c r="BLK5">
        <v>12749</v>
      </c>
      <c r="BLL5">
        <v>12125</v>
      </c>
      <c r="BLM5">
        <v>13060</v>
      </c>
      <c r="BLN5">
        <v>10266</v>
      </c>
      <c r="BLO5">
        <v>4112</v>
      </c>
      <c r="BLP5">
        <v>5667</v>
      </c>
      <c r="BLQ5">
        <v>14359</v>
      </c>
      <c r="BLR5" t="s">
        <v>289</v>
      </c>
      <c r="BLS5">
        <v>15797</v>
      </c>
      <c r="BLT5">
        <v>15453</v>
      </c>
      <c r="BLU5">
        <v>17468</v>
      </c>
      <c r="BLV5">
        <v>15839</v>
      </c>
      <c r="BLW5">
        <v>11685</v>
      </c>
      <c r="BLX5">
        <v>3020</v>
      </c>
      <c r="BLY5">
        <v>10638</v>
      </c>
      <c r="BLZ5">
        <v>12265</v>
      </c>
      <c r="BMA5">
        <v>12151</v>
      </c>
      <c r="BMB5">
        <v>12187</v>
      </c>
      <c r="BMC5">
        <v>14396</v>
      </c>
      <c r="BMD5">
        <v>18133</v>
      </c>
      <c r="BME5">
        <v>17603</v>
      </c>
      <c r="BMF5">
        <v>18736</v>
      </c>
      <c r="BMG5">
        <v>16571</v>
      </c>
      <c r="BMH5">
        <v>11863</v>
      </c>
      <c r="BMI5">
        <v>14624</v>
      </c>
      <c r="BMJ5">
        <v>21339</v>
      </c>
      <c r="BMK5" t="s">
        <v>289</v>
      </c>
      <c r="BML5" t="s">
        <v>289</v>
      </c>
      <c r="BMM5" t="s">
        <v>289</v>
      </c>
      <c r="BMN5" t="s">
        <v>289</v>
      </c>
      <c r="BMO5" t="s">
        <v>289</v>
      </c>
      <c r="BMP5" t="s">
        <v>289</v>
      </c>
      <c r="BMQ5">
        <v>3765</v>
      </c>
      <c r="BMR5">
        <v>10507</v>
      </c>
      <c r="BMS5">
        <v>12296</v>
      </c>
      <c r="BMT5">
        <v>12251</v>
      </c>
      <c r="BMU5">
        <v>12383</v>
      </c>
      <c r="BMV5">
        <v>15423</v>
      </c>
      <c r="BMW5">
        <v>18657</v>
      </c>
      <c r="BMX5">
        <v>19157</v>
      </c>
      <c r="BMY5">
        <v>18507</v>
      </c>
      <c r="BMZ5">
        <v>16736</v>
      </c>
      <c r="BNA5">
        <v>19517</v>
      </c>
      <c r="BNB5">
        <v>17267</v>
      </c>
      <c r="BNC5">
        <v>12193</v>
      </c>
      <c r="BND5" t="s">
        <v>289</v>
      </c>
      <c r="BNE5">
        <v>142059</v>
      </c>
      <c r="BNF5">
        <v>149776</v>
      </c>
      <c r="BNG5">
        <v>151589</v>
      </c>
      <c r="BNH5">
        <v>99399</v>
      </c>
      <c r="BNI5">
        <v>95873</v>
      </c>
      <c r="BNJ5">
        <v>78924</v>
      </c>
      <c r="BNK5">
        <v>97761</v>
      </c>
      <c r="BNL5">
        <v>106540</v>
      </c>
      <c r="BNM5">
        <v>114297</v>
      </c>
      <c r="BNN5">
        <v>117982</v>
      </c>
      <c r="BNO5">
        <v>129872</v>
      </c>
      <c r="BNP5">
        <v>149467</v>
      </c>
      <c r="BNQ5">
        <v>153261</v>
      </c>
      <c r="BNR5">
        <v>164330</v>
      </c>
      <c r="BNS5">
        <v>167362</v>
      </c>
      <c r="BNT5">
        <v>172745</v>
      </c>
      <c r="BNU5">
        <v>154309</v>
      </c>
      <c r="BNV5">
        <v>167971</v>
      </c>
      <c r="BNW5" t="s">
        <v>289</v>
      </c>
      <c r="BNX5">
        <v>10943</v>
      </c>
      <c r="BNY5">
        <v>12380</v>
      </c>
      <c r="BNZ5">
        <v>13215</v>
      </c>
      <c r="BOA5">
        <v>8048</v>
      </c>
      <c r="BOB5">
        <v>2176</v>
      </c>
      <c r="BOC5">
        <v>2436</v>
      </c>
      <c r="BOD5">
        <v>2477</v>
      </c>
      <c r="BOE5">
        <v>2572</v>
      </c>
      <c r="BOF5">
        <v>2887</v>
      </c>
      <c r="BOG5">
        <v>2992</v>
      </c>
      <c r="BOH5">
        <v>3501</v>
      </c>
      <c r="BOI5">
        <v>3804</v>
      </c>
      <c r="BOJ5">
        <v>3891</v>
      </c>
      <c r="BOK5">
        <v>3921</v>
      </c>
      <c r="BOL5">
        <v>4291</v>
      </c>
      <c r="BOM5">
        <v>5370</v>
      </c>
      <c r="BON5">
        <v>5940</v>
      </c>
      <c r="BOO5">
        <v>4430</v>
      </c>
      <c r="BOP5" t="s">
        <v>289</v>
      </c>
      <c r="BOQ5">
        <v>4535</v>
      </c>
      <c r="BOR5">
        <v>2800</v>
      </c>
      <c r="BOS5">
        <v>4524</v>
      </c>
      <c r="BOT5">
        <v>7791</v>
      </c>
      <c r="BOU5">
        <v>5956</v>
      </c>
      <c r="BOV5">
        <v>-244</v>
      </c>
      <c r="BOW5">
        <v>7274</v>
      </c>
      <c r="BOX5">
        <v>8690</v>
      </c>
      <c r="BOY5">
        <v>8084</v>
      </c>
      <c r="BOZ5">
        <v>7819</v>
      </c>
      <c r="BPA5">
        <v>9397</v>
      </c>
      <c r="BPB5">
        <v>12749</v>
      </c>
      <c r="BPC5">
        <v>12125</v>
      </c>
      <c r="BPD5">
        <v>13060</v>
      </c>
      <c r="BPE5">
        <v>10266</v>
      </c>
      <c r="BPF5">
        <v>4112</v>
      </c>
      <c r="BPG5">
        <v>5667</v>
      </c>
      <c r="BPH5">
        <v>14359</v>
      </c>
      <c r="BPI5" t="s">
        <v>289</v>
      </c>
      <c r="BPJ5">
        <v>64965</v>
      </c>
      <c r="BPK5">
        <v>68285</v>
      </c>
      <c r="BPL5">
        <v>94185</v>
      </c>
      <c r="BPM5">
        <v>42868</v>
      </c>
      <c r="BPN5">
        <v>57111</v>
      </c>
      <c r="BPO5">
        <v>-7701</v>
      </c>
      <c r="BPP5">
        <v>-14239</v>
      </c>
      <c r="BPQ5">
        <v>-15073</v>
      </c>
      <c r="BPR5">
        <v>-14036</v>
      </c>
      <c r="BPS5">
        <v>-17115</v>
      </c>
      <c r="BPT5">
        <v>-19795</v>
      </c>
      <c r="BPU5">
        <v>-21112</v>
      </c>
      <c r="BPV5">
        <v>-22902</v>
      </c>
      <c r="BPW5">
        <v>-19122</v>
      </c>
      <c r="BPX5">
        <v>-18747</v>
      </c>
      <c r="BPY5">
        <v>-12929</v>
      </c>
      <c r="BPZ5">
        <v>-18978</v>
      </c>
      <c r="BQA5">
        <v>-23699</v>
      </c>
      <c r="BQB5" t="s">
        <v>289</v>
      </c>
      <c r="BQC5">
        <v>142059</v>
      </c>
      <c r="BQD5">
        <v>149776</v>
      </c>
      <c r="BQE5">
        <v>99222</v>
      </c>
      <c r="BQF5">
        <v>99399</v>
      </c>
      <c r="BQG5">
        <v>95873</v>
      </c>
      <c r="BQH5">
        <v>78924</v>
      </c>
      <c r="BQI5">
        <v>97761</v>
      </c>
      <c r="BQJ5">
        <v>106540</v>
      </c>
      <c r="BQK5">
        <v>114297</v>
      </c>
      <c r="BQL5">
        <v>117982</v>
      </c>
      <c r="BQM5">
        <v>129872</v>
      </c>
      <c r="BQN5">
        <v>149467</v>
      </c>
      <c r="BQO5">
        <v>153261</v>
      </c>
      <c r="BQP5">
        <v>164154</v>
      </c>
      <c r="BQQ5">
        <v>167362</v>
      </c>
      <c r="BQR5">
        <v>172745</v>
      </c>
      <c r="BQS5">
        <v>121778</v>
      </c>
      <c r="BQT5">
        <v>133893</v>
      </c>
      <c r="BQU5" t="s">
        <v>289</v>
      </c>
      <c r="BQV5" t="s">
        <v>289</v>
      </c>
      <c r="BQW5" t="s">
        <v>289</v>
      </c>
      <c r="BQX5">
        <v>19014</v>
      </c>
      <c r="BQY5">
        <v>3852</v>
      </c>
      <c r="BQZ5">
        <v>4140</v>
      </c>
      <c r="BRA5">
        <v>4082</v>
      </c>
      <c r="BRB5">
        <v>4329</v>
      </c>
      <c r="BRC5">
        <v>3184</v>
      </c>
      <c r="BRD5">
        <v>11299</v>
      </c>
      <c r="BRE5">
        <v>9869</v>
      </c>
      <c r="BRF5">
        <v>12806</v>
      </c>
      <c r="BRG5">
        <v>8663</v>
      </c>
      <c r="BRH5">
        <v>9034</v>
      </c>
      <c r="BRI5">
        <v>5767</v>
      </c>
      <c r="BRJ5">
        <v>7393</v>
      </c>
      <c r="BRK5">
        <v>9728</v>
      </c>
      <c r="BRL5">
        <v>12070</v>
      </c>
      <c r="BRM5">
        <v>5359</v>
      </c>
      <c r="BRN5" t="s">
        <v>289</v>
      </c>
      <c r="BRO5" t="s">
        <v>289</v>
      </c>
      <c r="BRP5" t="s">
        <v>289</v>
      </c>
      <c r="BRQ5" t="s">
        <v>289</v>
      </c>
      <c r="BRR5" t="s">
        <v>289</v>
      </c>
      <c r="BRS5" t="s">
        <v>289</v>
      </c>
      <c r="BRT5">
        <v>-3845</v>
      </c>
      <c r="BRU5">
        <v>-5208</v>
      </c>
      <c r="BRV5">
        <v>-5876</v>
      </c>
      <c r="BRW5">
        <v>-6657</v>
      </c>
      <c r="BRX5">
        <v>-6907</v>
      </c>
      <c r="BRY5">
        <v>-6307</v>
      </c>
      <c r="BRZ5">
        <v>-7336</v>
      </c>
      <c r="BSA5">
        <v>-8833</v>
      </c>
      <c r="BSB5">
        <v>-10158</v>
      </c>
      <c r="BSC5">
        <v>-10701</v>
      </c>
      <c r="BSD5">
        <v>-10835</v>
      </c>
      <c r="BSE5">
        <v>-8560</v>
      </c>
      <c r="BSF5">
        <v>-7320</v>
      </c>
      <c r="BSG5" t="s">
        <v>289</v>
      </c>
      <c r="BSH5" t="s">
        <v>289</v>
      </c>
      <c r="BSI5" t="s">
        <v>289</v>
      </c>
      <c r="BSJ5" t="s">
        <v>289</v>
      </c>
      <c r="BSK5" t="s">
        <v>289</v>
      </c>
      <c r="BSL5" t="s">
        <v>289</v>
      </c>
      <c r="BSM5">
        <v>-1422</v>
      </c>
      <c r="BSN5">
        <v>-1555</v>
      </c>
      <c r="BSO5">
        <v>-1718</v>
      </c>
      <c r="BSP5">
        <v>-1830</v>
      </c>
      <c r="BSQ5">
        <v>-1932</v>
      </c>
      <c r="BSR5">
        <v>-1463</v>
      </c>
      <c r="BSS5">
        <v>-2261</v>
      </c>
      <c r="BST5">
        <v>-2944</v>
      </c>
      <c r="BSU5">
        <v>-3414</v>
      </c>
      <c r="BSV5">
        <v>-3167</v>
      </c>
      <c r="BSW5">
        <v>-3636</v>
      </c>
      <c r="BSX5">
        <v>-2819</v>
      </c>
      <c r="BSY5">
        <v>-2741</v>
      </c>
      <c r="BSZ5" t="s">
        <v>289</v>
      </c>
      <c r="BTA5" t="s">
        <v>289</v>
      </c>
      <c r="BTB5" t="s">
        <v>289</v>
      </c>
      <c r="BTC5">
        <v>-1322</v>
      </c>
      <c r="BTD5">
        <v>-1354</v>
      </c>
      <c r="BTE5">
        <v>-1543</v>
      </c>
      <c r="BTF5">
        <v>-1422</v>
      </c>
      <c r="BTG5">
        <v>-1555</v>
      </c>
      <c r="BTH5">
        <v>-1718</v>
      </c>
      <c r="BTI5">
        <v>-1830</v>
      </c>
      <c r="BTJ5">
        <v>-1932</v>
      </c>
      <c r="BTK5">
        <v>-1463</v>
      </c>
      <c r="BTL5">
        <v>-2261</v>
      </c>
      <c r="BTM5">
        <v>-2944</v>
      </c>
      <c r="BTN5">
        <v>-3414</v>
      </c>
      <c r="BTO5">
        <v>-3167</v>
      </c>
      <c r="BTP5">
        <v>-3636</v>
      </c>
      <c r="BTQ5">
        <v>-2819</v>
      </c>
      <c r="BTR5">
        <v>-2741</v>
      </c>
      <c r="BTS5" t="s">
        <v>289</v>
      </c>
      <c r="BTT5" t="s">
        <v>289</v>
      </c>
      <c r="BTU5" t="s">
        <v>289</v>
      </c>
      <c r="BTV5" t="s">
        <v>289</v>
      </c>
      <c r="BTW5" t="s">
        <v>289</v>
      </c>
      <c r="BTX5" t="s">
        <v>289</v>
      </c>
      <c r="BTY5" t="s">
        <v>289</v>
      </c>
      <c r="BTZ5" t="s">
        <v>289</v>
      </c>
      <c r="BUA5" t="s">
        <v>289</v>
      </c>
      <c r="BUB5" t="s">
        <v>289</v>
      </c>
      <c r="BUC5" t="s">
        <v>289</v>
      </c>
      <c r="BUD5" t="s">
        <v>289</v>
      </c>
      <c r="BUE5" t="s">
        <v>289</v>
      </c>
      <c r="BUF5" t="s">
        <v>289</v>
      </c>
      <c r="BUG5" t="s">
        <v>289</v>
      </c>
      <c r="BUH5" t="s">
        <v>289</v>
      </c>
      <c r="BUI5" t="s">
        <v>289</v>
      </c>
      <c r="BUJ5" t="s">
        <v>289</v>
      </c>
      <c r="BUK5" t="s">
        <v>289</v>
      </c>
      <c r="BUL5" t="s">
        <v>289</v>
      </c>
      <c r="BUM5" t="s">
        <v>289</v>
      </c>
      <c r="BUN5" t="s">
        <v>289</v>
      </c>
      <c r="BUO5" t="s">
        <v>289</v>
      </c>
      <c r="BUP5" t="s">
        <v>289</v>
      </c>
      <c r="BUQ5" t="s">
        <v>289</v>
      </c>
      <c r="BUR5" t="s">
        <v>289</v>
      </c>
      <c r="BUS5" t="s">
        <v>289</v>
      </c>
      <c r="BUT5" t="s">
        <v>289</v>
      </c>
      <c r="BUU5" t="s">
        <v>289</v>
      </c>
      <c r="BUV5" t="s">
        <v>289</v>
      </c>
      <c r="BUW5" t="s">
        <v>289</v>
      </c>
      <c r="BUX5" t="s">
        <v>289</v>
      </c>
      <c r="BUY5" t="s">
        <v>289</v>
      </c>
      <c r="BUZ5" t="s">
        <v>289</v>
      </c>
      <c r="BVA5" t="s">
        <v>289</v>
      </c>
      <c r="BVB5" t="s">
        <v>289</v>
      </c>
      <c r="BVC5" t="s">
        <v>289</v>
      </c>
      <c r="BVD5" t="s">
        <v>289</v>
      </c>
      <c r="BVE5" t="s">
        <v>289</v>
      </c>
      <c r="BVF5" t="s">
        <v>289</v>
      </c>
      <c r="BVG5" t="s">
        <v>289</v>
      </c>
      <c r="BVH5" t="s">
        <v>289</v>
      </c>
      <c r="BVI5" t="s">
        <v>289</v>
      </c>
      <c r="BVJ5" t="s">
        <v>289</v>
      </c>
      <c r="BVK5" t="s">
        <v>289</v>
      </c>
      <c r="BVL5" t="s">
        <v>289</v>
      </c>
      <c r="BVM5" t="s">
        <v>289</v>
      </c>
      <c r="BVN5" t="s">
        <v>289</v>
      </c>
      <c r="BVO5" t="s">
        <v>289</v>
      </c>
      <c r="BVP5" t="s">
        <v>289</v>
      </c>
      <c r="BVQ5" t="s">
        <v>289</v>
      </c>
      <c r="BVR5" t="s">
        <v>289</v>
      </c>
      <c r="BVS5" t="s">
        <v>289</v>
      </c>
      <c r="BVT5" t="s">
        <v>289</v>
      </c>
      <c r="BVU5" t="s">
        <v>289</v>
      </c>
      <c r="BVV5" t="s">
        <v>289</v>
      </c>
      <c r="BVW5" t="s">
        <v>289</v>
      </c>
      <c r="BVX5" t="s">
        <v>289</v>
      </c>
      <c r="BVY5" t="s">
        <v>289</v>
      </c>
      <c r="BVZ5" t="s">
        <v>289</v>
      </c>
      <c r="BWA5" t="s">
        <v>289</v>
      </c>
      <c r="BWB5" t="s">
        <v>289</v>
      </c>
      <c r="BWC5" t="s">
        <v>289</v>
      </c>
      <c r="BWD5">
        <v>2896</v>
      </c>
      <c r="BWE5">
        <v>3476</v>
      </c>
      <c r="BWF5">
        <v>4174</v>
      </c>
      <c r="BWG5">
        <v>4179</v>
      </c>
      <c r="BWH5">
        <v>4205</v>
      </c>
      <c r="BWI5">
        <v>4532</v>
      </c>
      <c r="BWJ5">
        <v>4760</v>
      </c>
      <c r="BWK5">
        <v>5257</v>
      </c>
      <c r="BWL5">
        <v>5938</v>
      </c>
      <c r="BWM5">
        <v>6581</v>
      </c>
      <c r="BWN5">
        <v>6586</v>
      </c>
      <c r="BWO5">
        <v>4839</v>
      </c>
      <c r="BWP5">
        <v>5467</v>
      </c>
      <c r="BWQ5" t="s">
        <v>289</v>
      </c>
      <c r="BWR5">
        <v>5658</v>
      </c>
      <c r="BWS5">
        <v>5649</v>
      </c>
      <c r="BWT5">
        <v>3018</v>
      </c>
      <c r="BWU5">
        <v>3158</v>
      </c>
      <c r="BWV5">
        <v>3055</v>
      </c>
      <c r="BWW5">
        <v>2896</v>
      </c>
      <c r="BWX5">
        <v>3476</v>
      </c>
      <c r="BWY5">
        <v>4174</v>
      </c>
      <c r="BWZ5">
        <v>4179</v>
      </c>
      <c r="BXA5">
        <v>4205</v>
      </c>
      <c r="BXB5">
        <v>4532</v>
      </c>
      <c r="BXC5">
        <v>4760</v>
      </c>
      <c r="BXD5">
        <v>5257</v>
      </c>
      <c r="BXE5">
        <v>5938</v>
      </c>
      <c r="BXF5">
        <v>6581</v>
      </c>
      <c r="BXG5">
        <v>6586</v>
      </c>
      <c r="BXH5">
        <v>4839</v>
      </c>
      <c r="BXI5">
        <v>5467</v>
      </c>
      <c r="BXJ5" t="s">
        <v>289</v>
      </c>
      <c r="BXK5" t="s">
        <v>289</v>
      </c>
      <c r="BXL5" t="s">
        <v>289</v>
      </c>
      <c r="BXM5" t="s">
        <v>289</v>
      </c>
      <c r="BXN5" t="s">
        <v>289</v>
      </c>
      <c r="BXO5" t="s">
        <v>289</v>
      </c>
      <c r="BXP5">
        <v>14</v>
      </c>
      <c r="BXQ5">
        <v>-3</v>
      </c>
      <c r="BXR5">
        <v>0</v>
      </c>
      <c r="BXS5">
        <v>19</v>
      </c>
      <c r="BXT5">
        <v>13</v>
      </c>
      <c r="BXU5">
        <v>13</v>
      </c>
      <c r="BXV5">
        <v>3</v>
      </c>
      <c r="BXW5">
        <v>2</v>
      </c>
      <c r="BXX5">
        <v>0</v>
      </c>
      <c r="BXY5">
        <v>0</v>
      </c>
      <c r="BXZ5">
        <v>0</v>
      </c>
      <c r="BYA5">
        <v>142</v>
      </c>
      <c r="BYB5">
        <v>99</v>
      </c>
      <c r="BYC5" t="s">
        <v>289</v>
      </c>
      <c r="BYD5" t="s">
        <v>289</v>
      </c>
      <c r="BYE5" t="s">
        <v>289</v>
      </c>
      <c r="BYF5" t="s">
        <v>289</v>
      </c>
      <c r="BYG5" t="s">
        <v>289</v>
      </c>
      <c r="BYH5" t="s">
        <v>289</v>
      </c>
      <c r="BYI5" t="s">
        <v>289</v>
      </c>
      <c r="BYJ5" t="s">
        <v>289</v>
      </c>
      <c r="BYK5" t="s">
        <v>289</v>
      </c>
      <c r="BYL5" t="s">
        <v>289</v>
      </c>
      <c r="BYM5" t="s">
        <v>289</v>
      </c>
      <c r="BYN5" t="s">
        <v>289</v>
      </c>
      <c r="BYO5" t="s">
        <v>289</v>
      </c>
      <c r="BYP5" t="s">
        <v>289</v>
      </c>
      <c r="BYQ5" t="s">
        <v>289</v>
      </c>
      <c r="BYR5" t="s">
        <v>289</v>
      </c>
      <c r="BYS5" t="s">
        <v>289</v>
      </c>
      <c r="BYT5" t="s">
        <v>289</v>
      </c>
      <c r="BYU5" t="s">
        <v>289</v>
      </c>
      <c r="BYV5" t="s">
        <v>289</v>
      </c>
      <c r="BYW5" t="s">
        <v>289</v>
      </c>
      <c r="BYX5" t="s">
        <v>289</v>
      </c>
      <c r="BYY5" t="s">
        <v>289</v>
      </c>
      <c r="BYZ5" t="s">
        <v>289</v>
      </c>
      <c r="BZA5" t="s">
        <v>289</v>
      </c>
      <c r="BZB5" t="s">
        <v>289</v>
      </c>
      <c r="BZC5" t="s">
        <v>289</v>
      </c>
      <c r="BZD5" t="s">
        <v>289</v>
      </c>
      <c r="BZE5" t="s">
        <v>289</v>
      </c>
      <c r="BZF5" t="s">
        <v>289</v>
      </c>
      <c r="BZG5" t="s">
        <v>289</v>
      </c>
      <c r="BZH5" t="s">
        <v>289</v>
      </c>
      <c r="BZI5" t="s">
        <v>289</v>
      </c>
      <c r="BZJ5" t="s">
        <v>289</v>
      </c>
      <c r="BZK5" t="s">
        <v>289</v>
      </c>
      <c r="BZL5" t="s">
        <v>289</v>
      </c>
      <c r="BZM5" t="s">
        <v>289</v>
      </c>
      <c r="BZN5" t="s">
        <v>289</v>
      </c>
      <c r="BZO5" t="s">
        <v>289</v>
      </c>
      <c r="BZP5" t="s">
        <v>289</v>
      </c>
      <c r="BZQ5" t="s">
        <v>289</v>
      </c>
      <c r="BZR5" t="s">
        <v>289</v>
      </c>
      <c r="BZS5" t="s">
        <v>289</v>
      </c>
      <c r="BZT5" t="s">
        <v>289</v>
      </c>
      <c r="BZU5" t="s">
        <v>289</v>
      </c>
      <c r="BZV5" t="s">
        <v>289</v>
      </c>
      <c r="BZW5" t="s">
        <v>289</v>
      </c>
      <c r="BZX5" t="s">
        <v>289</v>
      </c>
      <c r="BZY5" t="s">
        <v>289</v>
      </c>
      <c r="BZZ5" t="s">
        <v>289</v>
      </c>
      <c r="CAA5" t="s">
        <v>289</v>
      </c>
      <c r="CAB5" t="s">
        <v>289</v>
      </c>
      <c r="CAC5" t="s">
        <v>289</v>
      </c>
      <c r="CAD5" t="s">
        <v>289</v>
      </c>
      <c r="CAE5" t="s">
        <v>289</v>
      </c>
      <c r="CAF5" t="s">
        <v>289</v>
      </c>
      <c r="CAG5" t="s">
        <v>289</v>
      </c>
      <c r="CAH5" t="s">
        <v>289</v>
      </c>
      <c r="CAI5" t="s">
        <v>289</v>
      </c>
      <c r="CAJ5" t="s">
        <v>289</v>
      </c>
      <c r="CAK5" t="s">
        <v>289</v>
      </c>
      <c r="CAL5" t="s">
        <v>289</v>
      </c>
      <c r="CAM5" t="s">
        <v>289</v>
      </c>
      <c r="CAN5" t="s">
        <v>289</v>
      </c>
      <c r="CAO5" t="s">
        <v>289</v>
      </c>
      <c r="CAP5" t="s">
        <v>289</v>
      </c>
      <c r="CAQ5" t="s">
        <v>289</v>
      </c>
      <c r="CAR5" t="s">
        <v>289</v>
      </c>
      <c r="CAS5" t="s">
        <v>289</v>
      </c>
      <c r="CAT5" t="s">
        <v>289</v>
      </c>
      <c r="CAU5" t="s">
        <v>289</v>
      </c>
      <c r="CAV5" t="s">
        <v>289</v>
      </c>
      <c r="CAW5" t="s">
        <v>289</v>
      </c>
      <c r="CAX5" t="s">
        <v>289</v>
      </c>
      <c r="CAY5" t="s">
        <v>289</v>
      </c>
      <c r="CAZ5" t="s">
        <v>289</v>
      </c>
      <c r="CBA5" t="s">
        <v>289</v>
      </c>
      <c r="CBB5" t="s">
        <v>289</v>
      </c>
      <c r="CBC5" t="s">
        <v>289</v>
      </c>
      <c r="CBD5" t="s">
        <v>289</v>
      </c>
      <c r="CBE5" t="s">
        <v>289</v>
      </c>
      <c r="CBF5" t="s">
        <v>289</v>
      </c>
      <c r="CBG5">
        <v>2896</v>
      </c>
      <c r="CBH5">
        <v>3476</v>
      </c>
      <c r="CBI5">
        <v>4174</v>
      </c>
      <c r="CBJ5">
        <v>4179</v>
      </c>
      <c r="CBK5">
        <v>4205</v>
      </c>
      <c r="CBL5">
        <v>4532</v>
      </c>
      <c r="CBM5">
        <v>4760</v>
      </c>
      <c r="CBN5">
        <v>5257</v>
      </c>
      <c r="CBO5">
        <v>5938</v>
      </c>
      <c r="CBP5">
        <v>6581</v>
      </c>
      <c r="CBQ5">
        <v>6586</v>
      </c>
      <c r="CBR5" t="s">
        <v>289</v>
      </c>
      <c r="CBS5" t="s">
        <v>289</v>
      </c>
      <c r="CBT5" t="s">
        <v>289</v>
      </c>
      <c r="CBU5" t="s">
        <v>289</v>
      </c>
      <c r="CBV5" t="s">
        <v>289</v>
      </c>
      <c r="CBW5" t="s">
        <v>289</v>
      </c>
      <c r="CBX5" t="s">
        <v>289</v>
      </c>
      <c r="CBY5" t="s">
        <v>289</v>
      </c>
      <c r="CBZ5" t="s">
        <v>289</v>
      </c>
      <c r="CCA5" t="s">
        <v>289</v>
      </c>
      <c r="CCB5" t="s">
        <v>289</v>
      </c>
      <c r="CCC5" t="s">
        <v>289</v>
      </c>
      <c r="CCD5" t="s">
        <v>289</v>
      </c>
      <c r="CCE5" t="s">
        <v>289</v>
      </c>
      <c r="CCF5" t="s">
        <v>289</v>
      </c>
      <c r="CCG5" t="s">
        <v>289</v>
      </c>
      <c r="CCH5" t="s">
        <v>289</v>
      </c>
      <c r="CCI5" t="s">
        <v>289</v>
      </c>
      <c r="CCJ5" t="s">
        <v>289</v>
      </c>
      <c r="CCK5" t="s">
        <v>289</v>
      </c>
      <c r="CCL5" t="s">
        <v>289</v>
      </c>
      <c r="CCM5" t="s">
        <v>289</v>
      </c>
      <c r="CCN5" t="s">
        <v>289</v>
      </c>
      <c r="CCO5" t="s">
        <v>289</v>
      </c>
      <c r="CCP5" t="s">
        <v>289</v>
      </c>
      <c r="CCQ5" t="s">
        <v>289</v>
      </c>
      <c r="CCR5" t="s">
        <v>289</v>
      </c>
      <c r="CCS5" t="s">
        <v>289</v>
      </c>
      <c r="CCT5" t="s">
        <v>289</v>
      </c>
      <c r="CCU5" t="s">
        <v>289</v>
      </c>
      <c r="CCV5" t="s">
        <v>289</v>
      </c>
      <c r="CCW5" t="s">
        <v>289</v>
      </c>
      <c r="CCX5" t="s">
        <v>289</v>
      </c>
      <c r="CCY5" t="s">
        <v>289</v>
      </c>
      <c r="CCZ5" t="s">
        <v>289</v>
      </c>
      <c r="CDA5" t="s">
        <v>289</v>
      </c>
      <c r="CDB5" t="s">
        <v>289</v>
      </c>
      <c r="CDC5" t="s">
        <v>289</v>
      </c>
      <c r="CDD5" t="s">
        <v>289</v>
      </c>
      <c r="CDE5" t="s">
        <v>289</v>
      </c>
      <c r="CDF5" t="s">
        <v>289</v>
      </c>
      <c r="CDG5" t="s">
        <v>289</v>
      </c>
      <c r="CDH5" t="s">
        <v>289</v>
      </c>
      <c r="CDI5" t="s">
        <v>289</v>
      </c>
      <c r="CDJ5" t="s">
        <v>289</v>
      </c>
      <c r="CDK5" t="s">
        <v>289</v>
      </c>
      <c r="CDL5" t="s">
        <v>289</v>
      </c>
      <c r="CDM5" t="s">
        <v>289</v>
      </c>
      <c r="CDN5" t="s">
        <v>289</v>
      </c>
      <c r="CDO5" t="s">
        <v>289</v>
      </c>
      <c r="CDP5" t="s">
        <v>289</v>
      </c>
      <c r="CDQ5" t="s">
        <v>289</v>
      </c>
      <c r="CDR5" t="s">
        <v>289</v>
      </c>
      <c r="CDS5" t="s">
        <v>289</v>
      </c>
      <c r="CDT5" t="s">
        <v>289</v>
      </c>
      <c r="CDU5" t="s">
        <v>289</v>
      </c>
      <c r="CDV5" t="s">
        <v>289</v>
      </c>
      <c r="CDW5" t="s">
        <v>289</v>
      </c>
      <c r="CDX5" t="s">
        <v>289</v>
      </c>
      <c r="CDY5" t="s">
        <v>289</v>
      </c>
      <c r="CDZ5" t="s">
        <v>289</v>
      </c>
      <c r="CEA5" t="s">
        <v>289</v>
      </c>
      <c r="CEB5" t="s">
        <v>289</v>
      </c>
      <c r="CEC5" t="s">
        <v>289</v>
      </c>
      <c r="CED5" t="s">
        <v>289</v>
      </c>
      <c r="CEE5" t="s">
        <v>289</v>
      </c>
      <c r="CEF5" t="s">
        <v>289</v>
      </c>
      <c r="CEG5" t="s">
        <v>289</v>
      </c>
      <c r="CEH5" t="s">
        <v>289</v>
      </c>
      <c r="CEI5" t="s">
        <v>289</v>
      </c>
      <c r="CEJ5" t="s">
        <v>289</v>
      </c>
      <c r="CEK5" t="s">
        <v>289</v>
      </c>
      <c r="CEL5" t="s">
        <v>289</v>
      </c>
      <c r="CEM5" t="s">
        <v>289</v>
      </c>
      <c r="CEN5" t="s">
        <v>289</v>
      </c>
      <c r="CEO5" t="s">
        <v>289</v>
      </c>
      <c r="CEP5" t="s">
        <v>289</v>
      </c>
      <c r="CEQ5" t="s">
        <v>289</v>
      </c>
      <c r="CER5" t="s">
        <v>289</v>
      </c>
      <c r="CES5" t="s">
        <v>289</v>
      </c>
      <c r="CET5" t="s">
        <v>289</v>
      </c>
      <c r="CEU5" t="s">
        <v>289</v>
      </c>
      <c r="CEV5" t="s">
        <v>289</v>
      </c>
      <c r="CEW5" t="s">
        <v>289</v>
      </c>
      <c r="CEX5" t="s">
        <v>289</v>
      </c>
      <c r="CEY5" t="s">
        <v>289</v>
      </c>
      <c r="CEZ5" t="s">
        <v>289</v>
      </c>
      <c r="CFA5" t="s">
        <v>289</v>
      </c>
      <c r="CFB5" t="s">
        <v>289</v>
      </c>
      <c r="CFC5" t="s">
        <v>289</v>
      </c>
      <c r="CFD5" t="s">
        <v>289</v>
      </c>
      <c r="CFE5" t="s">
        <v>289</v>
      </c>
      <c r="CFF5" t="s">
        <v>289</v>
      </c>
      <c r="CFG5" t="s">
        <v>289</v>
      </c>
      <c r="CFH5" t="s">
        <v>289</v>
      </c>
      <c r="CFI5" t="s">
        <v>289</v>
      </c>
      <c r="CFJ5" t="s">
        <v>289</v>
      </c>
      <c r="CFK5" t="s">
        <v>289</v>
      </c>
      <c r="CFL5" t="s">
        <v>289</v>
      </c>
      <c r="CFM5" t="s">
        <v>289</v>
      </c>
      <c r="CFN5" t="s">
        <v>289</v>
      </c>
      <c r="CFO5" t="s">
        <v>289</v>
      </c>
      <c r="CFP5" t="s">
        <v>289</v>
      </c>
      <c r="CFQ5" t="s">
        <v>289</v>
      </c>
      <c r="CFR5" t="s">
        <v>289</v>
      </c>
      <c r="CFS5" t="s">
        <v>289</v>
      </c>
      <c r="CFT5" t="s">
        <v>289</v>
      </c>
      <c r="CFU5" t="s">
        <v>289</v>
      </c>
      <c r="CFV5" t="s">
        <v>289</v>
      </c>
      <c r="CFW5" t="s">
        <v>289</v>
      </c>
      <c r="CFX5" t="s">
        <v>289</v>
      </c>
      <c r="CFY5" t="s">
        <v>289</v>
      </c>
      <c r="CFZ5" t="s">
        <v>289</v>
      </c>
      <c r="CGA5" t="s">
        <v>289</v>
      </c>
      <c r="CGB5" t="s">
        <v>289</v>
      </c>
      <c r="CGC5" t="s">
        <v>289</v>
      </c>
      <c r="CGD5" t="s">
        <v>289</v>
      </c>
      <c r="CGE5">
        <v>210</v>
      </c>
      <c r="CGF5">
        <v>-1750</v>
      </c>
      <c r="CGG5">
        <v>-907</v>
      </c>
      <c r="CGH5">
        <v>-1870</v>
      </c>
      <c r="CGI5">
        <v>2480</v>
      </c>
      <c r="CGJ5">
        <v>133</v>
      </c>
      <c r="CGK5">
        <v>-825</v>
      </c>
      <c r="CGL5">
        <v>-1020</v>
      </c>
      <c r="CGM5">
        <v>-969</v>
      </c>
      <c r="CGN5">
        <v>-3204</v>
      </c>
      <c r="CGO5">
        <v>-1491</v>
      </c>
      <c r="CGP5">
        <v>-597</v>
      </c>
      <c r="CGQ5">
        <v>-995</v>
      </c>
      <c r="CGR5">
        <v>-1489</v>
      </c>
      <c r="CGS5">
        <v>-1122</v>
      </c>
      <c r="CGT5">
        <v>-598</v>
      </c>
      <c r="CGU5">
        <v>-561</v>
      </c>
      <c r="CGV5">
        <v>-1827</v>
      </c>
      <c r="CGW5" t="s">
        <v>289</v>
      </c>
      <c r="CGX5">
        <v>-798</v>
      </c>
      <c r="CGY5">
        <v>103</v>
      </c>
      <c r="CGZ5">
        <v>-148</v>
      </c>
      <c r="CHA5">
        <v>1053</v>
      </c>
      <c r="CHB5">
        <v>-998</v>
      </c>
      <c r="CHC5">
        <v>72</v>
      </c>
      <c r="CHD5">
        <v>-148</v>
      </c>
      <c r="CHE5">
        <v>273</v>
      </c>
      <c r="CHF5">
        <v>1198</v>
      </c>
      <c r="CHG5">
        <v>3345</v>
      </c>
      <c r="CHH5">
        <v>897</v>
      </c>
      <c r="CHI5">
        <v>464</v>
      </c>
      <c r="CHJ5">
        <v>502</v>
      </c>
      <c r="CHK5">
        <v>1498</v>
      </c>
      <c r="CHL5">
        <v>656</v>
      </c>
      <c r="CHM5">
        <v>479</v>
      </c>
      <c r="CHN5">
        <v>747</v>
      </c>
      <c r="CHO5">
        <v>1352</v>
      </c>
      <c r="CHP5" t="s">
        <v>289</v>
      </c>
      <c r="CHQ5">
        <v>38593</v>
      </c>
      <c r="CHR5">
        <v>63599</v>
      </c>
      <c r="CHS5">
        <v>47069</v>
      </c>
      <c r="CHT5">
        <v>25977</v>
      </c>
      <c r="CHU5">
        <v>28281</v>
      </c>
      <c r="CHV5">
        <v>24953</v>
      </c>
      <c r="CHW5">
        <v>26187</v>
      </c>
      <c r="CHX5">
        <v>28223</v>
      </c>
      <c r="CHY5">
        <v>31195</v>
      </c>
      <c r="CHZ5">
        <v>31992</v>
      </c>
      <c r="CIA5">
        <v>39141</v>
      </c>
      <c r="CIB5">
        <v>43410</v>
      </c>
      <c r="CIC5">
        <v>45778</v>
      </c>
      <c r="CID5">
        <v>49622</v>
      </c>
      <c r="CIE5">
        <v>54258</v>
      </c>
      <c r="CIF5">
        <v>55971</v>
      </c>
      <c r="CIG5">
        <v>57195</v>
      </c>
      <c r="CIH5">
        <v>50117</v>
      </c>
      <c r="CII5" t="s">
        <v>289</v>
      </c>
      <c r="CIJ5" t="s">
        <v>289</v>
      </c>
      <c r="CIK5" t="s">
        <v>289</v>
      </c>
      <c r="CIL5" t="s">
        <v>289</v>
      </c>
      <c r="CIM5" t="s">
        <v>289</v>
      </c>
      <c r="CIN5" t="s">
        <v>289</v>
      </c>
      <c r="CIO5" t="s">
        <v>289</v>
      </c>
      <c r="CIP5" t="s">
        <v>289</v>
      </c>
      <c r="CIQ5" t="s">
        <v>289</v>
      </c>
      <c r="CIR5" t="s">
        <v>289</v>
      </c>
      <c r="CIS5" t="s">
        <v>289</v>
      </c>
      <c r="CIT5" t="s">
        <v>289</v>
      </c>
      <c r="CIU5" t="s">
        <v>289</v>
      </c>
      <c r="CIV5" t="s">
        <v>289</v>
      </c>
      <c r="CIW5" t="s">
        <v>289</v>
      </c>
      <c r="CIX5" t="s">
        <v>289</v>
      </c>
      <c r="CIY5" t="s">
        <v>289</v>
      </c>
      <c r="CIZ5" t="s">
        <v>289</v>
      </c>
      <c r="CJA5" t="s">
        <v>289</v>
      </c>
      <c r="CJB5" t="s">
        <v>289</v>
      </c>
      <c r="CJC5" t="s">
        <v>289</v>
      </c>
      <c r="CJD5" t="s">
        <v>289</v>
      </c>
      <c r="CJE5" t="s">
        <v>289</v>
      </c>
      <c r="CJF5" t="s">
        <v>289</v>
      </c>
      <c r="CJG5" t="s">
        <v>289</v>
      </c>
      <c r="CJH5" t="s">
        <v>289</v>
      </c>
      <c r="CJI5" t="s">
        <v>289</v>
      </c>
      <c r="CJJ5" t="s">
        <v>289</v>
      </c>
      <c r="CJK5" t="s">
        <v>289</v>
      </c>
      <c r="CJL5" t="s">
        <v>289</v>
      </c>
      <c r="CJM5" t="s">
        <v>289</v>
      </c>
      <c r="CJN5" t="s">
        <v>289</v>
      </c>
      <c r="CJO5" t="s">
        <v>289</v>
      </c>
      <c r="CJP5" t="s">
        <v>289</v>
      </c>
      <c r="CJQ5" t="s">
        <v>289</v>
      </c>
      <c r="CJR5" t="s">
        <v>289</v>
      </c>
      <c r="CJS5" t="s">
        <v>289</v>
      </c>
      <c r="CJT5" t="s">
        <v>289</v>
      </c>
      <c r="CJU5" t="s">
        <v>289</v>
      </c>
      <c r="CJV5" t="s">
        <v>289</v>
      </c>
      <c r="CJW5" t="s">
        <v>289</v>
      </c>
      <c r="CJX5" t="s">
        <v>289</v>
      </c>
      <c r="CJY5" t="s">
        <v>289</v>
      </c>
      <c r="CJZ5" t="s">
        <v>289</v>
      </c>
      <c r="CKA5" t="s">
        <v>289</v>
      </c>
      <c r="CKB5" t="s">
        <v>289</v>
      </c>
      <c r="CKC5" t="s">
        <v>289</v>
      </c>
      <c r="CKD5" t="s">
        <v>289</v>
      </c>
      <c r="CKE5" t="s">
        <v>289</v>
      </c>
      <c r="CKF5" t="s">
        <v>289</v>
      </c>
      <c r="CKG5" t="s">
        <v>289</v>
      </c>
      <c r="CKH5" t="s">
        <v>289</v>
      </c>
      <c r="CKI5" t="s">
        <v>289</v>
      </c>
      <c r="CKJ5" t="s">
        <v>289</v>
      </c>
      <c r="CKK5" t="s">
        <v>289</v>
      </c>
      <c r="CKL5" t="s">
        <v>289</v>
      </c>
      <c r="CKM5" t="s">
        <v>289</v>
      </c>
      <c r="CKN5" t="s">
        <v>289</v>
      </c>
      <c r="CKO5" t="s">
        <v>289</v>
      </c>
      <c r="CKP5" t="s">
        <v>289</v>
      </c>
      <c r="CKQ5" t="s">
        <v>289</v>
      </c>
      <c r="CKR5" t="s">
        <v>289</v>
      </c>
      <c r="CKS5" t="s">
        <v>289</v>
      </c>
      <c r="CKT5" t="s">
        <v>289</v>
      </c>
      <c r="CKU5" t="s">
        <v>289</v>
      </c>
      <c r="CKV5" t="s">
        <v>289</v>
      </c>
      <c r="CKW5" t="s">
        <v>289</v>
      </c>
      <c r="CKX5" t="s">
        <v>289</v>
      </c>
      <c r="CKY5" t="s">
        <v>289</v>
      </c>
      <c r="CKZ5" t="s">
        <v>289</v>
      </c>
      <c r="CLA5" t="s">
        <v>289</v>
      </c>
      <c r="CLB5" t="s">
        <v>289</v>
      </c>
      <c r="CLC5" t="s">
        <v>289</v>
      </c>
      <c r="CLD5" t="s">
        <v>289</v>
      </c>
      <c r="CLE5" t="s">
        <v>289</v>
      </c>
      <c r="CLF5" t="s">
        <v>289</v>
      </c>
      <c r="CLG5" t="s">
        <v>289</v>
      </c>
      <c r="CLH5" t="s">
        <v>289</v>
      </c>
      <c r="CLI5" t="s">
        <v>289</v>
      </c>
      <c r="CLJ5" t="s">
        <v>289</v>
      </c>
      <c r="CLK5" t="s">
        <v>289</v>
      </c>
      <c r="CLL5" t="s">
        <v>289</v>
      </c>
      <c r="CLM5">
        <v>395</v>
      </c>
      <c r="CLN5">
        <v>358</v>
      </c>
      <c r="CLO5">
        <v>329</v>
      </c>
      <c r="CLP5">
        <v>563</v>
      </c>
      <c r="CLQ5">
        <v>505</v>
      </c>
      <c r="CLR5">
        <v>588</v>
      </c>
      <c r="CLS5">
        <v>854</v>
      </c>
      <c r="CLT5">
        <v>986</v>
      </c>
      <c r="CLU5">
        <v>859</v>
      </c>
      <c r="CLV5">
        <v>1488</v>
      </c>
      <c r="CLW5">
        <v>1461</v>
      </c>
      <c r="CLX5">
        <v>2076</v>
      </c>
      <c r="CLY5">
        <v>1624</v>
      </c>
      <c r="CLZ5" t="s">
        <v>289</v>
      </c>
      <c r="CMA5" t="s">
        <v>289</v>
      </c>
      <c r="CMB5" t="s">
        <v>289</v>
      </c>
      <c r="CMC5" t="s">
        <v>289</v>
      </c>
      <c r="CMD5" t="s">
        <v>289</v>
      </c>
      <c r="CME5" t="s">
        <v>289</v>
      </c>
      <c r="CMF5">
        <v>1084</v>
      </c>
      <c r="CMG5">
        <v>1485</v>
      </c>
      <c r="CMH5">
        <v>1300</v>
      </c>
      <c r="CMI5">
        <v>1440</v>
      </c>
      <c r="CMJ5">
        <v>1452</v>
      </c>
      <c r="CMK5">
        <v>1647</v>
      </c>
      <c r="CML5">
        <v>2303</v>
      </c>
      <c r="CMM5">
        <v>166</v>
      </c>
      <c r="CMN5">
        <v>171</v>
      </c>
      <c r="CMO5">
        <v>384</v>
      </c>
      <c r="CMP5">
        <v>378</v>
      </c>
      <c r="CMQ5">
        <v>369</v>
      </c>
      <c r="CMR5">
        <v>665</v>
      </c>
      <c r="CMS5" t="s">
        <v>289</v>
      </c>
      <c r="CMT5" t="s">
        <v>289</v>
      </c>
      <c r="CMU5" t="s">
        <v>289</v>
      </c>
      <c r="CMV5" t="s">
        <v>289</v>
      </c>
      <c r="CMW5" t="s">
        <v>289</v>
      </c>
      <c r="CMX5" t="s">
        <v>289</v>
      </c>
      <c r="CMY5" t="s">
        <v>289</v>
      </c>
      <c r="CMZ5" t="s">
        <v>289</v>
      </c>
      <c r="CNA5">
        <v>25007</v>
      </c>
      <c r="CNB5">
        <v>27062</v>
      </c>
      <c r="CNC5">
        <v>27769</v>
      </c>
      <c r="CND5">
        <v>34910</v>
      </c>
      <c r="CNE5">
        <v>38359</v>
      </c>
      <c r="CNF5">
        <v>42881</v>
      </c>
      <c r="CNG5">
        <v>46600</v>
      </c>
      <c r="CNH5">
        <v>51300</v>
      </c>
      <c r="CNI5">
        <v>52880</v>
      </c>
      <c r="CNJ5" t="s">
        <v>289</v>
      </c>
      <c r="CNK5" t="s">
        <v>289</v>
      </c>
      <c r="CNL5" t="s">
        <v>289</v>
      </c>
      <c r="CNM5">
        <v>11060</v>
      </c>
      <c r="CNN5">
        <v>12353</v>
      </c>
      <c r="CNO5">
        <v>14337</v>
      </c>
      <c r="CNP5">
        <v>13088</v>
      </c>
      <c r="CNQ5">
        <v>3205</v>
      </c>
      <c r="CNR5">
        <v>10961</v>
      </c>
      <c r="CNS5">
        <v>8544</v>
      </c>
      <c r="CNT5">
        <v>-696</v>
      </c>
      <c r="CNU5">
        <v>-1100</v>
      </c>
      <c r="CNV5">
        <v>3285</v>
      </c>
      <c r="CNW5">
        <v>-1274</v>
      </c>
      <c r="CNX5">
        <v>222</v>
      </c>
      <c r="CNY5">
        <v>3711</v>
      </c>
      <c r="CNZ5">
        <v>-1652</v>
      </c>
      <c r="COA5">
        <v>343</v>
      </c>
      <c r="COB5">
        <v>7888</v>
      </c>
      <c r="COC5">
        <v>22332</v>
      </c>
      <c r="COD5">
        <v>24549</v>
      </c>
      <c r="COE5" t="s">
        <v>289</v>
      </c>
      <c r="COF5">
        <v>-12991.035400000001</v>
      </c>
      <c r="COG5">
        <v>-13788.9267</v>
      </c>
      <c r="COH5">
        <v>-7006.3406999999997</v>
      </c>
      <c r="COI5">
        <v>-2136.1714000000002</v>
      </c>
      <c r="COJ5">
        <v>61.1785</v>
      </c>
      <c r="COK5" t="s">
        <v>289</v>
      </c>
      <c r="COL5">
        <v>5928.3346000000001</v>
      </c>
      <c r="COM5">
        <v>-3954.1812</v>
      </c>
      <c r="CON5">
        <v>-5138.4699000000001</v>
      </c>
      <c r="COO5">
        <v>-929.71990000000005</v>
      </c>
      <c r="COP5">
        <v>-5605.6289999999999</v>
      </c>
      <c r="COQ5">
        <v>-4441.5105000000003</v>
      </c>
      <c r="COR5">
        <v>-1796.5728999999999</v>
      </c>
      <c r="COS5">
        <v>-7953.5933000000005</v>
      </c>
      <c r="COT5">
        <v>-6623.5128999999997</v>
      </c>
      <c r="COU5">
        <v>1311.4333999999999</v>
      </c>
      <c r="COV5">
        <v>16774.381099999999</v>
      </c>
      <c r="COW5">
        <v>20232.0802</v>
      </c>
      <c r="COX5" t="s">
        <v>289</v>
      </c>
      <c r="COY5">
        <v>-973</v>
      </c>
      <c r="COZ5">
        <v>-909</v>
      </c>
      <c r="CPA5">
        <v>-2109</v>
      </c>
      <c r="CPB5">
        <v>2602</v>
      </c>
      <c r="CPC5">
        <v>1000</v>
      </c>
      <c r="CPD5">
        <v>2064</v>
      </c>
      <c r="CPE5">
        <v>2175</v>
      </c>
      <c r="CPF5">
        <v>-4226</v>
      </c>
      <c r="CPG5">
        <v>-5877</v>
      </c>
      <c r="CPH5">
        <v>-1914</v>
      </c>
      <c r="CPI5">
        <v>-2649</v>
      </c>
      <c r="CPJ5">
        <v>-2856</v>
      </c>
      <c r="CPK5">
        <v>-4221</v>
      </c>
      <c r="CPL5">
        <v>-4611</v>
      </c>
      <c r="CPM5">
        <v>-791</v>
      </c>
      <c r="CPN5">
        <v>-1345</v>
      </c>
      <c r="CPO5">
        <v>3619</v>
      </c>
      <c r="CPP5">
        <v>-7188</v>
      </c>
      <c r="CPQ5" t="s">
        <v>289</v>
      </c>
      <c r="CPR5" t="s">
        <v>289</v>
      </c>
      <c r="CPS5" t="s">
        <v>289</v>
      </c>
      <c r="CPT5" t="s">
        <v>289</v>
      </c>
      <c r="CPU5" t="s">
        <v>289</v>
      </c>
      <c r="CPV5" t="s">
        <v>289</v>
      </c>
      <c r="CPW5" t="s">
        <v>289</v>
      </c>
      <c r="CPX5" t="s">
        <v>289</v>
      </c>
      <c r="CPY5" t="s">
        <v>289</v>
      </c>
      <c r="CPZ5" t="s">
        <v>289</v>
      </c>
      <c r="CQA5" t="s">
        <v>289</v>
      </c>
      <c r="CQB5" t="s">
        <v>289</v>
      </c>
      <c r="CQC5" t="s">
        <v>289</v>
      </c>
      <c r="CQD5" t="s">
        <v>289</v>
      </c>
      <c r="CQE5" t="s">
        <v>289</v>
      </c>
      <c r="CQF5" t="s">
        <v>289</v>
      </c>
      <c r="CQG5" t="s">
        <v>289</v>
      </c>
      <c r="CQH5" t="s">
        <v>289</v>
      </c>
      <c r="CQI5" t="s">
        <v>289</v>
      </c>
      <c r="CQJ5" t="s">
        <v>289</v>
      </c>
      <c r="CQK5" t="s">
        <v>289</v>
      </c>
      <c r="CQL5" t="s">
        <v>289</v>
      </c>
      <c r="CQM5" t="s">
        <v>289</v>
      </c>
      <c r="CQN5" t="s">
        <v>289</v>
      </c>
      <c r="CQO5" t="s">
        <v>289</v>
      </c>
      <c r="CQP5" t="s">
        <v>289</v>
      </c>
      <c r="CQQ5" t="s">
        <v>289</v>
      </c>
      <c r="CQR5" t="s">
        <v>289</v>
      </c>
      <c r="CQS5" t="s">
        <v>289</v>
      </c>
      <c r="CQT5" t="s">
        <v>289</v>
      </c>
      <c r="CQU5" t="s">
        <v>289</v>
      </c>
      <c r="CQV5" t="s">
        <v>289</v>
      </c>
      <c r="CQW5" t="s">
        <v>289</v>
      </c>
      <c r="CQX5" t="s">
        <v>289</v>
      </c>
      <c r="CQY5" t="s">
        <v>289</v>
      </c>
      <c r="CQZ5" t="s">
        <v>289</v>
      </c>
      <c r="CRA5" t="s">
        <v>289</v>
      </c>
      <c r="CRB5" t="s">
        <v>289</v>
      </c>
      <c r="CRC5" t="s">
        <v>289</v>
      </c>
      <c r="CRD5" t="s">
        <v>289</v>
      </c>
      <c r="CRE5" t="s">
        <v>289</v>
      </c>
      <c r="CRF5" t="s">
        <v>289</v>
      </c>
      <c r="CRG5" t="s">
        <v>289</v>
      </c>
      <c r="CRH5" t="s">
        <v>289</v>
      </c>
      <c r="CRI5" t="s">
        <v>289</v>
      </c>
      <c r="CRJ5" t="s">
        <v>289</v>
      </c>
      <c r="CRK5" t="s">
        <v>289</v>
      </c>
      <c r="CRL5" t="s">
        <v>289</v>
      </c>
      <c r="CRM5" t="s">
        <v>289</v>
      </c>
      <c r="CRN5" t="s">
        <v>289</v>
      </c>
      <c r="CRO5" t="s">
        <v>289</v>
      </c>
      <c r="CRP5" t="s">
        <v>289</v>
      </c>
      <c r="CRQ5" t="s">
        <v>289</v>
      </c>
      <c r="CRR5" t="s">
        <v>289</v>
      </c>
      <c r="CRS5" t="s">
        <v>289</v>
      </c>
      <c r="CRT5" t="s">
        <v>289</v>
      </c>
      <c r="CRU5" t="s">
        <v>289</v>
      </c>
      <c r="CRV5" t="s">
        <v>289</v>
      </c>
      <c r="CRW5" t="s">
        <v>289</v>
      </c>
      <c r="CRX5" t="s">
        <v>289</v>
      </c>
      <c r="CRY5" t="s">
        <v>289</v>
      </c>
      <c r="CRZ5" t="s">
        <v>289</v>
      </c>
      <c r="CSA5" t="s">
        <v>289</v>
      </c>
      <c r="CSB5" t="s">
        <v>289</v>
      </c>
      <c r="CSC5" t="s">
        <v>289</v>
      </c>
      <c r="CSD5" t="s">
        <v>289</v>
      </c>
      <c r="CSE5" t="s">
        <v>289</v>
      </c>
      <c r="CSF5" t="s">
        <v>289</v>
      </c>
      <c r="CSG5" t="s">
        <v>289</v>
      </c>
      <c r="CSH5" t="s">
        <v>289</v>
      </c>
      <c r="CSI5" t="s">
        <v>289</v>
      </c>
      <c r="CSJ5" t="s">
        <v>289</v>
      </c>
      <c r="CSK5" t="s">
        <v>289</v>
      </c>
      <c r="CSL5" t="s">
        <v>289</v>
      </c>
      <c r="CSM5" t="s">
        <v>289</v>
      </c>
      <c r="CSN5" t="s">
        <v>289</v>
      </c>
      <c r="CSO5" t="s">
        <v>289</v>
      </c>
      <c r="CSP5" t="s">
        <v>289</v>
      </c>
      <c r="CSQ5" t="s">
        <v>289</v>
      </c>
      <c r="CSR5" t="s">
        <v>289</v>
      </c>
      <c r="CSS5" t="s">
        <v>289</v>
      </c>
      <c r="CST5" t="s">
        <v>289</v>
      </c>
      <c r="CSU5" t="s">
        <v>289</v>
      </c>
      <c r="CSV5" t="s">
        <v>289</v>
      </c>
      <c r="CSW5" t="s">
        <v>289</v>
      </c>
      <c r="CSX5" t="s">
        <v>289</v>
      </c>
      <c r="CSY5" t="s">
        <v>289</v>
      </c>
      <c r="CSZ5" t="s">
        <v>289</v>
      </c>
      <c r="CTA5" t="s">
        <v>289</v>
      </c>
      <c r="CTB5" t="s">
        <v>289</v>
      </c>
      <c r="CTC5" t="s">
        <v>289</v>
      </c>
      <c r="CTD5" t="s">
        <v>289</v>
      </c>
      <c r="CTE5" t="s">
        <v>289</v>
      </c>
      <c r="CTF5" t="s">
        <v>289</v>
      </c>
      <c r="CTG5" t="s">
        <v>289</v>
      </c>
      <c r="CTH5" t="s">
        <v>289</v>
      </c>
      <c r="CTI5" t="s">
        <v>289</v>
      </c>
      <c r="CTJ5" t="s">
        <v>289</v>
      </c>
      <c r="CTK5" t="s">
        <v>289</v>
      </c>
      <c r="CTL5" t="s">
        <v>289</v>
      </c>
      <c r="CTM5" t="s">
        <v>289</v>
      </c>
      <c r="CTN5" t="s">
        <v>289</v>
      </c>
      <c r="CTO5" t="s">
        <v>289</v>
      </c>
      <c r="CTP5" t="s">
        <v>289</v>
      </c>
      <c r="CTQ5" t="s">
        <v>289</v>
      </c>
      <c r="CTR5" t="s">
        <v>289</v>
      </c>
      <c r="CTS5" t="s">
        <v>289</v>
      </c>
      <c r="CTT5" t="s">
        <v>289</v>
      </c>
      <c r="CTU5" t="s">
        <v>289</v>
      </c>
      <c r="CTV5" t="s">
        <v>289</v>
      </c>
      <c r="CTW5" t="s">
        <v>289</v>
      </c>
      <c r="CTX5" t="s">
        <v>289</v>
      </c>
      <c r="CTY5" t="s">
        <v>289</v>
      </c>
      <c r="CTZ5" t="s">
        <v>289</v>
      </c>
      <c r="CUA5" t="s">
        <v>289</v>
      </c>
      <c r="CUB5" t="s">
        <v>289</v>
      </c>
      <c r="CUC5" t="s">
        <v>289</v>
      </c>
      <c r="CUD5" t="s">
        <v>289</v>
      </c>
      <c r="CUE5" t="s">
        <v>289</v>
      </c>
      <c r="CUF5" t="s">
        <v>289</v>
      </c>
      <c r="CUG5" t="s">
        <v>289</v>
      </c>
      <c r="CUH5" t="s">
        <v>289</v>
      </c>
      <c r="CUI5">
        <v>-2817</v>
      </c>
      <c r="CUJ5">
        <v>-2102</v>
      </c>
      <c r="CUK5">
        <v>-1309</v>
      </c>
      <c r="CUL5">
        <v>-2170</v>
      </c>
      <c r="CUM5">
        <v>-2573</v>
      </c>
      <c r="CUN5">
        <v>-2950</v>
      </c>
      <c r="CUO5">
        <v>-3879</v>
      </c>
      <c r="CUP5">
        <v>-2858</v>
      </c>
      <c r="CUQ5">
        <v>-2107</v>
      </c>
      <c r="CUR5">
        <v>-1993</v>
      </c>
      <c r="CUS5">
        <v>-3812</v>
      </c>
      <c r="CUT5" t="s">
        <v>289</v>
      </c>
      <c r="CUU5">
        <v>4502.1670000000004</v>
      </c>
      <c r="CUV5">
        <v>11004.111000000001</v>
      </c>
      <c r="CUW5">
        <v>-10997</v>
      </c>
      <c r="CUX5">
        <v>4502.1670000000004</v>
      </c>
      <c r="CUY5">
        <v>172702.652</v>
      </c>
      <c r="CUZ5">
        <v>-10728.091</v>
      </c>
      <c r="CVA5">
        <v>4635.357</v>
      </c>
      <c r="CVB5">
        <v>15081.733</v>
      </c>
      <c r="CVC5">
        <v>12027.769</v>
      </c>
      <c r="CVD5">
        <v>4635.357</v>
      </c>
      <c r="CVE5">
        <v>153245.45499999999</v>
      </c>
      <c r="CVF5">
        <v>-8487</v>
      </c>
      <c r="CVG5">
        <v>22332.526000000002</v>
      </c>
      <c r="CVH5">
        <v>28173.8</v>
      </c>
      <c r="CVI5">
        <v>-23048</v>
      </c>
      <c r="CVJ5">
        <v>22332.526000000002</v>
      </c>
      <c r="CVK5">
        <v>159988</v>
      </c>
      <c r="CVL5">
        <v>-8172.4290000000001</v>
      </c>
      <c r="CVM5">
        <v>17655.348000000002</v>
      </c>
      <c r="CVN5">
        <v>25102.053</v>
      </c>
      <c r="CVO5">
        <v>-23588.1</v>
      </c>
      <c r="CVP5">
        <v>17706.381000000001</v>
      </c>
      <c r="CVQ5">
        <v>144772.16699999999</v>
      </c>
      <c r="CVR5">
        <v>-7588.8</v>
      </c>
      <c r="CVS5">
        <v>17173.564999999999</v>
      </c>
      <c r="CVT5">
        <v>24923.737000000001</v>
      </c>
      <c r="CVU5">
        <v>-38082.167000000001</v>
      </c>
      <c r="CVV5">
        <v>17439.238000000001</v>
      </c>
      <c r="CVW5">
        <v>151092.58300000001</v>
      </c>
      <c r="CVX5">
        <v>-7872</v>
      </c>
      <c r="CVY5">
        <v>17841.117999999999</v>
      </c>
      <c r="CVZ5">
        <v>24889.417000000001</v>
      </c>
      <c r="CWA5">
        <v>-31766</v>
      </c>
      <c r="CWB5">
        <v>18044</v>
      </c>
      <c r="CWC5">
        <v>157177</v>
      </c>
      <c r="CWD5">
        <v>-8174.1670000000004</v>
      </c>
      <c r="CWE5">
        <v>18736.143</v>
      </c>
      <c r="CWF5">
        <v>25241</v>
      </c>
      <c r="CWG5">
        <v>-35874</v>
      </c>
      <c r="CWH5">
        <v>18736.143</v>
      </c>
      <c r="CWI5">
        <v>162467.429</v>
      </c>
      <c r="CWJ5">
        <v>-8275</v>
      </c>
      <c r="CWK5">
        <v>11060</v>
      </c>
      <c r="CWL5">
        <v>12353</v>
      </c>
      <c r="CWM5">
        <v>14337</v>
      </c>
      <c r="CWN5">
        <v>13088</v>
      </c>
      <c r="CWO5">
        <v>3205</v>
      </c>
      <c r="CWP5">
        <v>10961</v>
      </c>
      <c r="CWQ5">
        <v>8544</v>
      </c>
      <c r="CWR5">
        <v>-696</v>
      </c>
      <c r="CWS5">
        <v>-1100</v>
      </c>
      <c r="CWT5">
        <v>3285</v>
      </c>
      <c r="CWU5">
        <v>-1274</v>
      </c>
      <c r="CWV5">
        <v>222</v>
      </c>
      <c r="CWW5">
        <v>3711</v>
      </c>
      <c r="CWX5">
        <v>-1652</v>
      </c>
      <c r="CWY5">
        <v>343</v>
      </c>
      <c r="CWZ5">
        <v>7888</v>
      </c>
      <c r="CXA5">
        <v>22332</v>
      </c>
      <c r="CXB5">
        <v>24549</v>
      </c>
      <c r="CXC5" t="s">
        <v>289</v>
      </c>
      <c r="CXD5" t="s">
        <v>289</v>
      </c>
      <c r="CXE5" t="s">
        <v>289</v>
      </c>
      <c r="CXF5" t="s">
        <v>289</v>
      </c>
      <c r="CXG5" t="s">
        <v>289</v>
      </c>
      <c r="CXH5" t="s">
        <v>289</v>
      </c>
      <c r="CXI5" t="s">
        <v>289</v>
      </c>
      <c r="CXJ5" t="s">
        <v>289</v>
      </c>
      <c r="CXK5" t="s">
        <v>289</v>
      </c>
      <c r="CXL5" t="s">
        <v>289</v>
      </c>
      <c r="CXM5" t="s">
        <v>289</v>
      </c>
      <c r="CXN5" t="s">
        <v>289</v>
      </c>
      <c r="CXO5" t="s">
        <v>289</v>
      </c>
      <c r="CXP5" t="s">
        <v>289</v>
      </c>
      <c r="CXQ5" t="s">
        <v>289</v>
      </c>
      <c r="CXR5" t="s">
        <v>289</v>
      </c>
      <c r="CXS5" t="s">
        <v>289</v>
      </c>
      <c r="CXT5" t="s">
        <v>289</v>
      </c>
      <c r="CXU5" t="s">
        <v>289</v>
      </c>
      <c r="CXV5" t="s">
        <v>289</v>
      </c>
      <c r="CXW5">
        <v>1186</v>
      </c>
      <c r="CXX5" t="s">
        <v>289</v>
      </c>
      <c r="CXY5">
        <v>155</v>
      </c>
      <c r="CXZ5">
        <v>208</v>
      </c>
      <c r="CYA5">
        <v>-644</v>
      </c>
      <c r="CYB5">
        <v>-902</v>
      </c>
      <c r="CYC5">
        <v>1778</v>
      </c>
      <c r="CYD5">
        <v>1762</v>
      </c>
      <c r="CYE5">
        <v>-621</v>
      </c>
      <c r="CYF5">
        <v>610</v>
      </c>
      <c r="CYG5">
        <v>853</v>
      </c>
      <c r="CYH5">
        <v>142</v>
      </c>
      <c r="CYI5">
        <v>757</v>
      </c>
      <c r="CYJ5">
        <v>1259</v>
      </c>
      <c r="CYK5">
        <v>1694</v>
      </c>
      <c r="CYL5">
        <v>-1625</v>
      </c>
      <c r="CYM5">
        <v>-299</v>
      </c>
      <c r="CYN5">
        <v>1574</v>
      </c>
      <c r="CYO5" t="s">
        <v>289</v>
      </c>
      <c r="CYP5">
        <v>-1393</v>
      </c>
      <c r="CYQ5">
        <v>-1519</v>
      </c>
      <c r="CYR5">
        <v>68</v>
      </c>
      <c r="CYS5">
        <v>-1751</v>
      </c>
      <c r="CYT5">
        <v>-2717</v>
      </c>
      <c r="CYU5">
        <v>4232</v>
      </c>
      <c r="CYV5">
        <v>-955</v>
      </c>
      <c r="CYW5">
        <v>-2328</v>
      </c>
      <c r="CYX5">
        <v>-840</v>
      </c>
      <c r="CYY5">
        <v>-592</v>
      </c>
      <c r="CYZ5">
        <v>-2768</v>
      </c>
      <c r="CZA5">
        <v>-2613</v>
      </c>
      <c r="CZB5">
        <v>-1272</v>
      </c>
      <c r="CZC5">
        <v>-1455</v>
      </c>
      <c r="CZD5">
        <v>-3850</v>
      </c>
      <c r="CZE5">
        <v>99</v>
      </c>
      <c r="CZF5">
        <v>2039</v>
      </c>
      <c r="CZG5">
        <v>-2561</v>
      </c>
      <c r="CZH5" t="s">
        <v>289</v>
      </c>
      <c r="CZI5" t="s">
        <v>289</v>
      </c>
      <c r="CZJ5" t="s">
        <v>289</v>
      </c>
      <c r="CZK5" t="s">
        <v>289</v>
      </c>
      <c r="CZL5" t="s">
        <v>289</v>
      </c>
      <c r="CZM5" t="s">
        <v>289</v>
      </c>
      <c r="CZN5" t="s">
        <v>289</v>
      </c>
      <c r="CZO5" t="s">
        <v>289</v>
      </c>
      <c r="CZP5" t="s">
        <v>289</v>
      </c>
      <c r="CZQ5" t="s">
        <v>289</v>
      </c>
      <c r="CZR5" t="s">
        <v>289</v>
      </c>
      <c r="CZS5" t="s">
        <v>289</v>
      </c>
      <c r="CZT5" t="s">
        <v>289</v>
      </c>
      <c r="CZU5" t="s">
        <v>289</v>
      </c>
      <c r="CZV5" t="s">
        <v>289</v>
      </c>
      <c r="CZW5" t="s">
        <v>289</v>
      </c>
      <c r="CZX5" t="s">
        <v>289</v>
      </c>
      <c r="CZY5" t="s">
        <v>289</v>
      </c>
      <c r="CZZ5" t="s">
        <v>289</v>
      </c>
      <c r="DAA5" t="s">
        <v>289</v>
      </c>
      <c r="DAB5" t="s">
        <v>289</v>
      </c>
      <c r="DAC5" t="s">
        <v>289</v>
      </c>
      <c r="DAD5" t="s">
        <v>289</v>
      </c>
      <c r="DAE5" t="s">
        <v>289</v>
      </c>
      <c r="DAF5" t="s">
        <v>289</v>
      </c>
      <c r="DAG5" t="s">
        <v>289</v>
      </c>
      <c r="DAH5" t="s">
        <v>289</v>
      </c>
      <c r="DAI5" t="s">
        <v>289</v>
      </c>
      <c r="DAJ5" t="s">
        <v>289</v>
      </c>
      <c r="DAK5" t="s">
        <v>289</v>
      </c>
      <c r="DAL5" t="s">
        <v>289</v>
      </c>
      <c r="DAM5" t="s">
        <v>289</v>
      </c>
      <c r="DAN5" t="s">
        <v>289</v>
      </c>
      <c r="DAO5" t="s">
        <v>289</v>
      </c>
      <c r="DAP5" t="s">
        <v>289</v>
      </c>
      <c r="DAQ5" t="s">
        <v>289</v>
      </c>
      <c r="DAR5" t="s">
        <v>289</v>
      </c>
      <c r="DAS5" t="s">
        <v>289</v>
      </c>
      <c r="DAT5" t="s">
        <v>289</v>
      </c>
      <c r="DAU5" t="s">
        <v>289</v>
      </c>
      <c r="DAV5" t="s">
        <v>289</v>
      </c>
      <c r="DAW5" t="s">
        <v>289</v>
      </c>
      <c r="DAX5" t="s">
        <v>289</v>
      </c>
      <c r="DAY5" t="s">
        <v>289</v>
      </c>
      <c r="DAZ5" t="s">
        <v>289</v>
      </c>
      <c r="DBA5" t="s">
        <v>289</v>
      </c>
      <c r="DBB5" t="s">
        <v>289</v>
      </c>
      <c r="DBC5" t="s">
        <v>289</v>
      </c>
      <c r="DBD5" t="s">
        <v>289</v>
      </c>
      <c r="DBE5" t="s">
        <v>289</v>
      </c>
      <c r="DBF5" t="s">
        <v>289</v>
      </c>
      <c r="DBG5" t="s">
        <v>289</v>
      </c>
      <c r="DBH5" t="s">
        <v>289</v>
      </c>
      <c r="DBI5" t="s">
        <v>289</v>
      </c>
      <c r="DBJ5" t="s">
        <v>289</v>
      </c>
      <c r="DBK5" t="s">
        <v>289</v>
      </c>
      <c r="DBL5" t="s">
        <v>289</v>
      </c>
      <c r="DBM5" t="s">
        <v>289</v>
      </c>
      <c r="DBN5">
        <v>242</v>
      </c>
      <c r="DBO5">
        <v>-443</v>
      </c>
      <c r="DBP5">
        <v>-465</v>
      </c>
      <c r="DBQ5">
        <v>40</v>
      </c>
      <c r="DBR5">
        <v>-1511</v>
      </c>
      <c r="DBS5">
        <v>4943</v>
      </c>
      <c r="DBT5">
        <v>-2316</v>
      </c>
      <c r="DBU5">
        <v>-5146</v>
      </c>
      <c r="DBV5">
        <v>-4257</v>
      </c>
      <c r="DBW5">
        <v>-6029</v>
      </c>
      <c r="DBX5">
        <v>-8671</v>
      </c>
      <c r="DBY5">
        <v>-10456</v>
      </c>
      <c r="DBZ5">
        <v>-7810</v>
      </c>
      <c r="DCA5">
        <v>-13009</v>
      </c>
      <c r="DCB5">
        <v>-11141</v>
      </c>
      <c r="DCC5">
        <v>-5010</v>
      </c>
      <c r="DCD5">
        <v>3736</v>
      </c>
      <c r="DCE5">
        <v>3999</v>
      </c>
      <c r="DCF5" t="s">
        <v>289</v>
      </c>
      <c r="DCG5" t="s">
        <v>289</v>
      </c>
      <c r="DCH5" t="s">
        <v>289</v>
      </c>
      <c r="DCI5" t="s">
        <v>289</v>
      </c>
      <c r="DCJ5" t="s">
        <v>289</v>
      </c>
      <c r="DCK5" t="s">
        <v>289</v>
      </c>
      <c r="DCL5" t="s">
        <v>289</v>
      </c>
      <c r="DCM5" t="s">
        <v>289</v>
      </c>
      <c r="DCN5" t="s">
        <v>289</v>
      </c>
      <c r="DCO5" t="s">
        <v>289</v>
      </c>
      <c r="DCP5" t="s">
        <v>289</v>
      </c>
      <c r="DCQ5" t="s">
        <v>289</v>
      </c>
      <c r="DCR5" t="s">
        <v>289</v>
      </c>
      <c r="DCS5" t="s">
        <v>289</v>
      </c>
      <c r="DCT5" t="s">
        <v>289</v>
      </c>
      <c r="DCU5" t="s">
        <v>289</v>
      </c>
      <c r="DCV5" t="s">
        <v>289</v>
      </c>
      <c r="DCW5" t="s">
        <v>289</v>
      </c>
      <c r="DCX5" t="s">
        <v>289</v>
      </c>
      <c r="DCY5" t="s">
        <v>289</v>
      </c>
      <c r="DCZ5" t="s">
        <v>289</v>
      </c>
      <c r="DDA5">
        <v>802</v>
      </c>
      <c r="DDB5" t="s">
        <v>289</v>
      </c>
      <c r="DDC5" t="s">
        <v>289</v>
      </c>
      <c r="DDD5" t="s">
        <v>289</v>
      </c>
      <c r="DDE5" t="s">
        <v>289</v>
      </c>
      <c r="DDF5" t="s">
        <v>289</v>
      </c>
      <c r="DDG5" t="s">
        <v>289</v>
      </c>
      <c r="DDH5" t="s">
        <v>289</v>
      </c>
      <c r="DDI5" t="s">
        <v>289</v>
      </c>
      <c r="DDJ5" t="s">
        <v>289</v>
      </c>
      <c r="DDK5" t="s">
        <v>289</v>
      </c>
      <c r="DDL5" t="s">
        <v>289</v>
      </c>
      <c r="DDM5" t="s">
        <v>289</v>
      </c>
      <c r="DDN5" t="s">
        <v>289</v>
      </c>
      <c r="DDO5" t="s">
        <v>289</v>
      </c>
      <c r="DDP5" t="s">
        <v>289</v>
      </c>
      <c r="DDQ5" t="s">
        <v>289</v>
      </c>
      <c r="DDR5" t="s">
        <v>289</v>
      </c>
      <c r="DDS5" t="s">
        <v>289</v>
      </c>
      <c r="DDT5" t="s">
        <v>289</v>
      </c>
      <c r="DDU5" t="s">
        <v>289</v>
      </c>
      <c r="DDV5" t="s">
        <v>289</v>
      </c>
      <c r="DDW5" t="s">
        <v>289</v>
      </c>
      <c r="DDX5" t="s">
        <v>289</v>
      </c>
      <c r="DDY5" t="s">
        <v>289</v>
      </c>
      <c r="DDZ5" t="s">
        <v>289</v>
      </c>
      <c r="DEA5" t="s">
        <v>289</v>
      </c>
      <c r="DEB5" t="s">
        <v>289</v>
      </c>
      <c r="DEC5" t="s">
        <v>289</v>
      </c>
      <c r="DED5" t="s">
        <v>289</v>
      </c>
      <c r="DEE5" t="s">
        <v>289</v>
      </c>
      <c r="DEF5" t="s">
        <v>289</v>
      </c>
      <c r="DEG5" t="s">
        <v>289</v>
      </c>
      <c r="DEH5" t="s">
        <v>289</v>
      </c>
      <c r="DEI5" t="s">
        <v>289</v>
      </c>
      <c r="DEJ5" t="s">
        <v>289</v>
      </c>
      <c r="DEK5" t="s">
        <v>289</v>
      </c>
      <c r="DEL5" t="s">
        <v>289</v>
      </c>
      <c r="DEM5" t="s">
        <v>289</v>
      </c>
      <c r="DEN5" t="s">
        <v>289</v>
      </c>
      <c r="DEO5" t="s">
        <v>289</v>
      </c>
      <c r="DEP5" t="s">
        <v>289</v>
      </c>
      <c r="DEQ5" t="s">
        <v>289</v>
      </c>
      <c r="DER5" t="s">
        <v>289</v>
      </c>
      <c r="DES5" t="s">
        <v>289</v>
      </c>
      <c r="DET5" t="s">
        <v>289</v>
      </c>
      <c r="DEU5" t="s">
        <v>289</v>
      </c>
      <c r="DEV5" t="s">
        <v>289</v>
      </c>
      <c r="DEW5" t="s">
        <v>289</v>
      </c>
      <c r="DEX5" t="s">
        <v>289</v>
      </c>
      <c r="DEY5" t="s">
        <v>289</v>
      </c>
      <c r="DEZ5" t="s">
        <v>289</v>
      </c>
      <c r="DFA5" t="s">
        <v>289</v>
      </c>
      <c r="DFB5" t="s">
        <v>289</v>
      </c>
      <c r="DFC5" t="s">
        <v>289</v>
      </c>
      <c r="DFD5" t="s">
        <v>289</v>
      </c>
      <c r="DFE5" t="s">
        <v>289</v>
      </c>
      <c r="DFF5" t="s">
        <v>289</v>
      </c>
      <c r="DFG5" t="s">
        <v>289</v>
      </c>
      <c r="DFH5" t="s">
        <v>289</v>
      </c>
      <c r="DFI5" t="s">
        <v>289</v>
      </c>
      <c r="DFJ5" t="s">
        <v>289</v>
      </c>
      <c r="DFK5" t="s">
        <v>289</v>
      </c>
      <c r="DFL5" t="s">
        <v>289</v>
      </c>
      <c r="DFM5" t="s">
        <v>289</v>
      </c>
      <c r="DFN5" t="s">
        <v>289</v>
      </c>
      <c r="DFO5" t="s">
        <v>289</v>
      </c>
      <c r="DFP5" t="s">
        <v>289</v>
      </c>
      <c r="DFQ5" t="s">
        <v>289</v>
      </c>
      <c r="DFR5" t="s">
        <v>289</v>
      </c>
      <c r="DFS5" t="s">
        <v>289</v>
      </c>
      <c r="DFT5" t="s">
        <v>289</v>
      </c>
      <c r="DFU5" t="s">
        <v>289</v>
      </c>
      <c r="DFV5" t="s">
        <v>289</v>
      </c>
      <c r="DFW5" t="s">
        <v>289</v>
      </c>
      <c r="DFX5" t="s">
        <v>289</v>
      </c>
      <c r="DFY5" t="s">
        <v>289</v>
      </c>
      <c r="DFZ5" t="s">
        <v>289</v>
      </c>
      <c r="DGA5" t="s">
        <v>289</v>
      </c>
      <c r="DGB5" t="s">
        <v>289</v>
      </c>
      <c r="DGC5" t="s">
        <v>289</v>
      </c>
      <c r="DGD5" t="s">
        <v>289</v>
      </c>
      <c r="DGE5" t="s">
        <v>289</v>
      </c>
      <c r="DGF5" t="s">
        <v>289</v>
      </c>
      <c r="DGG5" t="s">
        <v>289</v>
      </c>
      <c r="DGH5" t="s">
        <v>289</v>
      </c>
      <c r="DGI5" t="s">
        <v>289</v>
      </c>
      <c r="DGJ5" t="s">
        <v>289</v>
      </c>
      <c r="DGK5" t="s">
        <v>289</v>
      </c>
      <c r="DGL5" t="s">
        <v>289</v>
      </c>
      <c r="DGM5" t="s">
        <v>289</v>
      </c>
      <c r="DGN5" t="s">
        <v>289</v>
      </c>
      <c r="DGO5" t="s">
        <v>289</v>
      </c>
      <c r="DGP5" t="s">
        <v>289</v>
      </c>
      <c r="DGQ5" t="s">
        <v>289</v>
      </c>
      <c r="DGR5" t="s">
        <v>289</v>
      </c>
      <c r="DGS5" t="s">
        <v>289</v>
      </c>
      <c r="DGT5" t="s">
        <v>289</v>
      </c>
      <c r="DGU5" t="s">
        <v>289</v>
      </c>
      <c r="DGV5" t="s">
        <v>289</v>
      </c>
      <c r="DGW5" t="s">
        <v>289</v>
      </c>
      <c r="DGX5" t="s">
        <v>289</v>
      </c>
      <c r="DGY5" t="s">
        <v>289</v>
      </c>
      <c r="DGZ5" t="s">
        <v>289</v>
      </c>
      <c r="DHA5" t="s">
        <v>289</v>
      </c>
      <c r="DHB5" t="s">
        <v>289</v>
      </c>
      <c r="DHC5" t="s">
        <v>289</v>
      </c>
      <c r="DHD5" t="s">
        <v>289</v>
      </c>
      <c r="DHE5" t="s">
        <v>289</v>
      </c>
      <c r="DHF5" t="s">
        <v>289</v>
      </c>
      <c r="DHG5" t="s">
        <v>289</v>
      </c>
      <c r="DHH5" t="s">
        <v>289</v>
      </c>
      <c r="DHI5" t="s">
        <v>289</v>
      </c>
      <c r="DHJ5" t="s">
        <v>289</v>
      </c>
      <c r="DHK5" t="s">
        <v>289</v>
      </c>
      <c r="DHL5" t="s">
        <v>289</v>
      </c>
      <c r="DHM5" t="s">
        <v>289</v>
      </c>
      <c r="DHN5" t="s">
        <v>289</v>
      </c>
      <c r="DHO5" t="s">
        <v>289</v>
      </c>
      <c r="DHP5" t="s">
        <v>289</v>
      </c>
      <c r="DHQ5" t="s">
        <v>289</v>
      </c>
      <c r="DHR5" t="s">
        <v>289</v>
      </c>
      <c r="DHS5" t="s">
        <v>289</v>
      </c>
      <c r="DHT5" t="s">
        <v>289</v>
      </c>
      <c r="DHU5" t="s">
        <v>289</v>
      </c>
      <c r="DHV5" t="s">
        <v>289</v>
      </c>
      <c r="DHW5" t="s">
        <v>289</v>
      </c>
      <c r="DHX5" t="s">
        <v>289</v>
      </c>
      <c r="DHY5" t="s">
        <v>289</v>
      </c>
      <c r="DHZ5" t="s">
        <v>289</v>
      </c>
      <c r="DIA5" t="s">
        <v>289</v>
      </c>
      <c r="DIB5" t="s">
        <v>289</v>
      </c>
      <c r="DIC5">
        <v>242</v>
      </c>
      <c r="DID5">
        <v>-443</v>
      </c>
      <c r="DIE5">
        <v>-465</v>
      </c>
      <c r="DIF5">
        <v>40</v>
      </c>
      <c r="DIG5">
        <v>-1511</v>
      </c>
      <c r="DIH5">
        <v>4943</v>
      </c>
      <c r="DII5">
        <v>-2316</v>
      </c>
      <c r="DIJ5">
        <v>-5146</v>
      </c>
      <c r="DIK5">
        <v>-4257</v>
      </c>
      <c r="DIL5">
        <v>-6029</v>
      </c>
      <c r="DIM5">
        <v>-8671</v>
      </c>
      <c r="DIN5">
        <v>-10456</v>
      </c>
      <c r="DIO5">
        <v>-7810</v>
      </c>
      <c r="DIP5">
        <v>-13009</v>
      </c>
      <c r="DIQ5">
        <v>-11141</v>
      </c>
      <c r="DIR5">
        <v>-5010</v>
      </c>
      <c r="DIS5">
        <v>3736</v>
      </c>
      <c r="DIT5">
        <v>3999</v>
      </c>
      <c r="DIU5" t="s">
        <v>289</v>
      </c>
      <c r="DIV5">
        <v>-1393</v>
      </c>
      <c r="DIW5">
        <v>-1519</v>
      </c>
      <c r="DIX5">
        <v>68</v>
      </c>
      <c r="DIY5">
        <v>-1751</v>
      </c>
      <c r="DIZ5">
        <v>-2717</v>
      </c>
      <c r="DJA5">
        <v>4232</v>
      </c>
      <c r="DJB5">
        <v>-955</v>
      </c>
      <c r="DJC5">
        <v>-2328</v>
      </c>
      <c r="DJD5">
        <v>-840</v>
      </c>
      <c r="DJE5">
        <v>-592</v>
      </c>
      <c r="DJF5">
        <v>-2768</v>
      </c>
      <c r="DJG5">
        <v>-2613</v>
      </c>
      <c r="DJH5">
        <v>-1272</v>
      </c>
      <c r="DJI5">
        <v>-1455</v>
      </c>
      <c r="DJJ5">
        <v>-3850</v>
      </c>
      <c r="DJK5">
        <v>99</v>
      </c>
      <c r="DJL5">
        <v>2039</v>
      </c>
      <c r="DJM5">
        <v>-2561</v>
      </c>
      <c r="DJN5" t="s">
        <v>289</v>
      </c>
      <c r="DJO5" t="s">
        <v>289</v>
      </c>
      <c r="DJP5" t="s">
        <v>289</v>
      </c>
      <c r="DJQ5" t="s">
        <v>289</v>
      </c>
      <c r="DJR5" t="s">
        <v>289</v>
      </c>
      <c r="DJS5" t="s">
        <v>289</v>
      </c>
      <c r="DJT5" t="s">
        <v>289</v>
      </c>
      <c r="DJU5" t="s">
        <v>289</v>
      </c>
      <c r="DJV5" t="s">
        <v>289</v>
      </c>
      <c r="DJW5">
        <v>0</v>
      </c>
      <c r="DJX5">
        <v>0</v>
      </c>
      <c r="DJY5">
        <v>0</v>
      </c>
      <c r="DJZ5">
        <v>2197</v>
      </c>
      <c r="DKA5">
        <v>2253</v>
      </c>
      <c r="DKB5">
        <v>210</v>
      </c>
      <c r="DKC5">
        <v>877</v>
      </c>
      <c r="DKD5">
        <v>5641</v>
      </c>
      <c r="DKE5">
        <v>653</v>
      </c>
      <c r="DKF5">
        <v>-1261</v>
      </c>
      <c r="DKG5" t="s">
        <v>289</v>
      </c>
      <c r="DKH5">
        <v>-1137</v>
      </c>
      <c r="DKI5">
        <v>534</v>
      </c>
      <c r="DKJ5">
        <v>0</v>
      </c>
      <c r="DKK5">
        <v>-38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2197</v>
      </c>
      <c r="DKT5">
        <v>2253</v>
      </c>
      <c r="DKU5">
        <v>210</v>
      </c>
      <c r="DKV5">
        <v>877</v>
      </c>
      <c r="DKW5">
        <v>5641</v>
      </c>
      <c r="DKX5">
        <v>653</v>
      </c>
      <c r="DKY5">
        <v>-1261</v>
      </c>
      <c r="DKZ5" t="s">
        <v>289</v>
      </c>
      <c r="DLA5">
        <v>1186</v>
      </c>
      <c r="DLB5" t="s">
        <v>289</v>
      </c>
      <c r="DLC5">
        <v>155</v>
      </c>
      <c r="DLD5">
        <v>208</v>
      </c>
      <c r="DLE5">
        <v>-644</v>
      </c>
      <c r="DLF5">
        <v>-902</v>
      </c>
      <c r="DLG5">
        <v>1778</v>
      </c>
      <c r="DLH5">
        <v>1762</v>
      </c>
      <c r="DLI5">
        <v>-621</v>
      </c>
      <c r="DLJ5">
        <v>610</v>
      </c>
      <c r="DLK5">
        <v>853</v>
      </c>
      <c r="DLL5">
        <v>142</v>
      </c>
      <c r="DLM5">
        <v>757</v>
      </c>
      <c r="DLN5">
        <v>1259</v>
      </c>
      <c r="DLO5">
        <v>1694</v>
      </c>
      <c r="DLP5">
        <v>-1625</v>
      </c>
      <c r="DLQ5">
        <v>-299</v>
      </c>
      <c r="DLR5">
        <v>1574</v>
      </c>
      <c r="DLS5" t="s">
        <v>289</v>
      </c>
      <c r="DLT5">
        <v>-1102</v>
      </c>
      <c r="DLU5">
        <v>-1428</v>
      </c>
      <c r="DLV5">
        <v>-242</v>
      </c>
      <c r="DLW5">
        <v>-1541</v>
      </c>
      <c r="DLX5">
        <v>-4872</v>
      </c>
      <c r="DLY5">
        <v>8273</v>
      </c>
      <c r="DLZ5">
        <v>-1493</v>
      </c>
      <c r="DMA5">
        <v>-5712</v>
      </c>
      <c r="DMB5">
        <v>-5718</v>
      </c>
      <c r="DMC5">
        <v>-6011</v>
      </c>
      <c r="DMD5">
        <v>-10586</v>
      </c>
      <c r="DME5">
        <v>-10730</v>
      </c>
      <c r="DMF5">
        <v>-6072</v>
      </c>
      <c r="DMG5">
        <v>-12995</v>
      </c>
      <c r="DMH5">
        <v>-12420</v>
      </c>
      <c r="DMI5">
        <v>-895</v>
      </c>
      <c r="DMJ5">
        <v>6129</v>
      </c>
      <c r="DMK5">
        <v>1751</v>
      </c>
      <c r="DML5" t="s">
        <v>289</v>
      </c>
      <c r="DMM5" t="s">
        <v>289</v>
      </c>
      <c r="DMN5" t="s">
        <v>289</v>
      </c>
      <c r="DMO5" t="s">
        <v>289</v>
      </c>
      <c r="DMP5" t="s">
        <v>289</v>
      </c>
      <c r="DMQ5" t="s">
        <v>289</v>
      </c>
      <c r="DMR5" t="s">
        <v>289</v>
      </c>
      <c r="DMS5" t="s">
        <v>289</v>
      </c>
      <c r="DMT5" t="s">
        <v>289</v>
      </c>
      <c r="DMU5" t="s">
        <v>289</v>
      </c>
      <c r="DMV5" t="s">
        <v>289</v>
      </c>
      <c r="DMW5" t="s">
        <v>289</v>
      </c>
      <c r="DMX5" t="s">
        <v>289</v>
      </c>
      <c r="DMY5" t="s">
        <v>289</v>
      </c>
      <c r="DMZ5" t="s">
        <v>289</v>
      </c>
      <c r="DNA5" t="s">
        <v>289</v>
      </c>
      <c r="DNB5" t="s">
        <v>289</v>
      </c>
      <c r="DNC5" t="s">
        <v>289</v>
      </c>
      <c r="DND5" t="s">
        <v>289</v>
      </c>
      <c r="DNE5" t="s">
        <v>289</v>
      </c>
      <c r="DNF5" t="s">
        <v>289</v>
      </c>
      <c r="DNG5" t="s">
        <v>289</v>
      </c>
      <c r="DNH5" t="s">
        <v>289</v>
      </c>
      <c r="DNI5" t="s">
        <v>289</v>
      </c>
      <c r="DNJ5" t="s">
        <v>289</v>
      </c>
      <c r="DNK5" t="s">
        <v>289</v>
      </c>
      <c r="DNL5" t="s">
        <v>289</v>
      </c>
      <c r="DNM5" t="s">
        <v>289</v>
      </c>
      <c r="DNN5" t="s">
        <v>289</v>
      </c>
      <c r="DNO5" t="s">
        <v>289</v>
      </c>
      <c r="DNP5" t="s">
        <v>289</v>
      </c>
      <c r="DNQ5" t="s">
        <v>289</v>
      </c>
      <c r="DNR5" t="s">
        <v>289</v>
      </c>
      <c r="DNS5" t="s">
        <v>289</v>
      </c>
      <c r="DNT5" t="s">
        <v>289</v>
      </c>
      <c r="DNU5" t="s">
        <v>289</v>
      </c>
      <c r="DNV5" t="s">
        <v>289</v>
      </c>
      <c r="DNW5" t="s">
        <v>289</v>
      </c>
      <c r="DNX5" t="s">
        <v>289</v>
      </c>
      <c r="DNY5">
        <v>1373</v>
      </c>
      <c r="DNZ5">
        <v>700</v>
      </c>
      <c r="DOA5">
        <v>-1494</v>
      </c>
      <c r="DOB5">
        <v>-1020</v>
      </c>
      <c r="DOC5">
        <v>-898</v>
      </c>
      <c r="DOD5">
        <v>358</v>
      </c>
      <c r="DOE5">
        <v>1189</v>
      </c>
      <c r="DOF5">
        <v>2817</v>
      </c>
      <c r="DOG5">
        <v>2102</v>
      </c>
      <c r="DOH5">
        <v>1309</v>
      </c>
      <c r="DOI5">
        <v>2170</v>
      </c>
      <c r="DOJ5">
        <v>2573</v>
      </c>
      <c r="DOK5">
        <v>2950</v>
      </c>
      <c r="DOL5">
        <v>3879</v>
      </c>
      <c r="DOM5">
        <v>2858</v>
      </c>
      <c r="DON5">
        <v>2107</v>
      </c>
      <c r="DOO5">
        <v>1993</v>
      </c>
      <c r="DOP5">
        <v>3812</v>
      </c>
      <c r="DOQ5" t="s">
        <v>289</v>
      </c>
      <c r="DOR5">
        <v>3092</v>
      </c>
      <c r="DOS5">
        <v>3652</v>
      </c>
      <c r="DOT5">
        <v>-977</v>
      </c>
      <c r="DOU5">
        <v>-1541</v>
      </c>
      <c r="DOV5">
        <v>-1647</v>
      </c>
      <c r="DOW5">
        <v>894</v>
      </c>
      <c r="DOX5">
        <v>523</v>
      </c>
      <c r="DOY5">
        <v>489</v>
      </c>
      <c r="DOZ5">
        <v>561</v>
      </c>
      <c r="DPA5">
        <v>385</v>
      </c>
      <c r="DPB5">
        <v>445</v>
      </c>
      <c r="DPC5">
        <v>311</v>
      </c>
      <c r="DPD5">
        <v>229</v>
      </c>
      <c r="DPE5">
        <v>304</v>
      </c>
      <c r="DPF5">
        <v>678</v>
      </c>
      <c r="DPG5">
        <v>725</v>
      </c>
      <c r="DPH5">
        <v>158</v>
      </c>
      <c r="DPI5">
        <v>367</v>
      </c>
      <c r="DPJ5" t="s">
        <v>289</v>
      </c>
      <c r="DPK5">
        <v>-520</v>
      </c>
      <c r="DPL5">
        <v>-1370</v>
      </c>
      <c r="DPM5" t="s">
        <v>289</v>
      </c>
      <c r="DPN5" t="s">
        <v>289</v>
      </c>
      <c r="DPO5" t="s">
        <v>289</v>
      </c>
      <c r="DPP5" t="s">
        <v>289</v>
      </c>
      <c r="DPQ5" t="s">
        <v>289</v>
      </c>
      <c r="DPR5" t="s">
        <v>289</v>
      </c>
      <c r="DPS5" t="s">
        <v>289</v>
      </c>
      <c r="DPT5" t="s">
        <v>289</v>
      </c>
      <c r="DPU5" t="s">
        <v>289</v>
      </c>
      <c r="DPV5" t="s">
        <v>289</v>
      </c>
      <c r="DPW5" t="s">
        <v>289</v>
      </c>
      <c r="DPX5" t="s">
        <v>289</v>
      </c>
      <c r="DPY5" t="s">
        <v>289</v>
      </c>
      <c r="DPZ5" t="s">
        <v>289</v>
      </c>
      <c r="DQA5" t="s">
        <v>289</v>
      </c>
      <c r="DQB5" t="s">
        <v>289</v>
      </c>
      <c r="DQC5" t="s">
        <v>289</v>
      </c>
    </row>
    <row r="6" spans="2:3149">
      <c r="B6" t="s">
        <v>3797</v>
      </c>
      <c r="C6" t="s">
        <v>3805</v>
      </c>
      <c r="D6" t="s">
        <v>3115</v>
      </c>
      <c r="E6" s="100">
        <v>44531</v>
      </c>
      <c r="F6" t="s">
        <v>3629</v>
      </c>
      <c r="G6">
        <v>27.885000000000002</v>
      </c>
      <c r="H6">
        <v>27.885000000000002</v>
      </c>
      <c r="I6">
        <v>8246.2158999999992</v>
      </c>
      <c r="J6">
        <v>8246.2158999999992</v>
      </c>
      <c r="K6">
        <v>0</v>
      </c>
      <c r="L6">
        <v>0</v>
      </c>
      <c r="M6" t="s">
        <v>289</v>
      </c>
      <c r="N6" t="s">
        <v>289</v>
      </c>
      <c r="O6" t="s">
        <v>289</v>
      </c>
      <c r="P6" t="s">
        <v>289</v>
      </c>
      <c r="Q6" t="s">
        <v>289</v>
      </c>
      <c r="R6" t="s">
        <v>289</v>
      </c>
      <c r="S6" t="s">
        <v>289</v>
      </c>
      <c r="T6" t="s">
        <v>289</v>
      </c>
      <c r="U6" t="s">
        <v>289</v>
      </c>
      <c r="V6" t="s">
        <v>289</v>
      </c>
      <c r="W6" t="s">
        <v>289</v>
      </c>
      <c r="X6" t="s">
        <v>289</v>
      </c>
      <c r="Y6" t="s">
        <v>289</v>
      </c>
      <c r="Z6" t="s">
        <v>289</v>
      </c>
      <c r="AA6" t="s">
        <v>289</v>
      </c>
      <c r="AB6" t="s">
        <v>289</v>
      </c>
      <c r="AC6" t="s">
        <v>289</v>
      </c>
      <c r="AD6" t="s">
        <v>289</v>
      </c>
      <c r="AE6" t="s">
        <v>289</v>
      </c>
      <c r="AF6" t="s">
        <v>289</v>
      </c>
      <c r="AG6" t="s">
        <v>289</v>
      </c>
      <c r="AH6" t="s">
        <v>289</v>
      </c>
      <c r="AI6" t="s">
        <v>289</v>
      </c>
      <c r="AJ6" t="s">
        <v>289</v>
      </c>
      <c r="AK6" t="s">
        <v>289</v>
      </c>
      <c r="AL6" t="s">
        <v>289</v>
      </c>
      <c r="AM6" t="s">
        <v>289</v>
      </c>
      <c r="AN6" t="s">
        <v>289</v>
      </c>
      <c r="AO6" t="s">
        <v>289</v>
      </c>
      <c r="AP6" t="s">
        <v>289</v>
      </c>
      <c r="AQ6" t="s">
        <v>289</v>
      </c>
      <c r="AR6" t="s">
        <v>289</v>
      </c>
      <c r="AS6" t="s">
        <v>289</v>
      </c>
      <c r="AT6" t="s">
        <v>289</v>
      </c>
      <c r="AU6" t="s">
        <v>289</v>
      </c>
      <c r="AV6" t="s">
        <v>289</v>
      </c>
      <c r="AW6" t="s">
        <v>289</v>
      </c>
      <c r="AX6" t="s">
        <v>289</v>
      </c>
      <c r="AY6" t="s">
        <v>289</v>
      </c>
      <c r="AZ6" t="s">
        <v>289</v>
      </c>
      <c r="BA6" t="s">
        <v>289</v>
      </c>
      <c r="BB6" t="s">
        <v>289</v>
      </c>
      <c r="BC6" t="s">
        <v>289</v>
      </c>
      <c r="BD6" t="s">
        <v>289</v>
      </c>
      <c r="BE6" t="s">
        <v>289</v>
      </c>
      <c r="BF6" t="s">
        <v>289</v>
      </c>
      <c r="BG6" t="s">
        <v>289</v>
      </c>
      <c r="BH6" t="s">
        <v>289</v>
      </c>
      <c r="BI6" t="s">
        <v>289</v>
      </c>
      <c r="BJ6" t="s">
        <v>289</v>
      </c>
      <c r="BK6" t="s">
        <v>289</v>
      </c>
      <c r="BL6" t="s">
        <v>289</v>
      </c>
      <c r="BM6" t="s">
        <v>289</v>
      </c>
      <c r="BN6" t="s">
        <v>289</v>
      </c>
      <c r="BO6" t="s">
        <v>289</v>
      </c>
      <c r="BP6" t="s">
        <v>289</v>
      </c>
      <c r="BQ6" t="s">
        <v>289</v>
      </c>
      <c r="BR6" t="s">
        <v>289</v>
      </c>
      <c r="BS6" t="s">
        <v>289</v>
      </c>
      <c r="BT6" t="s">
        <v>289</v>
      </c>
      <c r="BU6" t="s">
        <v>289</v>
      </c>
      <c r="BV6" t="s">
        <v>289</v>
      </c>
      <c r="BW6" t="s">
        <v>289</v>
      </c>
      <c r="BX6" t="s">
        <v>289</v>
      </c>
      <c r="BY6" t="s">
        <v>289</v>
      </c>
      <c r="BZ6" t="s">
        <v>289</v>
      </c>
      <c r="CA6" t="s">
        <v>289</v>
      </c>
      <c r="CB6" t="s">
        <v>289</v>
      </c>
      <c r="CC6" t="s">
        <v>289</v>
      </c>
      <c r="CD6" t="s">
        <v>289</v>
      </c>
      <c r="CE6" t="s">
        <v>289</v>
      </c>
      <c r="CF6" t="s">
        <v>289</v>
      </c>
      <c r="CG6" t="s">
        <v>289</v>
      </c>
      <c r="CH6" t="s">
        <v>289</v>
      </c>
      <c r="CI6" t="s">
        <v>289</v>
      </c>
      <c r="CJ6" t="s">
        <v>289</v>
      </c>
      <c r="CK6" t="s">
        <v>289</v>
      </c>
      <c r="CL6" t="s">
        <v>289</v>
      </c>
      <c r="CM6" t="s">
        <v>289</v>
      </c>
      <c r="CN6" t="s">
        <v>289</v>
      </c>
      <c r="CO6" t="s">
        <v>289</v>
      </c>
      <c r="CP6" t="s">
        <v>289</v>
      </c>
      <c r="CQ6" t="s">
        <v>289</v>
      </c>
      <c r="CR6" t="s">
        <v>289</v>
      </c>
      <c r="CS6" t="s">
        <v>289</v>
      </c>
      <c r="CT6" t="s">
        <v>289</v>
      </c>
      <c r="CU6" t="s">
        <v>289</v>
      </c>
      <c r="CV6" t="s">
        <v>289</v>
      </c>
      <c r="CW6" t="s">
        <v>289</v>
      </c>
      <c r="CX6" t="s">
        <v>289</v>
      </c>
      <c r="CY6" t="s">
        <v>289</v>
      </c>
      <c r="CZ6" t="s">
        <v>289</v>
      </c>
      <c r="DA6" t="s">
        <v>289</v>
      </c>
      <c r="DB6" t="s">
        <v>289</v>
      </c>
      <c r="DC6" t="s">
        <v>289</v>
      </c>
      <c r="DD6" t="s">
        <v>289</v>
      </c>
      <c r="DE6" t="s">
        <v>289</v>
      </c>
      <c r="DF6" t="s">
        <v>289</v>
      </c>
      <c r="DG6" t="s">
        <v>289</v>
      </c>
      <c r="DH6" t="s">
        <v>289</v>
      </c>
      <c r="DI6" t="s">
        <v>289</v>
      </c>
      <c r="DJ6" t="s">
        <v>289</v>
      </c>
      <c r="DK6" t="s">
        <v>289</v>
      </c>
      <c r="DL6" t="s">
        <v>289</v>
      </c>
      <c r="DM6" t="s">
        <v>289</v>
      </c>
      <c r="DN6" t="s">
        <v>289</v>
      </c>
      <c r="DO6" t="s">
        <v>289</v>
      </c>
      <c r="DP6" t="s">
        <v>289</v>
      </c>
      <c r="DQ6" t="s">
        <v>289</v>
      </c>
      <c r="DR6" t="s">
        <v>289</v>
      </c>
      <c r="DS6" t="s">
        <v>289</v>
      </c>
      <c r="DT6" t="s">
        <v>289</v>
      </c>
      <c r="DU6" t="s">
        <v>289</v>
      </c>
      <c r="DV6" t="s">
        <v>289</v>
      </c>
      <c r="DW6" t="s">
        <v>289</v>
      </c>
      <c r="DX6" t="s">
        <v>289</v>
      </c>
      <c r="DY6" t="s">
        <v>289</v>
      </c>
      <c r="DZ6" t="s">
        <v>289</v>
      </c>
      <c r="EA6" t="s">
        <v>289</v>
      </c>
      <c r="EB6" t="s">
        <v>289</v>
      </c>
      <c r="EC6" t="s">
        <v>289</v>
      </c>
      <c r="ED6" t="s">
        <v>289</v>
      </c>
      <c r="EE6" t="s">
        <v>289</v>
      </c>
      <c r="EF6" t="s">
        <v>289</v>
      </c>
      <c r="EG6" t="s">
        <v>289</v>
      </c>
      <c r="EH6" t="s">
        <v>289</v>
      </c>
      <c r="EI6" t="s">
        <v>289</v>
      </c>
      <c r="EJ6" t="s">
        <v>289</v>
      </c>
      <c r="EK6" t="s">
        <v>289</v>
      </c>
      <c r="EL6" t="s">
        <v>289</v>
      </c>
      <c r="EM6" t="s">
        <v>289</v>
      </c>
      <c r="EN6" t="s">
        <v>289</v>
      </c>
      <c r="EO6" t="s">
        <v>289</v>
      </c>
      <c r="EP6" t="s">
        <v>289</v>
      </c>
      <c r="EQ6" t="s">
        <v>289</v>
      </c>
      <c r="ER6" t="s">
        <v>289</v>
      </c>
      <c r="ES6" t="s">
        <v>289</v>
      </c>
      <c r="ET6" t="s">
        <v>289</v>
      </c>
      <c r="EU6" t="s">
        <v>289</v>
      </c>
      <c r="EV6" t="s">
        <v>289</v>
      </c>
      <c r="EW6" t="s">
        <v>289</v>
      </c>
      <c r="EX6" t="s">
        <v>289</v>
      </c>
      <c r="EY6" t="s">
        <v>289</v>
      </c>
      <c r="EZ6" t="s">
        <v>289</v>
      </c>
      <c r="FA6" t="s">
        <v>289</v>
      </c>
      <c r="FB6" t="s">
        <v>289</v>
      </c>
      <c r="FC6" t="s">
        <v>289</v>
      </c>
      <c r="FD6" t="s">
        <v>289</v>
      </c>
      <c r="FE6" t="s">
        <v>289</v>
      </c>
      <c r="FF6" t="s">
        <v>289</v>
      </c>
      <c r="FG6" t="s">
        <v>289</v>
      </c>
      <c r="FH6" t="s">
        <v>289</v>
      </c>
      <c r="FI6" t="s">
        <v>289</v>
      </c>
      <c r="FJ6" t="s">
        <v>289</v>
      </c>
      <c r="FK6" t="s">
        <v>289</v>
      </c>
      <c r="FL6" t="s">
        <v>289</v>
      </c>
      <c r="FM6" t="s">
        <v>289</v>
      </c>
      <c r="FN6" t="s">
        <v>289</v>
      </c>
      <c r="FO6" t="s">
        <v>289</v>
      </c>
      <c r="FP6" t="s">
        <v>289</v>
      </c>
      <c r="FQ6" t="s">
        <v>289</v>
      </c>
      <c r="FR6" t="s">
        <v>289</v>
      </c>
      <c r="FS6" t="s">
        <v>289</v>
      </c>
      <c r="FT6" t="s">
        <v>289</v>
      </c>
      <c r="FU6" t="s">
        <v>289</v>
      </c>
      <c r="FV6" t="s">
        <v>289</v>
      </c>
      <c r="FW6" t="s">
        <v>289</v>
      </c>
      <c r="FX6" t="s">
        <v>289</v>
      </c>
      <c r="FY6" t="s">
        <v>289</v>
      </c>
      <c r="FZ6" t="s">
        <v>289</v>
      </c>
      <c r="GA6" t="s">
        <v>289</v>
      </c>
      <c r="GB6" t="s">
        <v>289</v>
      </c>
      <c r="GC6" t="s">
        <v>289</v>
      </c>
      <c r="GD6" t="s">
        <v>289</v>
      </c>
      <c r="GE6" t="s">
        <v>289</v>
      </c>
      <c r="GF6" t="s">
        <v>289</v>
      </c>
      <c r="GG6" t="s">
        <v>289</v>
      </c>
      <c r="GH6" t="s">
        <v>289</v>
      </c>
      <c r="GI6" t="s">
        <v>289</v>
      </c>
      <c r="GJ6" t="s">
        <v>289</v>
      </c>
      <c r="GK6" t="s">
        <v>289</v>
      </c>
      <c r="GL6" t="s">
        <v>289</v>
      </c>
      <c r="GM6" t="s">
        <v>289</v>
      </c>
      <c r="GN6" t="s">
        <v>289</v>
      </c>
      <c r="GO6" t="s">
        <v>289</v>
      </c>
      <c r="GP6" t="s">
        <v>289</v>
      </c>
      <c r="GQ6" t="s">
        <v>289</v>
      </c>
      <c r="GR6" t="s">
        <v>289</v>
      </c>
      <c r="GS6" t="s">
        <v>289</v>
      </c>
      <c r="GT6" t="s">
        <v>289</v>
      </c>
      <c r="GU6" t="s">
        <v>289</v>
      </c>
      <c r="GV6" t="s">
        <v>289</v>
      </c>
      <c r="GW6" t="s">
        <v>289</v>
      </c>
      <c r="GX6" t="s">
        <v>289</v>
      </c>
      <c r="GY6" t="s">
        <v>289</v>
      </c>
      <c r="GZ6" t="s">
        <v>289</v>
      </c>
      <c r="HA6" t="s">
        <v>289</v>
      </c>
      <c r="HB6" t="s">
        <v>289</v>
      </c>
      <c r="HC6" t="s">
        <v>289</v>
      </c>
      <c r="HD6" t="s">
        <v>289</v>
      </c>
      <c r="HE6" t="s">
        <v>289</v>
      </c>
      <c r="HF6" t="s">
        <v>289</v>
      </c>
      <c r="HG6" t="s">
        <v>289</v>
      </c>
      <c r="HH6" t="s">
        <v>289</v>
      </c>
      <c r="HI6" t="s">
        <v>289</v>
      </c>
      <c r="HJ6" t="s">
        <v>289</v>
      </c>
      <c r="HK6" t="s">
        <v>289</v>
      </c>
      <c r="HL6" t="s">
        <v>289</v>
      </c>
      <c r="HM6" t="s">
        <v>289</v>
      </c>
      <c r="HN6" t="s">
        <v>289</v>
      </c>
      <c r="HO6" t="s">
        <v>289</v>
      </c>
      <c r="HP6" t="s">
        <v>289</v>
      </c>
      <c r="HQ6" t="s">
        <v>289</v>
      </c>
      <c r="HR6" t="s">
        <v>289</v>
      </c>
      <c r="HS6" t="s">
        <v>289</v>
      </c>
      <c r="HT6" t="s">
        <v>289</v>
      </c>
      <c r="HU6" t="s">
        <v>289</v>
      </c>
      <c r="HV6" t="s">
        <v>289</v>
      </c>
      <c r="HW6" t="s">
        <v>289</v>
      </c>
      <c r="HX6" t="s">
        <v>289</v>
      </c>
      <c r="HY6" t="s">
        <v>289</v>
      </c>
      <c r="HZ6" t="s">
        <v>289</v>
      </c>
      <c r="IA6" t="s">
        <v>289</v>
      </c>
      <c r="IB6" t="s">
        <v>289</v>
      </c>
      <c r="IC6" t="s">
        <v>289</v>
      </c>
      <c r="ID6" t="s">
        <v>289</v>
      </c>
      <c r="IE6" t="s">
        <v>289</v>
      </c>
      <c r="IF6" t="s">
        <v>289</v>
      </c>
      <c r="IG6" t="s">
        <v>289</v>
      </c>
      <c r="IH6" t="s">
        <v>289</v>
      </c>
      <c r="II6" t="s">
        <v>289</v>
      </c>
      <c r="IJ6" t="s">
        <v>289</v>
      </c>
      <c r="IK6" t="s">
        <v>289</v>
      </c>
      <c r="IL6" t="s">
        <v>289</v>
      </c>
      <c r="IM6" t="s">
        <v>289</v>
      </c>
      <c r="IN6" t="s">
        <v>289</v>
      </c>
      <c r="IO6" t="s">
        <v>289</v>
      </c>
      <c r="IP6" t="s">
        <v>289</v>
      </c>
      <c r="IQ6" t="s">
        <v>289</v>
      </c>
      <c r="IR6" t="s">
        <v>289</v>
      </c>
      <c r="IS6" t="s">
        <v>289</v>
      </c>
      <c r="IT6" t="s">
        <v>289</v>
      </c>
      <c r="IU6" t="s">
        <v>289</v>
      </c>
      <c r="IV6" t="s">
        <v>289</v>
      </c>
      <c r="IW6" t="s">
        <v>289</v>
      </c>
      <c r="IX6" t="s">
        <v>289</v>
      </c>
      <c r="IY6" t="s">
        <v>289</v>
      </c>
      <c r="IZ6" t="s">
        <v>289</v>
      </c>
      <c r="JA6" t="s">
        <v>289</v>
      </c>
      <c r="JB6" t="s">
        <v>289</v>
      </c>
      <c r="JC6" t="s">
        <v>289</v>
      </c>
      <c r="JD6" t="s">
        <v>289</v>
      </c>
      <c r="JE6" t="s">
        <v>289</v>
      </c>
      <c r="JF6" t="s">
        <v>289</v>
      </c>
      <c r="JG6" t="s">
        <v>289</v>
      </c>
      <c r="JH6" t="s">
        <v>289</v>
      </c>
      <c r="JI6" t="s">
        <v>289</v>
      </c>
      <c r="JJ6" t="s">
        <v>289</v>
      </c>
      <c r="JK6" t="s">
        <v>289</v>
      </c>
      <c r="JL6" t="s">
        <v>289</v>
      </c>
      <c r="JM6" t="s">
        <v>289</v>
      </c>
      <c r="JN6" t="s">
        <v>289</v>
      </c>
      <c r="JO6" t="s">
        <v>289</v>
      </c>
      <c r="JP6" t="s">
        <v>289</v>
      </c>
      <c r="JQ6">
        <v>5521</v>
      </c>
      <c r="JR6">
        <v>6151</v>
      </c>
      <c r="JS6" t="s">
        <v>289</v>
      </c>
      <c r="JT6" t="s">
        <v>289</v>
      </c>
      <c r="JU6">
        <v>2058</v>
      </c>
      <c r="JV6">
        <v>8023</v>
      </c>
      <c r="JW6">
        <v>10025</v>
      </c>
      <c r="JX6">
        <v>8672</v>
      </c>
      <c r="JY6">
        <v>11180</v>
      </c>
      <c r="JZ6">
        <v>11661</v>
      </c>
      <c r="KA6">
        <v>12497</v>
      </c>
      <c r="KB6">
        <v>14133</v>
      </c>
      <c r="KC6">
        <v>13853</v>
      </c>
      <c r="KD6">
        <v>14057</v>
      </c>
      <c r="KE6">
        <v>14777</v>
      </c>
      <c r="KF6">
        <v>14982</v>
      </c>
      <c r="KG6">
        <v>21697</v>
      </c>
      <c r="KH6">
        <v>21928</v>
      </c>
      <c r="KI6" t="s">
        <v>289</v>
      </c>
      <c r="KJ6" t="s">
        <v>289</v>
      </c>
      <c r="KK6" t="s">
        <v>289</v>
      </c>
      <c r="KL6" t="s">
        <v>289</v>
      </c>
      <c r="KM6" t="s">
        <v>289</v>
      </c>
      <c r="KN6" t="s">
        <v>289</v>
      </c>
      <c r="KO6" t="s">
        <v>289</v>
      </c>
      <c r="KP6" t="s">
        <v>289</v>
      </c>
      <c r="KQ6" t="s">
        <v>289</v>
      </c>
      <c r="KR6" t="s">
        <v>289</v>
      </c>
      <c r="KS6" t="s">
        <v>289</v>
      </c>
      <c r="KT6" t="s">
        <v>289</v>
      </c>
      <c r="KU6" t="s">
        <v>289</v>
      </c>
      <c r="KV6" t="s">
        <v>289</v>
      </c>
      <c r="KW6" t="s">
        <v>289</v>
      </c>
      <c r="KX6" t="s">
        <v>289</v>
      </c>
      <c r="KY6" t="s">
        <v>289</v>
      </c>
      <c r="KZ6" t="s">
        <v>289</v>
      </c>
      <c r="LA6" t="s">
        <v>289</v>
      </c>
      <c r="LB6" t="s">
        <v>289</v>
      </c>
      <c r="LC6" t="s">
        <v>289</v>
      </c>
      <c r="LD6" t="s">
        <v>289</v>
      </c>
      <c r="LE6" t="s">
        <v>289</v>
      </c>
      <c r="LF6" t="s">
        <v>289</v>
      </c>
      <c r="LG6" t="s">
        <v>289</v>
      </c>
      <c r="LH6" t="s">
        <v>289</v>
      </c>
      <c r="LI6" t="s">
        <v>289</v>
      </c>
      <c r="LJ6" t="s">
        <v>289</v>
      </c>
      <c r="LK6" t="s">
        <v>289</v>
      </c>
      <c r="LL6" t="s">
        <v>289</v>
      </c>
      <c r="LM6" t="s">
        <v>289</v>
      </c>
      <c r="LN6" t="s">
        <v>289</v>
      </c>
      <c r="LO6" t="s">
        <v>289</v>
      </c>
      <c r="LP6" t="s">
        <v>289</v>
      </c>
      <c r="LQ6" t="s">
        <v>289</v>
      </c>
      <c r="LR6" t="s">
        <v>289</v>
      </c>
      <c r="LS6" t="s">
        <v>289</v>
      </c>
      <c r="LT6" t="s">
        <v>289</v>
      </c>
      <c r="LU6" t="s">
        <v>289</v>
      </c>
      <c r="LV6" t="s">
        <v>289</v>
      </c>
      <c r="LW6" t="s">
        <v>289</v>
      </c>
      <c r="LX6">
        <v>-355</v>
      </c>
      <c r="LY6">
        <v>-313</v>
      </c>
      <c r="LZ6">
        <v>220</v>
      </c>
      <c r="MA6" t="s">
        <v>289</v>
      </c>
      <c r="MB6" t="s">
        <v>289</v>
      </c>
      <c r="MC6" t="s">
        <v>289</v>
      </c>
      <c r="MD6" t="s">
        <v>289</v>
      </c>
      <c r="ME6" t="s">
        <v>289</v>
      </c>
      <c r="MF6" t="s">
        <v>289</v>
      </c>
      <c r="MG6" t="s">
        <v>289</v>
      </c>
      <c r="MH6" t="s">
        <v>289</v>
      </c>
      <c r="MI6" t="s">
        <v>289</v>
      </c>
      <c r="MJ6" t="s">
        <v>289</v>
      </c>
      <c r="MK6" t="s">
        <v>289</v>
      </c>
      <c r="ML6" t="s">
        <v>289</v>
      </c>
      <c r="MM6" t="s">
        <v>289</v>
      </c>
      <c r="MN6" t="s">
        <v>289</v>
      </c>
      <c r="MO6">
        <v>565</v>
      </c>
      <c r="MP6">
        <v>309</v>
      </c>
      <c r="MQ6">
        <v>313</v>
      </c>
      <c r="MR6">
        <v>220</v>
      </c>
      <c r="MS6">
        <v>252</v>
      </c>
      <c r="MT6">
        <v>279</v>
      </c>
      <c r="MU6">
        <v>705</v>
      </c>
      <c r="MV6">
        <v>566</v>
      </c>
      <c r="MW6">
        <v>416</v>
      </c>
      <c r="MX6">
        <v>396</v>
      </c>
      <c r="MY6">
        <v>716</v>
      </c>
      <c r="MZ6">
        <v>881</v>
      </c>
      <c r="NA6">
        <v>922</v>
      </c>
      <c r="NB6">
        <v>927</v>
      </c>
      <c r="NC6">
        <v>952</v>
      </c>
      <c r="ND6">
        <v>1016</v>
      </c>
      <c r="NE6">
        <v>651</v>
      </c>
      <c r="NF6">
        <v>550</v>
      </c>
      <c r="NG6" t="s">
        <v>289</v>
      </c>
      <c r="NH6" t="s">
        <v>289</v>
      </c>
      <c r="NI6" t="s">
        <v>289</v>
      </c>
      <c r="NJ6" t="s">
        <v>289</v>
      </c>
      <c r="NK6" t="s">
        <v>289</v>
      </c>
      <c r="NL6" t="s">
        <v>289</v>
      </c>
      <c r="NM6" t="s">
        <v>289</v>
      </c>
      <c r="NN6" t="s">
        <v>289</v>
      </c>
      <c r="NO6" t="s">
        <v>289</v>
      </c>
      <c r="NP6" t="s">
        <v>289</v>
      </c>
      <c r="NQ6" t="s">
        <v>289</v>
      </c>
      <c r="NR6" t="s">
        <v>289</v>
      </c>
      <c r="NS6" t="s">
        <v>289</v>
      </c>
      <c r="NT6" t="s">
        <v>289</v>
      </c>
      <c r="NU6" t="s">
        <v>289</v>
      </c>
      <c r="NV6" t="s">
        <v>289</v>
      </c>
      <c r="NW6" t="s">
        <v>289</v>
      </c>
      <c r="NX6" t="s">
        <v>289</v>
      </c>
      <c r="NY6" t="s">
        <v>289</v>
      </c>
      <c r="NZ6" t="s">
        <v>289</v>
      </c>
      <c r="OA6" t="s">
        <v>289</v>
      </c>
      <c r="OB6" t="s">
        <v>289</v>
      </c>
      <c r="OC6" t="s">
        <v>289</v>
      </c>
      <c r="OD6" t="s">
        <v>289</v>
      </c>
      <c r="OE6" t="s">
        <v>289</v>
      </c>
      <c r="OF6" t="s">
        <v>289</v>
      </c>
      <c r="OG6" t="s">
        <v>289</v>
      </c>
      <c r="OH6" t="s">
        <v>289</v>
      </c>
      <c r="OI6" t="s">
        <v>289</v>
      </c>
      <c r="OJ6" t="s">
        <v>289</v>
      </c>
      <c r="OK6" t="s">
        <v>289</v>
      </c>
      <c r="OL6" t="s">
        <v>289</v>
      </c>
      <c r="OM6" t="s">
        <v>289</v>
      </c>
      <c r="ON6" t="s">
        <v>289</v>
      </c>
      <c r="OO6" t="s">
        <v>289</v>
      </c>
      <c r="OP6" t="s">
        <v>289</v>
      </c>
      <c r="OQ6" t="s">
        <v>289</v>
      </c>
      <c r="OR6" t="s">
        <v>289</v>
      </c>
      <c r="OS6" t="s">
        <v>289</v>
      </c>
      <c r="OT6" t="s">
        <v>289</v>
      </c>
      <c r="OU6" t="s">
        <v>289</v>
      </c>
      <c r="OV6" t="s">
        <v>289</v>
      </c>
      <c r="OW6" t="s">
        <v>289</v>
      </c>
      <c r="OX6" t="s">
        <v>289</v>
      </c>
      <c r="OY6" t="s">
        <v>289</v>
      </c>
      <c r="OZ6" t="s">
        <v>289</v>
      </c>
      <c r="PA6" t="s">
        <v>289</v>
      </c>
      <c r="PB6" t="s">
        <v>289</v>
      </c>
      <c r="PC6" t="s">
        <v>289</v>
      </c>
      <c r="PD6" t="s">
        <v>289</v>
      </c>
      <c r="PE6" t="s">
        <v>289</v>
      </c>
      <c r="PF6" t="s">
        <v>289</v>
      </c>
      <c r="PG6" t="s">
        <v>289</v>
      </c>
      <c r="PH6" t="s">
        <v>289</v>
      </c>
      <c r="PI6" t="s">
        <v>289</v>
      </c>
      <c r="PJ6" t="s">
        <v>289</v>
      </c>
      <c r="PK6" t="s">
        <v>289</v>
      </c>
      <c r="PL6" t="s">
        <v>289</v>
      </c>
      <c r="PM6" t="s">
        <v>289</v>
      </c>
      <c r="PN6" t="s">
        <v>289</v>
      </c>
      <c r="PO6" t="s">
        <v>289</v>
      </c>
      <c r="PP6" t="s">
        <v>289</v>
      </c>
      <c r="PQ6" t="s">
        <v>289</v>
      </c>
      <c r="PR6">
        <v>3146</v>
      </c>
      <c r="PS6">
        <v>3069</v>
      </c>
      <c r="PT6">
        <v>2831</v>
      </c>
      <c r="PU6">
        <v>3307</v>
      </c>
      <c r="PV6">
        <v>3169</v>
      </c>
      <c r="PW6">
        <v>2711</v>
      </c>
      <c r="PX6">
        <v>2728</v>
      </c>
      <c r="PY6">
        <v>2840</v>
      </c>
      <c r="PZ6">
        <v>3046</v>
      </c>
      <c r="QA6">
        <v>3245</v>
      </c>
      <c r="QB6">
        <v>3809</v>
      </c>
      <c r="QC6">
        <v>4750</v>
      </c>
      <c r="QD6">
        <v>4043</v>
      </c>
      <c r="QE6" t="s">
        <v>289</v>
      </c>
      <c r="QF6" t="s">
        <v>289</v>
      </c>
      <c r="QG6" t="s">
        <v>289</v>
      </c>
      <c r="QH6" t="s">
        <v>289</v>
      </c>
      <c r="QI6" t="s">
        <v>289</v>
      </c>
      <c r="QJ6" t="s">
        <v>289</v>
      </c>
      <c r="QK6" t="s">
        <v>289</v>
      </c>
      <c r="QL6" t="s">
        <v>289</v>
      </c>
      <c r="QM6" t="s">
        <v>289</v>
      </c>
      <c r="QN6" t="s">
        <v>289</v>
      </c>
      <c r="QO6" t="s">
        <v>289</v>
      </c>
      <c r="QP6" t="s">
        <v>289</v>
      </c>
      <c r="QQ6" t="s">
        <v>289</v>
      </c>
      <c r="QR6" t="s">
        <v>289</v>
      </c>
      <c r="QS6" t="s">
        <v>289</v>
      </c>
      <c r="QT6" t="s">
        <v>289</v>
      </c>
      <c r="QU6" t="s">
        <v>289</v>
      </c>
      <c r="QV6" t="s">
        <v>289</v>
      </c>
      <c r="QW6" t="s">
        <v>289</v>
      </c>
      <c r="QX6" t="s">
        <v>289</v>
      </c>
      <c r="QY6">
        <v>2752</v>
      </c>
      <c r="QZ6">
        <v>2705</v>
      </c>
      <c r="RA6">
        <v>2835</v>
      </c>
      <c r="RB6">
        <v>2865</v>
      </c>
      <c r="RC6">
        <v>2943</v>
      </c>
      <c r="RD6" t="s">
        <v>289</v>
      </c>
      <c r="RE6" t="s">
        <v>289</v>
      </c>
      <c r="RF6" t="s">
        <v>289</v>
      </c>
      <c r="RG6" t="s">
        <v>289</v>
      </c>
      <c r="RH6" t="s">
        <v>289</v>
      </c>
      <c r="RI6" t="s">
        <v>289</v>
      </c>
      <c r="RJ6" t="s">
        <v>289</v>
      </c>
      <c r="RK6" t="s">
        <v>289</v>
      </c>
      <c r="RL6" t="s">
        <v>289</v>
      </c>
      <c r="RM6" t="s">
        <v>289</v>
      </c>
      <c r="RN6" t="s">
        <v>289</v>
      </c>
      <c r="RO6" t="s">
        <v>289</v>
      </c>
      <c r="RP6" t="s">
        <v>289</v>
      </c>
      <c r="RQ6" t="s">
        <v>289</v>
      </c>
      <c r="RR6">
        <v>2253</v>
      </c>
      <c r="RS6">
        <v>2270</v>
      </c>
      <c r="RT6">
        <v>2139</v>
      </c>
      <c r="RU6">
        <v>2141</v>
      </c>
      <c r="RV6">
        <v>2069</v>
      </c>
      <c r="RW6" t="s">
        <v>289</v>
      </c>
      <c r="RX6" t="s">
        <v>289</v>
      </c>
      <c r="RY6" t="s">
        <v>289</v>
      </c>
      <c r="RZ6" t="s">
        <v>289</v>
      </c>
      <c r="SA6" t="s">
        <v>289</v>
      </c>
      <c r="SB6" t="s">
        <v>289</v>
      </c>
      <c r="SC6" t="s">
        <v>289</v>
      </c>
      <c r="SD6" t="s">
        <v>289</v>
      </c>
      <c r="SE6" t="s">
        <v>289</v>
      </c>
      <c r="SF6" t="s">
        <v>289</v>
      </c>
      <c r="SG6" t="s">
        <v>289</v>
      </c>
      <c r="SH6" t="s">
        <v>289</v>
      </c>
      <c r="SI6" t="s">
        <v>289</v>
      </c>
      <c r="SJ6" t="s">
        <v>289</v>
      </c>
      <c r="SK6" t="s">
        <v>289</v>
      </c>
      <c r="SL6" t="s">
        <v>289</v>
      </c>
      <c r="SM6" t="s">
        <v>289</v>
      </c>
      <c r="SN6" t="s">
        <v>289</v>
      </c>
      <c r="SO6" t="s">
        <v>289</v>
      </c>
      <c r="SP6" t="s">
        <v>289</v>
      </c>
      <c r="SQ6" t="s">
        <v>289</v>
      </c>
      <c r="SR6" t="s">
        <v>289</v>
      </c>
      <c r="SS6" t="s">
        <v>289</v>
      </c>
      <c r="ST6" t="s">
        <v>289</v>
      </c>
      <c r="SU6" t="s">
        <v>289</v>
      </c>
      <c r="SV6" t="s">
        <v>289</v>
      </c>
      <c r="SW6" t="s">
        <v>289</v>
      </c>
      <c r="SX6" t="s">
        <v>289</v>
      </c>
      <c r="SY6" t="s">
        <v>289</v>
      </c>
      <c r="SZ6" t="s">
        <v>289</v>
      </c>
      <c r="TA6" t="s">
        <v>289</v>
      </c>
      <c r="TB6" t="s">
        <v>289</v>
      </c>
      <c r="TC6" t="s">
        <v>289</v>
      </c>
      <c r="TD6" t="s">
        <v>289</v>
      </c>
      <c r="TE6" t="s">
        <v>289</v>
      </c>
      <c r="TF6" t="s">
        <v>289</v>
      </c>
      <c r="TG6" t="s">
        <v>289</v>
      </c>
      <c r="TH6" t="s">
        <v>289</v>
      </c>
      <c r="TI6" t="s">
        <v>289</v>
      </c>
      <c r="TJ6" t="s">
        <v>289</v>
      </c>
      <c r="TK6" t="s">
        <v>289</v>
      </c>
      <c r="TL6" t="s">
        <v>289</v>
      </c>
      <c r="TM6" t="s">
        <v>289</v>
      </c>
      <c r="TN6" t="s">
        <v>289</v>
      </c>
      <c r="TO6" t="s">
        <v>289</v>
      </c>
      <c r="TP6" t="s">
        <v>289</v>
      </c>
      <c r="TQ6" t="s">
        <v>289</v>
      </c>
      <c r="TR6" t="s">
        <v>289</v>
      </c>
      <c r="TS6" t="s">
        <v>289</v>
      </c>
      <c r="TT6" t="s">
        <v>289</v>
      </c>
      <c r="TU6" t="s">
        <v>289</v>
      </c>
      <c r="TV6" t="s">
        <v>289</v>
      </c>
      <c r="TW6" t="s">
        <v>289</v>
      </c>
      <c r="TX6" t="s">
        <v>289</v>
      </c>
      <c r="TY6" t="s">
        <v>289</v>
      </c>
      <c r="TZ6" t="s">
        <v>289</v>
      </c>
      <c r="UA6" t="s">
        <v>289</v>
      </c>
      <c r="UB6" t="s">
        <v>289</v>
      </c>
      <c r="UC6" t="s">
        <v>289</v>
      </c>
      <c r="UD6" t="s">
        <v>289</v>
      </c>
      <c r="UE6" t="s">
        <v>289</v>
      </c>
      <c r="UF6" t="s">
        <v>289</v>
      </c>
      <c r="UG6" t="s">
        <v>289</v>
      </c>
      <c r="UH6" t="s">
        <v>289</v>
      </c>
      <c r="UI6" t="s">
        <v>289</v>
      </c>
      <c r="UJ6" t="s">
        <v>289</v>
      </c>
      <c r="UK6" t="s">
        <v>289</v>
      </c>
      <c r="UL6" t="s">
        <v>289</v>
      </c>
      <c r="UM6" t="s">
        <v>289</v>
      </c>
      <c r="UN6" t="s">
        <v>289</v>
      </c>
      <c r="UO6" t="s">
        <v>289</v>
      </c>
      <c r="UP6" t="s">
        <v>289</v>
      </c>
      <c r="UQ6" t="s">
        <v>289</v>
      </c>
      <c r="UR6" t="s">
        <v>289</v>
      </c>
      <c r="US6" t="s">
        <v>289</v>
      </c>
      <c r="UT6" t="s">
        <v>289</v>
      </c>
      <c r="UU6" t="s">
        <v>289</v>
      </c>
      <c r="UV6" t="s">
        <v>289</v>
      </c>
      <c r="UW6" t="s">
        <v>289</v>
      </c>
      <c r="UX6" t="s">
        <v>289</v>
      </c>
      <c r="UY6" t="s">
        <v>289</v>
      </c>
      <c r="UZ6" t="s">
        <v>289</v>
      </c>
      <c r="VA6" t="s">
        <v>289</v>
      </c>
      <c r="VB6" t="s">
        <v>289</v>
      </c>
      <c r="VC6" t="s">
        <v>289</v>
      </c>
      <c r="VD6" t="s">
        <v>289</v>
      </c>
      <c r="VE6" t="s">
        <v>289</v>
      </c>
      <c r="VF6" t="s">
        <v>289</v>
      </c>
      <c r="VG6" t="s">
        <v>289</v>
      </c>
      <c r="VH6" t="s">
        <v>289</v>
      </c>
      <c r="VI6" t="s">
        <v>289</v>
      </c>
      <c r="VJ6" t="s">
        <v>289</v>
      </c>
      <c r="VK6" t="s">
        <v>289</v>
      </c>
      <c r="VL6" t="s">
        <v>289</v>
      </c>
      <c r="VM6" t="s">
        <v>289</v>
      </c>
      <c r="VN6" t="s">
        <v>289</v>
      </c>
      <c r="VO6" t="s">
        <v>289</v>
      </c>
      <c r="VP6" t="s">
        <v>289</v>
      </c>
      <c r="VQ6" t="s">
        <v>289</v>
      </c>
      <c r="VR6" t="s">
        <v>289</v>
      </c>
      <c r="VS6" t="s">
        <v>289</v>
      </c>
      <c r="VT6" t="s">
        <v>289</v>
      </c>
      <c r="VU6" t="s">
        <v>289</v>
      </c>
      <c r="VV6" t="s">
        <v>289</v>
      </c>
      <c r="VW6" t="s">
        <v>289</v>
      </c>
      <c r="VX6" t="s">
        <v>289</v>
      </c>
      <c r="VY6" t="s">
        <v>289</v>
      </c>
      <c r="VZ6" t="s">
        <v>289</v>
      </c>
      <c r="WA6" t="s">
        <v>289</v>
      </c>
      <c r="WB6">
        <v>9713</v>
      </c>
      <c r="WC6">
        <v>12452</v>
      </c>
      <c r="WD6">
        <v>12958</v>
      </c>
      <c r="WE6">
        <v>12977</v>
      </c>
      <c r="WF6">
        <v>13768</v>
      </c>
      <c r="WG6">
        <v>12084</v>
      </c>
      <c r="WH6">
        <v>14199</v>
      </c>
      <c r="WI6">
        <v>15991</v>
      </c>
      <c r="WJ6">
        <v>15562</v>
      </c>
      <c r="WK6">
        <v>14874</v>
      </c>
      <c r="WL6">
        <v>16720</v>
      </c>
      <c r="WM6">
        <v>19356</v>
      </c>
      <c r="WN6">
        <v>19026</v>
      </c>
      <c r="WO6">
        <v>19811</v>
      </c>
      <c r="WP6">
        <v>21439</v>
      </c>
      <c r="WQ6">
        <v>21232</v>
      </c>
      <c r="WR6">
        <v>15120</v>
      </c>
      <c r="WS6">
        <v>16955</v>
      </c>
      <c r="WT6" t="s">
        <v>289</v>
      </c>
      <c r="WU6" t="s">
        <v>289</v>
      </c>
      <c r="WV6" t="s">
        <v>289</v>
      </c>
      <c r="WW6" t="s">
        <v>289</v>
      </c>
      <c r="WX6" t="s">
        <v>289</v>
      </c>
      <c r="WY6" t="s">
        <v>289</v>
      </c>
      <c r="WZ6" t="s">
        <v>289</v>
      </c>
      <c r="XA6" t="s">
        <v>289</v>
      </c>
      <c r="XB6" t="s">
        <v>289</v>
      </c>
      <c r="XC6" t="s">
        <v>289</v>
      </c>
      <c r="XD6" t="s">
        <v>289</v>
      </c>
      <c r="XE6" t="s">
        <v>289</v>
      </c>
      <c r="XF6" t="s">
        <v>289</v>
      </c>
      <c r="XG6" t="s">
        <v>289</v>
      </c>
      <c r="XH6" t="s">
        <v>289</v>
      </c>
      <c r="XI6" t="s">
        <v>289</v>
      </c>
      <c r="XJ6" t="s">
        <v>289</v>
      </c>
      <c r="XK6" t="s">
        <v>289</v>
      </c>
      <c r="XL6" t="s">
        <v>289</v>
      </c>
      <c r="XM6" t="s">
        <v>289</v>
      </c>
      <c r="XN6" t="s">
        <v>289</v>
      </c>
      <c r="XO6" t="s">
        <v>289</v>
      </c>
      <c r="XP6" t="s">
        <v>289</v>
      </c>
      <c r="XQ6" t="s">
        <v>289</v>
      </c>
      <c r="XR6" t="s">
        <v>289</v>
      </c>
      <c r="XS6" t="s">
        <v>289</v>
      </c>
      <c r="XT6" t="s">
        <v>289</v>
      </c>
      <c r="XU6" t="s">
        <v>289</v>
      </c>
      <c r="XV6" t="s">
        <v>289</v>
      </c>
      <c r="XW6" t="s">
        <v>289</v>
      </c>
      <c r="XX6" t="s">
        <v>289</v>
      </c>
      <c r="XY6" t="s">
        <v>289</v>
      </c>
      <c r="XZ6" t="s">
        <v>289</v>
      </c>
      <c r="YA6" t="s">
        <v>289</v>
      </c>
      <c r="YB6" t="s">
        <v>289</v>
      </c>
      <c r="YC6" t="s">
        <v>289</v>
      </c>
      <c r="YD6" t="s">
        <v>289</v>
      </c>
      <c r="YE6" t="s">
        <v>289</v>
      </c>
      <c r="YF6" t="s">
        <v>289</v>
      </c>
      <c r="YG6" t="s">
        <v>289</v>
      </c>
      <c r="YH6" t="s">
        <v>289</v>
      </c>
      <c r="YI6" t="s">
        <v>289</v>
      </c>
      <c r="YJ6" t="s">
        <v>289</v>
      </c>
      <c r="YK6" t="s">
        <v>289</v>
      </c>
      <c r="YL6" t="s">
        <v>289</v>
      </c>
      <c r="YM6" t="s">
        <v>289</v>
      </c>
      <c r="YN6" t="s">
        <v>289</v>
      </c>
      <c r="YO6" t="s">
        <v>289</v>
      </c>
      <c r="YP6" t="s">
        <v>289</v>
      </c>
      <c r="YQ6" t="s">
        <v>289</v>
      </c>
      <c r="YR6" t="s">
        <v>289</v>
      </c>
      <c r="YS6" t="s">
        <v>289</v>
      </c>
      <c r="YT6" t="s">
        <v>289</v>
      </c>
      <c r="YU6" t="s">
        <v>289</v>
      </c>
      <c r="YV6" t="s">
        <v>289</v>
      </c>
      <c r="YW6" t="s">
        <v>289</v>
      </c>
      <c r="YX6" t="s">
        <v>289</v>
      </c>
      <c r="YY6" t="s">
        <v>289</v>
      </c>
      <c r="YZ6" t="s">
        <v>289</v>
      </c>
      <c r="ZA6" t="s">
        <v>289</v>
      </c>
      <c r="ZB6" t="s">
        <v>289</v>
      </c>
      <c r="ZC6" t="s">
        <v>289</v>
      </c>
      <c r="ZD6" t="s">
        <v>289</v>
      </c>
      <c r="ZE6" t="s">
        <v>289</v>
      </c>
      <c r="ZF6" t="s">
        <v>289</v>
      </c>
      <c r="ZG6" t="s">
        <v>289</v>
      </c>
      <c r="ZH6" t="s">
        <v>289</v>
      </c>
      <c r="ZI6" t="s">
        <v>289</v>
      </c>
      <c r="ZJ6" t="s">
        <v>289</v>
      </c>
      <c r="ZK6" t="s">
        <v>289</v>
      </c>
      <c r="ZL6" t="s">
        <v>289</v>
      </c>
      <c r="ZM6" t="s">
        <v>289</v>
      </c>
      <c r="ZN6" t="s">
        <v>289</v>
      </c>
      <c r="ZO6" t="s">
        <v>289</v>
      </c>
      <c r="ZP6" t="s">
        <v>289</v>
      </c>
      <c r="ZQ6" t="s">
        <v>289</v>
      </c>
      <c r="ZR6" t="s">
        <v>289</v>
      </c>
      <c r="ZS6" t="s">
        <v>289</v>
      </c>
      <c r="ZT6" t="s">
        <v>289</v>
      </c>
      <c r="ZU6" t="s">
        <v>289</v>
      </c>
      <c r="ZV6" t="s">
        <v>289</v>
      </c>
      <c r="ZW6" t="s">
        <v>289</v>
      </c>
      <c r="ZX6" t="s">
        <v>289</v>
      </c>
      <c r="ZY6" t="s">
        <v>289</v>
      </c>
      <c r="ZZ6" t="s">
        <v>289</v>
      </c>
      <c r="AAA6" t="s">
        <v>289</v>
      </c>
      <c r="AAB6" t="s">
        <v>289</v>
      </c>
      <c r="AAC6" t="s">
        <v>289</v>
      </c>
      <c r="AAD6" t="s">
        <v>289</v>
      </c>
      <c r="AAE6" t="s">
        <v>289</v>
      </c>
      <c r="AAF6" t="s">
        <v>289</v>
      </c>
      <c r="AAG6" t="s">
        <v>289</v>
      </c>
      <c r="AAH6" t="s">
        <v>289</v>
      </c>
      <c r="AAI6" t="s">
        <v>289</v>
      </c>
      <c r="AAJ6" t="s">
        <v>289</v>
      </c>
      <c r="AAK6" t="s">
        <v>289</v>
      </c>
      <c r="AAL6">
        <v>1398</v>
      </c>
      <c r="AAM6">
        <v>1871</v>
      </c>
      <c r="AAN6" t="s">
        <v>289</v>
      </c>
      <c r="AAO6" t="s">
        <v>289</v>
      </c>
      <c r="AAP6">
        <v>1036</v>
      </c>
      <c r="AAQ6" t="s">
        <v>289</v>
      </c>
      <c r="AAR6" t="s">
        <v>289</v>
      </c>
      <c r="AAS6" t="s">
        <v>289</v>
      </c>
      <c r="AAT6" t="s">
        <v>289</v>
      </c>
      <c r="AAU6" t="s">
        <v>289</v>
      </c>
      <c r="AAV6" t="s">
        <v>289</v>
      </c>
      <c r="AAW6" t="s">
        <v>289</v>
      </c>
      <c r="AAX6" t="s">
        <v>289</v>
      </c>
      <c r="AAY6" t="s">
        <v>289</v>
      </c>
      <c r="AAZ6" t="s">
        <v>289</v>
      </c>
      <c r="ABA6" t="s">
        <v>289</v>
      </c>
      <c r="ABB6" t="s">
        <v>289</v>
      </c>
      <c r="ABC6" t="s">
        <v>289</v>
      </c>
      <c r="ABD6" t="s">
        <v>289</v>
      </c>
      <c r="ABE6" t="s">
        <v>289</v>
      </c>
      <c r="ABF6" t="s">
        <v>289</v>
      </c>
      <c r="ABG6" t="s">
        <v>289</v>
      </c>
      <c r="ABH6" t="s">
        <v>289</v>
      </c>
      <c r="ABI6" t="s">
        <v>289</v>
      </c>
      <c r="ABJ6" t="s">
        <v>289</v>
      </c>
      <c r="ABK6" t="s">
        <v>289</v>
      </c>
      <c r="ABL6" t="s">
        <v>289</v>
      </c>
      <c r="ABM6" t="s">
        <v>289</v>
      </c>
      <c r="ABN6" t="s">
        <v>289</v>
      </c>
      <c r="ABO6" t="s">
        <v>289</v>
      </c>
      <c r="ABP6" t="s">
        <v>289</v>
      </c>
      <c r="ABQ6" t="s">
        <v>289</v>
      </c>
      <c r="ABR6" t="s">
        <v>289</v>
      </c>
      <c r="ABS6" t="s">
        <v>289</v>
      </c>
      <c r="ABT6" t="s">
        <v>289</v>
      </c>
      <c r="ABU6" t="s">
        <v>289</v>
      </c>
      <c r="ABV6" t="s">
        <v>289</v>
      </c>
      <c r="ABW6" t="s">
        <v>289</v>
      </c>
      <c r="ABX6" t="s">
        <v>289</v>
      </c>
      <c r="ABY6" t="s">
        <v>289</v>
      </c>
      <c r="ABZ6" t="s">
        <v>289</v>
      </c>
      <c r="ACA6" t="s">
        <v>289</v>
      </c>
      <c r="ACB6" t="s">
        <v>289</v>
      </c>
      <c r="ACC6" t="s">
        <v>289</v>
      </c>
      <c r="ACD6" t="s">
        <v>289</v>
      </c>
      <c r="ACE6" t="s">
        <v>289</v>
      </c>
      <c r="ACF6" t="s">
        <v>289</v>
      </c>
      <c r="ACG6" t="s">
        <v>289</v>
      </c>
      <c r="ACH6" t="s">
        <v>289</v>
      </c>
      <c r="ACI6" t="s">
        <v>289</v>
      </c>
      <c r="ACJ6" t="s">
        <v>289</v>
      </c>
      <c r="ACK6" t="s">
        <v>289</v>
      </c>
      <c r="ACL6" t="s">
        <v>289</v>
      </c>
      <c r="ACM6" t="s">
        <v>289</v>
      </c>
      <c r="ACN6" t="s">
        <v>289</v>
      </c>
      <c r="ACO6" t="s">
        <v>289</v>
      </c>
      <c r="ACP6" t="s">
        <v>289</v>
      </c>
      <c r="ACQ6" t="s">
        <v>289</v>
      </c>
      <c r="ACR6" t="s">
        <v>289</v>
      </c>
      <c r="ACS6" t="s">
        <v>289</v>
      </c>
      <c r="ACT6" t="s">
        <v>289</v>
      </c>
      <c r="ACU6" t="s">
        <v>289</v>
      </c>
      <c r="ACV6" t="s">
        <v>289</v>
      </c>
      <c r="ACW6" t="s">
        <v>289</v>
      </c>
      <c r="ACX6" t="s">
        <v>289</v>
      </c>
      <c r="ACY6" t="s">
        <v>289</v>
      </c>
      <c r="ACZ6" t="s">
        <v>289</v>
      </c>
      <c r="ADA6" t="s">
        <v>289</v>
      </c>
      <c r="ADB6" t="s">
        <v>289</v>
      </c>
      <c r="ADC6" t="s">
        <v>289</v>
      </c>
      <c r="ADD6" t="s">
        <v>289</v>
      </c>
      <c r="ADE6" t="s">
        <v>289</v>
      </c>
      <c r="ADF6" t="s">
        <v>289</v>
      </c>
      <c r="ADG6" t="s">
        <v>289</v>
      </c>
      <c r="ADH6" t="s">
        <v>289</v>
      </c>
      <c r="ADI6" t="s">
        <v>289</v>
      </c>
      <c r="ADJ6">
        <v>696</v>
      </c>
      <c r="ADK6">
        <v>577</v>
      </c>
      <c r="ADL6">
        <v>563</v>
      </c>
      <c r="ADM6">
        <v>606</v>
      </c>
      <c r="ADN6">
        <v>982</v>
      </c>
      <c r="ADO6">
        <v>1026</v>
      </c>
      <c r="ADP6">
        <v>1728</v>
      </c>
      <c r="ADQ6">
        <v>1068</v>
      </c>
      <c r="ADR6">
        <v>1032</v>
      </c>
      <c r="ADS6">
        <v>1530</v>
      </c>
      <c r="ADT6">
        <v>1681</v>
      </c>
      <c r="ADU6">
        <v>1131</v>
      </c>
      <c r="ADV6">
        <v>1366</v>
      </c>
      <c r="ADW6">
        <v>1395</v>
      </c>
      <c r="ADX6">
        <v>928</v>
      </c>
      <c r="ADY6">
        <v>1072</v>
      </c>
      <c r="ADZ6">
        <v>1253</v>
      </c>
      <c r="AEA6">
        <v>373</v>
      </c>
      <c r="AEB6" t="s">
        <v>289</v>
      </c>
      <c r="AEC6" t="s">
        <v>289</v>
      </c>
      <c r="AED6" t="s">
        <v>289</v>
      </c>
      <c r="AEE6" t="s">
        <v>289</v>
      </c>
      <c r="AEF6" t="s">
        <v>289</v>
      </c>
      <c r="AEG6" t="s">
        <v>289</v>
      </c>
      <c r="AEH6" t="s">
        <v>289</v>
      </c>
      <c r="AEI6" t="s">
        <v>289</v>
      </c>
      <c r="AEJ6" t="s">
        <v>289</v>
      </c>
      <c r="AEK6" t="s">
        <v>289</v>
      </c>
      <c r="AEL6" t="s">
        <v>289</v>
      </c>
      <c r="AEM6" t="s">
        <v>289</v>
      </c>
      <c r="AEN6" t="s">
        <v>289</v>
      </c>
      <c r="AEO6" t="s">
        <v>289</v>
      </c>
      <c r="AEP6" t="s">
        <v>289</v>
      </c>
      <c r="AEQ6" t="s">
        <v>289</v>
      </c>
      <c r="AER6" t="s">
        <v>289</v>
      </c>
      <c r="AES6" t="s">
        <v>289</v>
      </c>
      <c r="AET6" t="s">
        <v>289</v>
      </c>
      <c r="AEU6" t="s">
        <v>289</v>
      </c>
      <c r="AEV6" t="s">
        <v>289</v>
      </c>
      <c r="AEW6" t="s">
        <v>289</v>
      </c>
      <c r="AEX6" t="s">
        <v>289</v>
      </c>
      <c r="AEY6" t="s">
        <v>289</v>
      </c>
      <c r="AEZ6" t="s">
        <v>289</v>
      </c>
      <c r="AFA6" t="s">
        <v>289</v>
      </c>
      <c r="AFB6" t="s">
        <v>289</v>
      </c>
      <c r="AFC6" t="s">
        <v>289</v>
      </c>
      <c r="AFD6" t="s">
        <v>289</v>
      </c>
      <c r="AFE6" t="s">
        <v>289</v>
      </c>
      <c r="AFF6" t="s">
        <v>289</v>
      </c>
      <c r="AFG6" t="s">
        <v>289</v>
      </c>
      <c r="AFH6" t="s">
        <v>289</v>
      </c>
      <c r="AFI6" t="s">
        <v>289</v>
      </c>
      <c r="AFJ6" t="s">
        <v>289</v>
      </c>
      <c r="AFK6" t="s">
        <v>289</v>
      </c>
      <c r="AFL6" t="s">
        <v>289</v>
      </c>
      <c r="AFM6" t="s">
        <v>289</v>
      </c>
      <c r="AFN6" t="s">
        <v>289</v>
      </c>
      <c r="AFO6">
        <v>403</v>
      </c>
      <c r="AFP6">
        <v>358</v>
      </c>
      <c r="AFQ6">
        <v>376</v>
      </c>
      <c r="AFR6">
        <v>504</v>
      </c>
      <c r="AFS6">
        <v>420</v>
      </c>
      <c r="AFT6">
        <v>424</v>
      </c>
      <c r="AFU6">
        <v>435</v>
      </c>
      <c r="AFV6">
        <v>580</v>
      </c>
      <c r="AFW6">
        <v>821</v>
      </c>
      <c r="AFX6">
        <v>1076</v>
      </c>
      <c r="AFY6">
        <v>1152</v>
      </c>
      <c r="AFZ6">
        <v>1478</v>
      </c>
      <c r="AGA6">
        <v>1392</v>
      </c>
      <c r="AGB6">
        <v>1435</v>
      </c>
      <c r="AGC6">
        <v>1485</v>
      </c>
      <c r="AGD6">
        <v>1224</v>
      </c>
      <c r="AGE6">
        <v>956</v>
      </c>
      <c r="AGF6">
        <v>966</v>
      </c>
      <c r="AGG6" t="s">
        <v>289</v>
      </c>
      <c r="AGH6" t="s">
        <v>289</v>
      </c>
      <c r="AGI6" t="s">
        <v>289</v>
      </c>
      <c r="AGJ6" t="s">
        <v>289</v>
      </c>
      <c r="AGK6" t="s">
        <v>289</v>
      </c>
      <c r="AGL6" t="s">
        <v>289</v>
      </c>
      <c r="AGM6" t="s">
        <v>289</v>
      </c>
      <c r="AGN6" t="s">
        <v>289</v>
      </c>
      <c r="AGO6" t="s">
        <v>289</v>
      </c>
      <c r="AGP6" t="s">
        <v>289</v>
      </c>
      <c r="AGQ6" t="s">
        <v>289</v>
      </c>
      <c r="AGR6" t="s">
        <v>289</v>
      </c>
      <c r="AGS6" t="s">
        <v>289</v>
      </c>
      <c r="AGT6" t="s">
        <v>289</v>
      </c>
      <c r="AGU6" t="s">
        <v>289</v>
      </c>
      <c r="AGV6" t="s">
        <v>289</v>
      </c>
      <c r="AGW6" t="s">
        <v>289</v>
      </c>
      <c r="AGX6" t="s">
        <v>289</v>
      </c>
      <c r="AGY6" t="s">
        <v>289</v>
      </c>
      <c r="AGZ6" t="s">
        <v>289</v>
      </c>
      <c r="AHA6" t="s">
        <v>289</v>
      </c>
      <c r="AHB6" t="s">
        <v>289</v>
      </c>
      <c r="AHC6" t="s">
        <v>289</v>
      </c>
      <c r="AHD6" t="s">
        <v>289</v>
      </c>
      <c r="AHE6" t="s">
        <v>289</v>
      </c>
      <c r="AHF6" t="s">
        <v>289</v>
      </c>
      <c r="AHG6" t="s">
        <v>289</v>
      </c>
      <c r="AHH6" t="s">
        <v>289</v>
      </c>
      <c r="AHI6" t="s">
        <v>289</v>
      </c>
      <c r="AHJ6" t="s">
        <v>289</v>
      </c>
      <c r="AHK6" t="s">
        <v>289</v>
      </c>
      <c r="AHL6" t="s">
        <v>289</v>
      </c>
      <c r="AHM6" t="s">
        <v>289</v>
      </c>
      <c r="AHN6" t="s">
        <v>289</v>
      </c>
      <c r="AHO6" t="s">
        <v>289</v>
      </c>
      <c r="AHP6" t="s">
        <v>289</v>
      </c>
      <c r="AHQ6" t="s">
        <v>289</v>
      </c>
      <c r="AHR6" t="s">
        <v>289</v>
      </c>
      <c r="AHS6" t="s">
        <v>289</v>
      </c>
      <c r="AHT6" t="s">
        <v>289</v>
      </c>
      <c r="AHU6" t="s">
        <v>289</v>
      </c>
      <c r="AHV6" t="s">
        <v>289</v>
      </c>
      <c r="AHW6" t="s">
        <v>289</v>
      </c>
      <c r="AHX6" t="s">
        <v>289</v>
      </c>
      <c r="AHY6" t="s">
        <v>289</v>
      </c>
      <c r="AHZ6" t="s">
        <v>289</v>
      </c>
      <c r="AIA6" t="s">
        <v>289</v>
      </c>
      <c r="AIB6" t="s">
        <v>289</v>
      </c>
      <c r="AIC6" t="s">
        <v>289</v>
      </c>
      <c r="AID6" t="s">
        <v>289</v>
      </c>
      <c r="AIE6" t="s">
        <v>289</v>
      </c>
      <c r="AIF6" t="s">
        <v>289</v>
      </c>
      <c r="AIG6" t="s">
        <v>289</v>
      </c>
      <c r="AIH6" t="s">
        <v>289</v>
      </c>
      <c r="AII6" t="s">
        <v>289</v>
      </c>
      <c r="AIJ6" t="s">
        <v>289</v>
      </c>
      <c r="AIK6" t="s">
        <v>289</v>
      </c>
      <c r="AIL6" t="s">
        <v>289</v>
      </c>
      <c r="AIM6">
        <v>11597</v>
      </c>
      <c r="AIN6">
        <v>12691</v>
      </c>
      <c r="AIO6">
        <v>13166</v>
      </c>
      <c r="AIP6">
        <v>13055</v>
      </c>
      <c r="AIQ6">
        <v>12818</v>
      </c>
      <c r="AIR6">
        <v>12294</v>
      </c>
      <c r="AIS6">
        <v>11504</v>
      </c>
      <c r="AIT6">
        <v>11357</v>
      </c>
      <c r="AIU6">
        <v>11534</v>
      </c>
      <c r="AIV6">
        <v>10973</v>
      </c>
      <c r="AIW6">
        <v>10801</v>
      </c>
      <c r="AIX6">
        <v>11171</v>
      </c>
      <c r="AIY6">
        <v>12988</v>
      </c>
      <c r="AIZ6">
        <v>13582</v>
      </c>
      <c r="AJA6">
        <v>14304</v>
      </c>
      <c r="AJB6">
        <v>16900</v>
      </c>
      <c r="AJC6">
        <v>17135</v>
      </c>
      <c r="AJD6">
        <v>16167</v>
      </c>
      <c r="AJE6" t="s">
        <v>289</v>
      </c>
      <c r="AJF6">
        <v>40292</v>
      </c>
      <c r="AJG6">
        <v>41338</v>
      </c>
      <c r="AJH6">
        <v>40332</v>
      </c>
      <c r="AJI6">
        <v>40682</v>
      </c>
      <c r="AJJ6">
        <v>37791</v>
      </c>
      <c r="AJK6" t="s">
        <v>289</v>
      </c>
      <c r="AJL6" t="s">
        <v>289</v>
      </c>
      <c r="AJM6" t="s">
        <v>289</v>
      </c>
      <c r="AJN6">
        <v>41270</v>
      </c>
      <c r="AJO6">
        <v>40932</v>
      </c>
      <c r="AJP6">
        <v>41055</v>
      </c>
      <c r="AJQ6">
        <v>45327</v>
      </c>
      <c r="AJR6">
        <v>51243</v>
      </c>
      <c r="AJS6">
        <v>58770</v>
      </c>
      <c r="AJT6">
        <v>57419</v>
      </c>
      <c r="AJU6">
        <v>55537</v>
      </c>
      <c r="AJV6">
        <v>43474</v>
      </c>
      <c r="AJW6">
        <v>46213</v>
      </c>
      <c r="AJX6" t="s">
        <v>289</v>
      </c>
      <c r="AJY6">
        <v>23076</v>
      </c>
      <c r="AJZ6">
        <v>24974</v>
      </c>
      <c r="AKA6">
        <v>24927</v>
      </c>
      <c r="AKB6">
        <v>22713</v>
      </c>
      <c r="AKC6">
        <v>24169</v>
      </c>
      <c r="AKD6">
        <v>23737</v>
      </c>
      <c r="AKE6">
        <v>23912</v>
      </c>
      <c r="AKF6">
        <v>25226</v>
      </c>
      <c r="AKG6">
        <v>26399</v>
      </c>
      <c r="AKH6">
        <v>26678</v>
      </c>
      <c r="AKI6">
        <v>29044</v>
      </c>
      <c r="AKJ6">
        <v>34883</v>
      </c>
      <c r="AKK6">
        <v>36041</v>
      </c>
      <c r="AKL6">
        <v>41395</v>
      </c>
      <c r="AKM6">
        <v>44495</v>
      </c>
      <c r="AKN6">
        <v>47465</v>
      </c>
      <c r="AKO6">
        <v>47547</v>
      </c>
      <c r="AKP6">
        <v>48728</v>
      </c>
      <c r="AKQ6" t="s">
        <v>289</v>
      </c>
      <c r="AKR6">
        <v>61775</v>
      </c>
      <c r="AKS6">
        <v>68411</v>
      </c>
      <c r="AKT6">
        <v>68851</v>
      </c>
      <c r="AKU6">
        <v>68198</v>
      </c>
      <c r="AKV6">
        <v>63831</v>
      </c>
      <c r="AKW6">
        <v>63978</v>
      </c>
      <c r="AKX6">
        <v>70107</v>
      </c>
      <c r="AKY6">
        <v>72934</v>
      </c>
      <c r="AKZ6">
        <v>75414</v>
      </c>
      <c r="ALA6">
        <v>74992</v>
      </c>
      <c r="ALB6">
        <v>81551</v>
      </c>
      <c r="ALC6">
        <v>90605</v>
      </c>
      <c r="ALD6">
        <v>102103</v>
      </c>
      <c r="ALE6">
        <v>109899</v>
      </c>
      <c r="ALF6">
        <v>114996</v>
      </c>
      <c r="ALG6">
        <v>122171</v>
      </c>
      <c r="ALH6">
        <v>115737</v>
      </c>
      <c r="ALI6">
        <v>113740</v>
      </c>
      <c r="ALJ6" t="s">
        <v>289</v>
      </c>
      <c r="ALK6">
        <v>36144</v>
      </c>
      <c r="ALL6">
        <v>39052</v>
      </c>
      <c r="ALM6">
        <v>38053</v>
      </c>
      <c r="ALN6">
        <v>36780</v>
      </c>
      <c r="ALO6">
        <v>31278</v>
      </c>
      <c r="ALP6">
        <v>33913</v>
      </c>
      <c r="ALQ6">
        <v>37859</v>
      </c>
      <c r="ALR6">
        <v>39654</v>
      </c>
      <c r="ALS6">
        <v>42567</v>
      </c>
      <c r="ALT6">
        <v>42861</v>
      </c>
      <c r="ALU6">
        <v>47038</v>
      </c>
      <c r="ALV6">
        <v>53018</v>
      </c>
      <c r="ALW6">
        <v>61510</v>
      </c>
      <c r="ALX6">
        <v>67509</v>
      </c>
      <c r="ALY6">
        <v>69975</v>
      </c>
      <c r="ALZ6">
        <v>73778</v>
      </c>
      <c r="AMA6">
        <v>74275</v>
      </c>
      <c r="AMB6">
        <v>72331</v>
      </c>
      <c r="AMC6" t="s">
        <v>289</v>
      </c>
      <c r="AMD6" t="s">
        <v>289</v>
      </c>
      <c r="AME6" t="s">
        <v>289</v>
      </c>
      <c r="AMF6">
        <v>39824</v>
      </c>
      <c r="AMG6">
        <v>38310</v>
      </c>
      <c r="AMH6">
        <v>36419</v>
      </c>
      <c r="AMI6">
        <v>35795</v>
      </c>
      <c r="AMJ6">
        <v>37152</v>
      </c>
      <c r="AMK6">
        <v>38954</v>
      </c>
      <c r="AML6">
        <v>40782</v>
      </c>
      <c r="AMM6">
        <v>40894</v>
      </c>
      <c r="AMN6">
        <v>44848</v>
      </c>
      <c r="AMO6">
        <v>52289</v>
      </c>
      <c r="AMP6">
        <v>61753</v>
      </c>
      <c r="AMQ6">
        <v>66243</v>
      </c>
      <c r="AMR6">
        <v>67858</v>
      </c>
      <c r="AMS6">
        <v>71987</v>
      </c>
      <c r="AMT6">
        <v>71290</v>
      </c>
      <c r="AMU6">
        <v>67285</v>
      </c>
      <c r="AMV6" t="s">
        <v>289</v>
      </c>
      <c r="AMW6">
        <v>2657</v>
      </c>
      <c r="AMX6">
        <v>2972</v>
      </c>
      <c r="AMY6">
        <v>3422</v>
      </c>
      <c r="AMZ6">
        <v>4056</v>
      </c>
      <c r="ANA6">
        <v>4313</v>
      </c>
      <c r="ANB6">
        <v>3893</v>
      </c>
      <c r="ANC6">
        <v>3677</v>
      </c>
      <c r="AND6">
        <v>3718</v>
      </c>
      <c r="ANE6">
        <v>3482</v>
      </c>
      <c r="ANF6">
        <v>3282</v>
      </c>
      <c r="ANG6">
        <v>3443</v>
      </c>
      <c r="ANH6">
        <v>3570</v>
      </c>
      <c r="ANI6">
        <v>4899</v>
      </c>
      <c r="ANJ6">
        <v>5240</v>
      </c>
      <c r="ANK6">
        <v>5913</v>
      </c>
      <c r="ANL6">
        <v>6949</v>
      </c>
      <c r="ANM6">
        <v>6347</v>
      </c>
      <c r="ANN6">
        <v>6398</v>
      </c>
      <c r="ANO6" t="s">
        <v>289</v>
      </c>
      <c r="ANP6" t="s">
        <v>289</v>
      </c>
      <c r="ANQ6" t="s">
        <v>289</v>
      </c>
      <c r="ANR6" t="s">
        <v>289</v>
      </c>
      <c r="ANS6" t="s">
        <v>289</v>
      </c>
      <c r="ANT6" t="s">
        <v>289</v>
      </c>
      <c r="ANU6" t="s">
        <v>289</v>
      </c>
      <c r="ANV6" t="s">
        <v>289</v>
      </c>
      <c r="ANW6" t="s">
        <v>289</v>
      </c>
      <c r="ANX6" t="s">
        <v>289</v>
      </c>
      <c r="ANY6" t="s">
        <v>289</v>
      </c>
      <c r="ANZ6" t="s">
        <v>289</v>
      </c>
      <c r="AOA6" t="s">
        <v>289</v>
      </c>
      <c r="AOB6" t="s">
        <v>289</v>
      </c>
      <c r="AOC6" t="s">
        <v>289</v>
      </c>
      <c r="AOD6" t="s">
        <v>289</v>
      </c>
      <c r="AOE6" t="s">
        <v>289</v>
      </c>
      <c r="AOF6" t="s">
        <v>289</v>
      </c>
      <c r="AOG6" t="s">
        <v>289</v>
      </c>
      <c r="AOH6" t="s">
        <v>289</v>
      </c>
      <c r="AOI6" t="s">
        <v>289</v>
      </c>
      <c r="AOJ6" t="s">
        <v>289</v>
      </c>
      <c r="AOK6" t="s">
        <v>289</v>
      </c>
      <c r="AOL6" t="s">
        <v>289</v>
      </c>
      <c r="AOM6" t="s">
        <v>289</v>
      </c>
      <c r="AON6" t="s">
        <v>289</v>
      </c>
      <c r="AOO6" t="s">
        <v>289</v>
      </c>
      <c r="AOP6" t="s">
        <v>289</v>
      </c>
      <c r="AOQ6" t="s">
        <v>289</v>
      </c>
      <c r="AOR6" t="s">
        <v>289</v>
      </c>
      <c r="AOS6" t="s">
        <v>289</v>
      </c>
      <c r="AOT6" t="s">
        <v>289</v>
      </c>
      <c r="AOU6" t="s">
        <v>289</v>
      </c>
      <c r="AOV6" t="s">
        <v>289</v>
      </c>
      <c r="AOW6" t="s">
        <v>289</v>
      </c>
      <c r="AOX6" t="s">
        <v>289</v>
      </c>
      <c r="AOY6" t="s">
        <v>289</v>
      </c>
      <c r="AOZ6" t="s">
        <v>289</v>
      </c>
      <c r="APA6" t="s">
        <v>289</v>
      </c>
      <c r="APB6" t="s">
        <v>289</v>
      </c>
      <c r="APC6" t="s">
        <v>289</v>
      </c>
      <c r="APD6" t="s">
        <v>289</v>
      </c>
      <c r="APE6" t="s">
        <v>289</v>
      </c>
      <c r="APF6" t="s">
        <v>289</v>
      </c>
      <c r="APG6" t="s">
        <v>289</v>
      </c>
      <c r="APH6" t="s">
        <v>289</v>
      </c>
      <c r="API6" t="s">
        <v>289</v>
      </c>
      <c r="APJ6" t="s">
        <v>289</v>
      </c>
      <c r="APK6" t="s">
        <v>289</v>
      </c>
      <c r="APL6" t="s">
        <v>289</v>
      </c>
      <c r="APM6" t="s">
        <v>289</v>
      </c>
      <c r="APN6" t="s">
        <v>289</v>
      </c>
      <c r="APO6" t="s">
        <v>289</v>
      </c>
      <c r="APP6" t="s">
        <v>289</v>
      </c>
      <c r="APQ6" t="s">
        <v>289</v>
      </c>
      <c r="APR6" t="s">
        <v>289</v>
      </c>
      <c r="APS6" t="s">
        <v>289</v>
      </c>
      <c r="APT6" t="s">
        <v>289</v>
      </c>
      <c r="APU6" t="s">
        <v>289</v>
      </c>
      <c r="APV6" t="s">
        <v>289</v>
      </c>
      <c r="APW6" t="s">
        <v>289</v>
      </c>
      <c r="APX6" t="s">
        <v>289</v>
      </c>
      <c r="APY6" t="s">
        <v>289</v>
      </c>
      <c r="APZ6" t="s">
        <v>289</v>
      </c>
      <c r="AQA6" t="s">
        <v>289</v>
      </c>
      <c r="AQB6" t="s">
        <v>289</v>
      </c>
      <c r="AQC6" t="s">
        <v>289</v>
      </c>
      <c r="AQD6" t="s">
        <v>289</v>
      </c>
      <c r="AQE6" t="s">
        <v>289</v>
      </c>
      <c r="AQF6" t="s">
        <v>289</v>
      </c>
      <c r="AQG6" t="s">
        <v>289</v>
      </c>
      <c r="AQH6" t="s">
        <v>289</v>
      </c>
      <c r="AQI6" t="s">
        <v>289</v>
      </c>
      <c r="AQJ6" t="s">
        <v>289</v>
      </c>
      <c r="AQK6" t="s">
        <v>289</v>
      </c>
      <c r="AQL6" t="s">
        <v>289</v>
      </c>
      <c r="AQM6" t="s">
        <v>289</v>
      </c>
      <c r="AQN6" t="s">
        <v>289</v>
      </c>
      <c r="AQO6" t="s">
        <v>289</v>
      </c>
      <c r="AQP6" t="s">
        <v>289</v>
      </c>
      <c r="AQQ6" t="s">
        <v>289</v>
      </c>
      <c r="AQR6" t="s">
        <v>289</v>
      </c>
      <c r="AQS6">
        <v>1080</v>
      </c>
      <c r="AQT6">
        <v>987</v>
      </c>
      <c r="AQU6">
        <v>829</v>
      </c>
      <c r="AQV6">
        <v>1118</v>
      </c>
      <c r="AQW6">
        <v>1005</v>
      </c>
      <c r="AQX6">
        <v>797</v>
      </c>
      <c r="AQY6">
        <v>812</v>
      </c>
      <c r="AQZ6">
        <v>877</v>
      </c>
      <c r="ARA6">
        <v>803</v>
      </c>
      <c r="ARB6">
        <v>784</v>
      </c>
      <c r="ARC6">
        <v>1050</v>
      </c>
      <c r="ARD6">
        <v>1315</v>
      </c>
      <c r="ARE6">
        <v>1173</v>
      </c>
      <c r="ARF6" t="s">
        <v>289</v>
      </c>
      <c r="ARG6" t="s">
        <v>289</v>
      </c>
      <c r="ARH6" t="s">
        <v>289</v>
      </c>
      <c r="ARI6" t="s">
        <v>289</v>
      </c>
      <c r="ARJ6" t="s">
        <v>289</v>
      </c>
      <c r="ARK6" t="s">
        <v>289</v>
      </c>
      <c r="ARL6" t="s">
        <v>289</v>
      </c>
      <c r="ARM6" t="s">
        <v>289</v>
      </c>
      <c r="ARN6" t="s">
        <v>289</v>
      </c>
      <c r="ARO6" t="s">
        <v>289</v>
      </c>
      <c r="ARP6" t="s">
        <v>289</v>
      </c>
      <c r="ARQ6" t="s">
        <v>289</v>
      </c>
      <c r="ARR6" t="s">
        <v>289</v>
      </c>
      <c r="ARS6" t="s">
        <v>289</v>
      </c>
      <c r="ART6" t="s">
        <v>289</v>
      </c>
      <c r="ARU6" t="s">
        <v>289</v>
      </c>
      <c r="ARV6" t="s">
        <v>289</v>
      </c>
      <c r="ARW6" t="s">
        <v>289</v>
      </c>
      <c r="ARX6" t="s">
        <v>289</v>
      </c>
      <c r="ARY6" t="s">
        <v>289</v>
      </c>
      <c r="ARZ6" t="s">
        <v>289</v>
      </c>
      <c r="ASA6" t="s">
        <v>289</v>
      </c>
      <c r="ASB6" t="s">
        <v>289</v>
      </c>
      <c r="ASC6" t="s">
        <v>289</v>
      </c>
      <c r="ASD6" t="s">
        <v>289</v>
      </c>
      <c r="ASE6" t="s">
        <v>289</v>
      </c>
      <c r="ASF6" t="s">
        <v>289</v>
      </c>
      <c r="ASG6" t="s">
        <v>289</v>
      </c>
      <c r="ASH6" t="s">
        <v>289</v>
      </c>
      <c r="ASI6" t="s">
        <v>289</v>
      </c>
      <c r="ASJ6" t="s">
        <v>289</v>
      </c>
      <c r="ASK6" t="s">
        <v>289</v>
      </c>
      <c r="ASL6" t="s">
        <v>289</v>
      </c>
      <c r="ASM6" t="s">
        <v>289</v>
      </c>
      <c r="ASN6" t="s">
        <v>289</v>
      </c>
      <c r="ASO6" t="s">
        <v>289</v>
      </c>
      <c r="ASP6" t="s">
        <v>289</v>
      </c>
      <c r="ASQ6" t="s">
        <v>289</v>
      </c>
      <c r="ASR6" t="s">
        <v>289</v>
      </c>
      <c r="ASS6" t="s">
        <v>289</v>
      </c>
      <c r="AST6" t="s">
        <v>289</v>
      </c>
      <c r="ASU6" t="s">
        <v>289</v>
      </c>
      <c r="ASV6" t="s">
        <v>289</v>
      </c>
      <c r="ASW6" t="s">
        <v>289</v>
      </c>
      <c r="ASX6" t="s">
        <v>289</v>
      </c>
      <c r="ASY6" t="s">
        <v>289</v>
      </c>
      <c r="ASZ6" t="s">
        <v>289</v>
      </c>
      <c r="ATA6" t="s">
        <v>289</v>
      </c>
      <c r="ATB6" t="s">
        <v>289</v>
      </c>
      <c r="ATC6" t="s">
        <v>289</v>
      </c>
      <c r="ATD6" t="s">
        <v>289</v>
      </c>
      <c r="ATE6" t="s">
        <v>289</v>
      </c>
      <c r="ATF6" t="s">
        <v>289</v>
      </c>
      <c r="ATG6" t="s">
        <v>289</v>
      </c>
      <c r="ATH6" t="s">
        <v>289</v>
      </c>
      <c r="ATI6" t="s">
        <v>289</v>
      </c>
      <c r="ATJ6" t="s">
        <v>289</v>
      </c>
      <c r="ATK6" t="s">
        <v>289</v>
      </c>
      <c r="ATL6" t="s">
        <v>289</v>
      </c>
      <c r="ATM6" t="s">
        <v>289</v>
      </c>
      <c r="ATN6" t="s">
        <v>289</v>
      </c>
      <c r="ATO6" t="s">
        <v>289</v>
      </c>
      <c r="ATP6" t="s">
        <v>289</v>
      </c>
      <c r="ATQ6" t="s">
        <v>289</v>
      </c>
      <c r="ATR6" t="s">
        <v>289</v>
      </c>
      <c r="ATS6" t="s">
        <v>289</v>
      </c>
      <c r="ATT6" t="s">
        <v>289</v>
      </c>
      <c r="ATU6" t="s">
        <v>289</v>
      </c>
      <c r="ATV6" t="s">
        <v>289</v>
      </c>
      <c r="ATW6" t="s">
        <v>289</v>
      </c>
      <c r="ATX6" t="s">
        <v>289</v>
      </c>
      <c r="ATY6" t="s">
        <v>289</v>
      </c>
      <c r="ATZ6" t="s">
        <v>289</v>
      </c>
      <c r="AUA6" t="s">
        <v>289</v>
      </c>
      <c r="AUB6" t="s">
        <v>289</v>
      </c>
      <c r="AUC6" t="s">
        <v>289</v>
      </c>
      <c r="AUD6" t="s">
        <v>289</v>
      </c>
      <c r="AUE6" t="s">
        <v>289</v>
      </c>
      <c r="AUF6" t="s">
        <v>289</v>
      </c>
      <c r="AUG6" t="s">
        <v>289</v>
      </c>
      <c r="AUH6" t="s">
        <v>289</v>
      </c>
      <c r="AUI6" t="s">
        <v>289</v>
      </c>
      <c r="AUJ6" t="s">
        <v>289</v>
      </c>
      <c r="AUK6" t="s">
        <v>289</v>
      </c>
      <c r="AUL6" t="s">
        <v>289</v>
      </c>
      <c r="AUM6" t="s">
        <v>289</v>
      </c>
      <c r="AUN6" t="s">
        <v>289</v>
      </c>
      <c r="AUO6" t="s">
        <v>289</v>
      </c>
      <c r="AUP6" t="s">
        <v>289</v>
      </c>
      <c r="AUQ6" t="s">
        <v>289</v>
      </c>
      <c r="AUR6" t="s">
        <v>289</v>
      </c>
      <c r="AUS6" t="s">
        <v>289</v>
      </c>
      <c r="AUT6" t="s">
        <v>289</v>
      </c>
      <c r="AUU6" t="s">
        <v>289</v>
      </c>
      <c r="AUV6" t="s">
        <v>289</v>
      </c>
      <c r="AUW6" t="s">
        <v>289</v>
      </c>
      <c r="AUX6">
        <v>5394</v>
      </c>
      <c r="AUY6">
        <v>3601</v>
      </c>
      <c r="AUZ6">
        <v>6010</v>
      </c>
      <c r="AVA6">
        <v>4721</v>
      </c>
      <c r="AVB6">
        <v>2058</v>
      </c>
      <c r="AVC6">
        <v>8023</v>
      </c>
      <c r="AVD6">
        <v>10025</v>
      </c>
      <c r="AVE6">
        <v>8672</v>
      </c>
      <c r="AVF6">
        <v>11180</v>
      </c>
      <c r="AVG6">
        <v>11661</v>
      </c>
      <c r="AVH6">
        <v>12497</v>
      </c>
      <c r="AVI6">
        <v>14133</v>
      </c>
      <c r="AVJ6">
        <v>13853</v>
      </c>
      <c r="AVK6" t="s">
        <v>289</v>
      </c>
      <c r="AVL6">
        <v>14777</v>
      </c>
      <c r="AVM6">
        <v>14982</v>
      </c>
      <c r="AVN6">
        <v>21697</v>
      </c>
      <c r="AVO6">
        <v>21928</v>
      </c>
      <c r="AVP6" t="s">
        <v>289</v>
      </c>
      <c r="AVQ6" t="s">
        <v>289</v>
      </c>
      <c r="AVR6" t="s">
        <v>289</v>
      </c>
      <c r="AVS6" t="s">
        <v>289</v>
      </c>
      <c r="AVT6" t="s">
        <v>289</v>
      </c>
      <c r="AVU6" t="s">
        <v>289</v>
      </c>
      <c r="AVV6" t="s">
        <v>289</v>
      </c>
      <c r="AVW6" t="s">
        <v>289</v>
      </c>
      <c r="AVX6" t="s">
        <v>289</v>
      </c>
      <c r="AVY6" t="s">
        <v>289</v>
      </c>
      <c r="AVZ6" t="s">
        <v>289</v>
      </c>
      <c r="AWA6" t="s">
        <v>289</v>
      </c>
      <c r="AWB6" t="s">
        <v>289</v>
      </c>
      <c r="AWC6" t="s">
        <v>289</v>
      </c>
      <c r="AWD6" t="s">
        <v>289</v>
      </c>
      <c r="AWE6" t="s">
        <v>289</v>
      </c>
      <c r="AWF6" t="s">
        <v>289</v>
      </c>
      <c r="AWG6" t="s">
        <v>289</v>
      </c>
      <c r="AWH6" t="s">
        <v>289</v>
      </c>
      <c r="AWI6" t="s">
        <v>289</v>
      </c>
      <c r="AWJ6" t="s">
        <v>289</v>
      </c>
      <c r="AWK6" t="s">
        <v>289</v>
      </c>
      <c r="AWL6" t="s">
        <v>289</v>
      </c>
      <c r="AWM6" t="s">
        <v>289</v>
      </c>
      <c r="AWN6" t="s">
        <v>289</v>
      </c>
      <c r="AWO6" t="s">
        <v>289</v>
      </c>
      <c r="AWP6" t="s">
        <v>289</v>
      </c>
      <c r="AWQ6" t="s">
        <v>289</v>
      </c>
      <c r="AWR6" t="s">
        <v>289</v>
      </c>
      <c r="AWS6" t="s">
        <v>289</v>
      </c>
      <c r="AWT6" t="s">
        <v>289</v>
      </c>
      <c r="AWU6" t="s">
        <v>289</v>
      </c>
      <c r="AWV6" t="s">
        <v>289</v>
      </c>
      <c r="AWW6" t="s">
        <v>289</v>
      </c>
      <c r="AWX6" t="s">
        <v>289</v>
      </c>
      <c r="AWY6" t="s">
        <v>289</v>
      </c>
      <c r="AWZ6" t="s">
        <v>289</v>
      </c>
      <c r="AXA6" t="s">
        <v>289</v>
      </c>
      <c r="AXB6" t="s">
        <v>289</v>
      </c>
      <c r="AXC6" t="s">
        <v>289</v>
      </c>
      <c r="AXD6" t="s">
        <v>289</v>
      </c>
      <c r="AXE6" t="s">
        <v>289</v>
      </c>
      <c r="AXF6" t="s">
        <v>289</v>
      </c>
      <c r="AXG6" t="s">
        <v>289</v>
      </c>
      <c r="AXH6" t="s">
        <v>289</v>
      </c>
      <c r="AXI6" t="s">
        <v>289</v>
      </c>
      <c r="AXJ6" t="s">
        <v>289</v>
      </c>
      <c r="AXK6" t="s">
        <v>289</v>
      </c>
      <c r="AXL6" t="s">
        <v>289</v>
      </c>
      <c r="AXM6" t="s">
        <v>289</v>
      </c>
      <c r="AXN6" t="s">
        <v>289</v>
      </c>
      <c r="AXO6" t="s">
        <v>289</v>
      </c>
      <c r="AXP6">
        <v>2994</v>
      </c>
      <c r="AXQ6">
        <v>2969</v>
      </c>
      <c r="AXR6">
        <v>3599</v>
      </c>
      <c r="AXS6">
        <v>3987</v>
      </c>
      <c r="AXT6">
        <v>3896</v>
      </c>
      <c r="AXU6" t="s">
        <v>289</v>
      </c>
      <c r="AXV6" t="s">
        <v>289</v>
      </c>
      <c r="AXW6" t="s">
        <v>289</v>
      </c>
      <c r="AXX6" t="s">
        <v>289</v>
      </c>
      <c r="AXY6" t="s">
        <v>289</v>
      </c>
      <c r="AXZ6" t="s">
        <v>289</v>
      </c>
      <c r="AYA6" t="s">
        <v>289</v>
      </c>
      <c r="AYB6" t="s">
        <v>289</v>
      </c>
      <c r="AYC6" t="s">
        <v>289</v>
      </c>
      <c r="AYD6" t="s">
        <v>289</v>
      </c>
      <c r="AYE6" t="s">
        <v>289</v>
      </c>
      <c r="AYF6" t="s">
        <v>289</v>
      </c>
      <c r="AYG6" t="s">
        <v>289</v>
      </c>
      <c r="AYH6" t="s">
        <v>289</v>
      </c>
      <c r="AYI6" t="s">
        <v>289</v>
      </c>
      <c r="AYJ6" t="s">
        <v>289</v>
      </c>
      <c r="AYK6" t="s">
        <v>289</v>
      </c>
      <c r="AYL6">
        <v>3987</v>
      </c>
      <c r="AYM6">
        <v>3894</v>
      </c>
      <c r="AYN6" t="s">
        <v>289</v>
      </c>
      <c r="AYO6" t="s">
        <v>289</v>
      </c>
      <c r="AYP6" t="s">
        <v>289</v>
      </c>
      <c r="AYQ6" t="s">
        <v>289</v>
      </c>
      <c r="AYR6" t="s">
        <v>289</v>
      </c>
      <c r="AYS6" t="s">
        <v>289</v>
      </c>
      <c r="AYT6" t="s">
        <v>289</v>
      </c>
      <c r="AYU6" t="s">
        <v>289</v>
      </c>
      <c r="AYV6" t="s">
        <v>289</v>
      </c>
      <c r="AYW6" t="s">
        <v>289</v>
      </c>
      <c r="AYX6" t="s">
        <v>289</v>
      </c>
      <c r="AYY6" t="s">
        <v>289</v>
      </c>
      <c r="AYZ6" t="s">
        <v>289</v>
      </c>
      <c r="AZA6" t="s">
        <v>289</v>
      </c>
      <c r="AZB6" t="s">
        <v>289</v>
      </c>
      <c r="AZC6" t="s">
        <v>289</v>
      </c>
      <c r="AZD6" t="s">
        <v>289</v>
      </c>
      <c r="AZE6" t="s">
        <v>289</v>
      </c>
      <c r="AZF6" t="s">
        <v>289</v>
      </c>
      <c r="AZG6" t="s">
        <v>289</v>
      </c>
      <c r="AZH6" t="s">
        <v>289</v>
      </c>
      <c r="AZI6" t="s">
        <v>289</v>
      </c>
      <c r="AZJ6" t="s">
        <v>289</v>
      </c>
      <c r="AZK6" t="s">
        <v>289</v>
      </c>
      <c r="AZL6" t="s">
        <v>289</v>
      </c>
      <c r="AZM6" t="s">
        <v>289</v>
      </c>
      <c r="AZN6" t="s">
        <v>289</v>
      </c>
      <c r="AZO6" t="s">
        <v>289</v>
      </c>
      <c r="AZP6" t="s">
        <v>289</v>
      </c>
      <c r="AZQ6" t="s">
        <v>289</v>
      </c>
      <c r="AZR6">
        <v>211</v>
      </c>
      <c r="AZS6">
        <v>194</v>
      </c>
      <c r="AZT6">
        <v>292</v>
      </c>
      <c r="AZU6">
        <v>409</v>
      </c>
      <c r="AZV6">
        <v>324</v>
      </c>
      <c r="AZW6">
        <v>343</v>
      </c>
      <c r="AZX6">
        <v>316</v>
      </c>
      <c r="AZY6">
        <v>320</v>
      </c>
      <c r="AZZ6" t="s">
        <v>289</v>
      </c>
      <c r="BAA6" t="s">
        <v>289</v>
      </c>
      <c r="BAB6" t="s">
        <v>289</v>
      </c>
      <c r="BAC6" t="s">
        <v>289</v>
      </c>
      <c r="BAD6" t="s">
        <v>289</v>
      </c>
      <c r="BAE6" t="s">
        <v>289</v>
      </c>
      <c r="BAF6" t="s">
        <v>289</v>
      </c>
      <c r="BAG6" t="s">
        <v>289</v>
      </c>
      <c r="BAH6" t="s">
        <v>289</v>
      </c>
      <c r="BAI6" t="s">
        <v>289</v>
      </c>
      <c r="BAJ6" t="s">
        <v>289</v>
      </c>
      <c r="BAK6" t="s">
        <v>289</v>
      </c>
      <c r="BAL6" t="s">
        <v>289</v>
      </c>
      <c r="BAM6" t="s">
        <v>289</v>
      </c>
      <c r="BAN6" t="s">
        <v>289</v>
      </c>
      <c r="BAO6" t="s">
        <v>289</v>
      </c>
      <c r="BAP6" t="s">
        <v>289</v>
      </c>
      <c r="BAQ6" t="s">
        <v>289</v>
      </c>
      <c r="BAR6" t="s">
        <v>289</v>
      </c>
      <c r="BAS6" t="s">
        <v>289</v>
      </c>
      <c r="BAT6" t="s">
        <v>289</v>
      </c>
      <c r="BAU6" t="s">
        <v>289</v>
      </c>
      <c r="BAV6" t="s">
        <v>289</v>
      </c>
      <c r="BAW6" t="s">
        <v>289</v>
      </c>
      <c r="BAX6" t="s">
        <v>289</v>
      </c>
      <c r="BAY6" t="s">
        <v>289</v>
      </c>
      <c r="BAZ6" t="s">
        <v>289</v>
      </c>
      <c r="BBA6" t="s">
        <v>289</v>
      </c>
      <c r="BBB6" t="s">
        <v>289</v>
      </c>
      <c r="BBC6" t="s">
        <v>289</v>
      </c>
      <c r="BBD6">
        <v>139</v>
      </c>
      <c r="BBE6" t="s">
        <v>289</v>
      </c>
      <c r="BBF6" t="s">
        <v>289</v>
      </c>
      <c r="BBG6">
        <v>1306</v>
      </c>
      <c r="BBH6">
        <v>853</v>
      </c>
      <c r="BBI6">
        <v>878</v>
      </c>
      <c r="BBJ6">
        <v>997</v>
      </c>
      <c r="BBK6">
        <v>72</v>
      </c>
      <c r="BBL6" t="s">
        <v>289</v>
      </c>
      <c r="BBM6">
        <v>11597</v>
      </c>
      <c r="BBN6">
        <v>12691</v>
      </c>
      <c r="BBO6" t="s">
        <v>289</v>
      </c>
      <c r="BBP6" t="s">
        <v>289</v>
      </c>
      <c r="BBQ6">
        <v>12818</v>
      </c>
      <c r="BBR6">
        <v>12294</v>
      </c>
      <c r="BBS6">
        <v>11504</v>
      </c>
      <c r="BBT6">
        <v>11357</v>
      </c>
      <c r="BBU6">
        <v>11534</v>
      </c>
      <c r="BBV6">
        <v>10973</v>
      </c>
      <c r="BBW6">
        <v>10801</v>
      </c>
      <c r="BBX6">
        <v>11171</v>
      </c>
      <c r="BBY6">
        <v>12988</v>
      </c>
      <c r="BBZ6">
        <v>13582</v>
      </c>
      <c r="BCA6">
        <v>14304</v>
      </c>
      <c r="BCB6">
        <v>16166</v>
      </c>
      <c r="BCC6">
        <v>16511</v>
      </c>
      <c r="BCD6">
        <v>16204</v>
      </c>
      <c r="BCE6" t="s">
        <v>289</v>
      </c>
      <c r="BCF6">
        <v>5521</v>
      </c>
      <c r="BCG6">
        <v>6151</v>
      </c>
      <c r="BCH6">
        <v>6010</v>
      </c>
      <c r="BCI6">
        <v>4721</v>
      </c>
      <c r="BCJ6">
        <v>2058</v>
      </c>
      <c r="BCK6">
        <v>8023</v>
      </c>
      <c r="BCL6">
        <v>10025</v>
      </c>
      <c r="BCM6">
        <v>8672</v>
      </c>
      <c r="BCN6">
        <v>11180</v>
      </c>
      <c r="BCO6">
        <v>11661</v>
      </c>
      <c r="BCP6">
        <v>12497</v>
      </c>
      <c r="BCQ6">
        <v>14133</v>
      </c>
      <c r="BCR6">
        <v>13853</v>
      </c>
      <c r="BCS6">
        <v>14057</v>
      </c>
      <c r="BCT6">
        <v>14777</v>
      </c>
      <c r="BCU6">
        <v>14982</v>
      </c>
      <c r="BCV6">
        <v>21697</v>
      </c>
      <c r="BCW6">
        <v>21928</v>
      </c>
      <c r="BCX6" t="s">
        <v>289</v>
      </c>
      <c r="BCY6">
        <v>36144</v>
      </c>
      <c r="BCZ6">
        <v>39052</v>
      </c>
      <c r="BDA6">
        <v>38053</v>
      </c>
      <c r="BDB6">
        <v>36780</v>
      </c>
      <c r="BDC6">
        <v>31278</v>
      </c>
      <c r="BDD6">
        <v>33978</v>
      </c>
      <c r="BDE6">
        <v>37859</v>
      </c>
      <c r="BDF6">
        <v>39654</v>
      </c>
      <c r="BDG6">
        <v>42567</v>
      </c>
      <c r="BDH6">
        <v>42861</v>
      </c>
      <c r="BDI6">
        <v>47038</v>
      </c>
      <c r="BDJ6">
        <v>53018</v>
      </c>
      <c r="BDK6">
        <v>61510</v>
      </c>
      <c r="BDL6">
        <v>67509</v>
      </c>
      <c r="BDM6">
        <v>69975</v>
      </c>
      <c r="BDN6">
        <v>73778</v>
      </c>
      <c r="BDO6">
        <v>74275</v>
      </c>
      <c r="BDP6">
        <v>72331</v>
      </c>
      <c r="BDQ6" t="s">
        <v>289</v>
      </c>
      <c r="BDR6">
        <v>25889</v>
      </c>
      <c r="BDS6">
        <v>28096</v>
      </c>
      <c r="BDT6">
        <v>39824</v>
      </c>
      <c r="BDU6">
        <v>38310</v>
      </c>
      <c r="BDV6">
        <v>36419</v>
      </c>
      <c r="BDW6">
        <v>35855</v>
      </c>
      <c r="BDX6">
        <v>37152</v>
      </c>
      <c r="BDY6">
        <v>38954</v>
      </c>
      <c r="BDZ6">
        <v>40782</v>
      </c>
      <c r="BEA6">
        <v>40894</v>
      </c>
      <c r="BEB6">
        <v>44848</v>
      </c>
      <c r="BEC6">
        <v>52289</v>
      </c>
      <c r="BED6">
        <v>61753</v>
      </c>
      <c r="BEE6">
        <v>66243</v>
      </c>
      <c r="BEF6">
        <v>67858</v>
      </c>
      <c r="BEG6">
        <v>71987</v>
      </c>
      <c r="BEH6">
        <v>71290</v>
      </c>
      <c r="BEI6">
        <v>67285</v>
      </c>
      <c r="BEJ6" t="s">
        <v>289</v>
      </c>
      <c r="BEK6">
        <v>2657</v>
      </c>
      <c r="BEL6">
        <v>2972</v>
      </c>
      <c r="BEM6">
        <v>3422</v>
      </c>
      <c r="BEN6">
        <v>4056</v>
      </c>
      <c r="BEO6">
        <v>4313</v>
      </c>
      <c r="BEP6">
        <v>3893</v>
      </c>
      <c r="BEQ6">
        <v>3677</v>
      </c>
      <c r="BER6">
        <v>3718</v>
      </c>
      <c r="BES6">
        <v>3482</v>
      </c>
      <c r="BET6">
        <v>3282</v>
      </c>
      <c r="BEU6">
        <v>3443</v>
      </c>
      <c r="BEV6">
        <v>3570</v>
      </c>
      <c r="BEW6">
        <v>4899</v>
      </c>
      <c r="BEX6">
        <v>5240</v>
      </c>
      <c r="BEY6">
        <v>5913</v>
      </c>
      <c r="BEZ6">
        <v>6949</v>
      </c>
      <c r="BFA6">
        <v>6347</v>
      </c>
      <c r="BFB6">
        <v>6398</v>
      </c>
      <c r="BFC6" t="s">
        <v>289</v>
      </c>
      <c r="BFD6">
        <v>197</v>
      </c>
      <c r="BFE6">
        <v>247</v>
      </c>
      <c r="BFF6">
        <v>278</v>
      </c>
      <c r="BFG6">
        <v>300</v>
      </c>
      <c r="BFH6">
        <v>274</v>
      </c>
      <c r="BFI6">
        <v>232</v>
      </c>
      <c r="BFJ6">
        <v>250</v>
      </c>
      <c r="BFK6">
        <v>246</v>
      </c>
      <c r="BFL6">
        <v>243</v>
      </c>
      <c r="BFM6">
        <v>222</v>
      </c>
      <c r="BFN6">
        <v>216</v>
      </c>
      <c r="BFO6">
        <v>210</v>
      </c>
      <c r="BFP6">
        <v>1246</v>
      </c>
      <c r="BFQ6">
        <v>1114</v>
      </c>
      <c r="BFR6">
        <v>996</v>
      </c>
      <c r="BFS6">
        <v>1127</v>
      </c>
      <c r="BFT6">
        <v>916</v>
      </c>
      <c r="BFU6">
        <v>1021</v>
      </c>
      <c r="BFV6" t="s">
        <v>289</v>
      </c>
      <c r="BFW6">
        <v>11597</v>
      </c>
      <c r="BFX6">
        <v>12691</v>
      </c>
      <c r="BFY6">
        <v>13166</v>
      </c>
      <c r="BFZ6">
        <v>13055</v>
      </c>
      <c r="BGA6">
        <v>12818</v>
      </c>
      <c r="BGB6">
        <v>12294</v>
      </c>
      <c r="BGC6">
        <v>11504</v>
      </c>
      <c r="BGD6">
        <v>11357</v>
      </c>
      <c r="BGE6">
        <v>11534</v>
      </c>
      <c r="BGF6">
        <v>10973</v>
      </c>
      <c r="BGG6">
        <v>10801</v>
      </c>
      <c r="BGH6">
        <v>11171</v>
      </c>
      <c r="BGI6">
        <v>12988</v>
      </c>
      <c r="BGJ6">
        <v>13582</v>
      </c>
      <c r="BGK6">
        <v>14304</v>
      </c>
      <c r="BGL6">
        <v>16900</v>
      </c>
      <c r="BGM6">
        <v>17135</v>
      </c>
      <c r="BGN6">
        <v>16167</v>
      </c>
      <c r="BGO6" t="s">
        <v>289</v>
      </c>
      <c r="BGP6">
        <v>11504</v>
      </c>
      <c r="BGQ6">
        <v>12722</v>
      </c>
      <c r="BGR6">
        <v>24927</v>
      </c>
      <c r="BGS6">
        <v>22713</v>
      </c>
      <c r="BGT6">
        <v>24169</v>
      </c>
      <c r="BGU6">
        <v>23210</v>
      </c>
      <c r="BGV6">
        <v>23527</v>
      </c>
      <c r="BGW6">
        <v>24337</v>
      </c>
      <c r="BGX6">
        <v>26116</v>
      </c>
      <c r="BGY6">
        <v>26290</v>
      </c>
      <c r="BGZ6">
        <v>28501</v>
      </c>
      <c r="BHA6">
        <v>34412</v>
      </c>
      <c r="BHB6">
        <v>40648</v>
      </c>
      <c r="BHC6">
        <v>44835</v>
      </c>
      <c r="BHD6">
        <v>46523</v>
      </c>
      <c r="BHE6">
        <v>49934</v>
      </c>
      <c r="BHF6">
        <v>51050</v>
      </c>
      <c r="BHG6">
        <v>48485</v>
      </c>
      <c r="BHH6" t="s">
        <v>289</v>
      </c>
      <c r="BHI6" t="s">
        <v>289</v>
      </c>
      <c r="BHJ6" t="s">
        <v>289</v>
      </c>
      <c r="BHK6" t="s">
        <v>289</v>
      </c>
      <c r="BHL6" t="s">
        <v>289</v>
      </c>
      <c r="BHM6" t="s">
        <v>289</v>
      </c>
      <c r="BHN6">
        <v>23210</v>
      </c>
      <c r="BHO6">
        <v>23527</v>
      </c>
      <c r="BHP6">
        <v>24337</v>
      </c>
      <c r="BHQ6">
        <v>26116</v>
      </c>
      <c r="BHR6">
        <v>26290</v>
      </c>
      <c r="BHS6">
        <v>28501</v>
      </c>
      <c r="BHT6">
        <v>34412</v>
      </c>
      <c r="BHU6">
        <v>40648</v>
      </c>
      <c r="BHV6">
        <v>44835</v>
      </c>
      <c r="BHW6">
        <v>46523</v>
      </c>
      <c r="BHX6">
        <v>49764</v>
      </c>
      <c r="BHY6">
        <v>50886</v>
      </c>
      <c r="BHZ6">
        <v>48303</v>
      </c>
      <c r="BIA6" t="s">
        <v>289</v>
      </c>
      <c r="BIB6">
        <v>61775</v>
      </c>
      <c r="BIC6">
        <v>68411</v>
      </c>
      <c r="BID6">
        <v>68851</v>
      </c>
      <c r="BIE6">
        <v>68198</v>
      </c>
      <c r="BIF6">
        <v>63831</v>
      </c>
      <c r="BIG6">
        <v>63978</v>
      </c>
      <c r="BIH6">
        <v>70107</v>
      </c>
      <c r="BII6">
        <v>72934</v>
      </c>
      <c r="BIJ6">
        <v>75414</v>
      </c>
      <c r="BIK6">
        <v>74992</v>
      </c>
      <c r="BIL6">
        <v>81551</v>
      </c>
      <c r="BIM6">
        <v>90605</v>
      </c>
      <c r="BIN6">
        <v>102103</v>
      </c>
      <c r="BIO6">
        <v>109899</v>
      </c>
      <c r="BIP6">
        <v>114996</v>
      </c>
      <c r="BIQ6">
        <v>122171</v>
      </c>
      <c r="BIR6">
        <v>115737</v>
      </c>
      <c r="BIS6">
        <v>113740</v>
      </c>
      <c r="BIT6" t="s">
        <v>289</v>
      </c>
      <c r="BIU6" t="s">
        <v>289</v>
      </c>
      <c r="BIV6" t="s">
        <v>289</v>
      </c>
      <c r="BIW6" t="s">
        <v>289</v>
      </c>
      <c r="BIX6" t="s">
        <v>289</v>
      </c>
      <c r="BIY6" t="s">
        <v>289</v>
      </c>
      <c r="BIZ6" t="s">
        <v>289</v>
      </c>
      <c r="BJA6" t="s">
        <v>289</v>
      </c>
      <c r="BJB6" t="s">
        <v>289</v>
      </c>
      <c r="BJC6" t="s">
        <v>289</v>
      </c>
      <c r="BJD6" t="s">
        <v>289</v>
      </c>
      <c r="BJE6" t="s">
        <v>289</v>
      </c>
      <c r="BJF6" t="s">
        <v>289</v>
      </c>
      <c r="BJG6" t="s">
        <v>289</v>
      </c>
      <c r="BJH6" t="s">
        <v>289</v>
      </c>
      <c r="BJI6" t="s">
        <v>289</v>
      </c>
      <c r="BJJ6" t="s">
        <v>289</v>
      </c>
      <c r="BJK6" t="s">
        <v>289</v>
      </c>
      <c r="BJL6" t="s">
        <v>289</v>
      </c>
      <c r="BJM6" t="s">
        <v>289</v>
      </c>
      <c r="BJN6">
        <v>-3923</v>
      </c>
      <c r="BJO6">
        <v>-4018</v>
      </c>
      <c r="BJP6">
        <v>-4644</v>
      </c>
      <c r="BJQ6">
        <v>-4644</v>
      </c>
      <c r="BJR6">
        <v>-4369</v>
      </c>
      <c r="BJS6">
        <v>-1332</v>
      </c>
      <c r="BJT6">
        <v>-1134</v>
      </c>
      <c r="BJU6">
        <v>-1898</v>
      </c>
      <c r="BJV6">
        <v>-2274</v>
      </c>
      <c r="BJW6">
        <v>-1681</v>
      </c>
      <c r="BJX6">
        <v>-1736</v>
      </c>
      <c r="BJY6">
        <v>-1962</v>
      </c>
      <c r="BJZ6">
        <v>-2216</v>
      </c>
      <c r="BKA6">
        <v>-2420</v>
      </c>
      <c r="BKB6">
        <v>-2745</v>
      </c>
      <c r="BKC6">
        <v>-3035</v>
      </c>
      <c r="BKD6">
        <v>-2508</v>
      </c>
      <c r="BKE6">
        <v>-1349</v>
      </c>
      <c r="BKF6" t="s">
        <v>289</v>
      </c>
      <c r="BKG6">
        <v>2253</v>
      </c>
      <c r="BKH6">
        <v>2270</v>
      </c>
      <c r="BKI6">
        <v>2835</v>
      </c>
      <c r="BKJ6">
        <v>2865</v>
      </c>
      <c r="BKK6">
        <v>2956</v>
      </c>
      <c r="BKL6">
        <v>3146</v>
      </c>
      <c r="BKM6">
        <v>3069</v>
      </c>
      <c r="BKN6">
        <v>2831</v>
      </c>
      <c r="BKO6">
        <v>3307</v>
      </c>
      <c r="BKP6">
        <v>3169</v>
      </c>
      <c r="BKQ6">
        <v>2711</v>
      </c>
      <c r="BKR6">
        <v>2728</v>
      </c>
      <c r="BKS6">
        <v>2840</v>
      </c>
      <c r="BKT6">
        <v>3046</v>
      </c>
      <c r="BKU6">
        <v>3245</v>
      </c>
      <c r="BKV6">
        <v>3809</v>
      </c>
      <c r="BKW6">
        <v>3987</v>
      </c>
      <c r="BKX6">
        <v>3894</v>
      </c>
      <c r="BKY6" t="s">
        <v>289</v>
      </c>
      <c r="BKZ6">
        <v>1872</v>
      </c>
      <c r="BLA6">
        <v>1514</v>
      </c>
      <c r="BLB6">
        <v>877</v>
      </c>
      <c r="BLC6">
        <v>1238</v>
      </c>
      <c r="BLD6">
        <v>-117</v>
      </c>
      <c r="BLE6">
        <v>-951</v>
      </c>
      <c r="BLF6">
        <v>620</v>
      </c>
      <c r="BLG6">
        <v>1256</v>
      </c>
      <c r="BLH6">
        <v>185</v>
      </c>
      <c r="BLI6">
        <v>86</v>
      </c>
      <c r="BLJ6">
        <v>1249</v>
      </c>
      <c r="BLK6">
        <v>2272</v>
      </c>
      <c r="BLL6">
        <v>3345</v>
      </c>
      <c r="BLM6">
        <v>3806</v>
      </c>
      <c r="BLN6">
        <v>2987</v>
      </c>
      <c r="BLO6">
        <v>2105</v>
      </c>
      <c r="BLP6">
        <v>-1999</v>
      </c>
      <c r="BLQ6">
        <v>1398</v>
      </c>
      <c r="BLR6" t="s">
        <v>289</v>
      </c>
      <c r="BLS6">
        <v>4125</v>
      </c>
      <c r="BLT6">
        <v>3784</v>
      </c>
      <c r="BLU6">
        <v>3712</v>
      </c>
      <c r="BLV6">
        <v>4103</v>
      </c>
      <c r="BLW6">
        <v>2839</v>
      </c>
      <c r="BLX6">
        <v>2195</v>
      </c>
      <c r="BLY6">
        <v>3689</v>
      </c>
      <c r="BLZ6">
        <v>4087</v>
      </c>
      <c r="BMA6">
        <v>3492</v>
      </c>
      <c r="BMB6">
        <v>3255</v>
      </c>
      <c r="BMC6">
        <v>3960</v>
      </c>
      <c r="BMD6">
        <v>5000</v>
      </c>
      <c r="BME6">
        <v>6185</v>
      </c>
      <c r="BMF6">
        <v>6852</v>
      </c>
      <c r="BMG6">
        <v>6232</v>
      </c>
      <c r="BMH6">
        <v>5914</v>
      </c>
      <c r="BMI6">
        <v>1988</v>
      </c>
      <c r="BMJ6">
        <v>5292</v>
      </c>
      <c r="BMK6" t="s">
        <v>289</v>
      </c>
      <c r="BML6" t="s">
        <v>289</v>
      </c>
      <c r="BMM6" t="s">
        <v>289</v>
      </c>
      <c r="BMN6" t="s">
        <v>289</v>
      </c>
      <c r="BMO6" t="s">
        <v>289</v>
      </c>
      <c r="BMP6" t="s">
        <v>289</v>
      </c>
      <c r="BMQ6">
        <v>2754</v>
      </c>
      <c r="BMR6">
        <v>4153</v>
      </c>
      <c r="BMS6">
        <v>3934</v>
      </c>
      <c r="BMT6">
        <v>4099</v>
      </c>
      <c r="BMU6">
        <v>4531</v>
      </c>
      <c r="BMV6">
        <v>4464</v>
      </c>
      <c r="BMW6">
        <v>5199</v>
      </c>
      <c r="BMX6">
        <v>6184</v>
      </c>
      <c r="BMY6">
        <v>6900</v>
      </c>
      <c r="BMZ6">
        <v>6857</v>
      </c>
      <c r="BNA6">
        <v>6471</v>
      </c>
      <c r="BNB6">
        <v>3650</v>
      </c>
      <c r="BNC6">
        <v>5557</v>
      </c>
      <c r="BND6" t="s">
        <v>289</v>
      </c>
      <c r="BNE6">
        <v>40715</v>
      </c>
      <c r="BNF6">
        <v>41338</v>
      </c>
      <c r="BNG6">
        <v>41528</v>
      </c>
      <c r="BNH6">
        <v>40682</v>
      </c>
      <c r="BNI6">
        <v>37791</v>
      </c>
      <c r="BNJ6">
        <v>33712</v>
      </c>
      <c r="BNK6">
        <v>38971</v>
      </c>
      <c r="BNL6">
        <v>42628</v>
      </c>
      <c r="BNM6">
        <v>41270</v>
      </c>
      <c r="BNN6">
        <v>40932</v>
      </c>
      <c r="BNO6">
        <v>41055</v>
      </c>
      <c r="BNP6">
        <v>45327</v>
      </c>
      <c r="BNQ6">
        <v>51243</v>
      </c>
      <c r="BNR6">
        <v>58770</v>
      </c>
      <c r="BNS6">
        <v>57419</v>
      </c>
      <c r="BNT6">
        <v>55537</v>
      </c>
      <c r="BNU6">
        <v>43474</v>
      </c>
      <c r="BNV6">
        <v>46213</v>
      </c>
      <c r="BNW6" t="s">
        <v>289</v>
      </c>
      <c r="BNX6">
        <v>2253</v>
      </c>
      <c r="BNY6">
        <v>2270</v>
      </c>
      <c r="BNZ6">
        <v>2139</v>
      </c>
      <c r="BOA6">
        <v>2141</v>
      </c>
      <c r="BOB6">
        <v>2069</v>
      </c>
      <c r="BOC6">
        <v>2113</v>
      </c>
      <c r="BOD6">
        <v>1825</v>
      </c>
      <c r="BOE6">
        <v>2002</v>
      </c>
      <c r="BOF6">
        <v>2189</v>
      </c>
      <c r="BOG6">
        <v>2172</v>
      </c>
      <c r="BOH6">
        <v>1918</v>
      </c>
      <c r="BOI6">
        <v>1916</v>
      </c>
      <c r="BOJ6">
        <v>1963</v>
      </c>
      <c r="BOK6">
        <v>2243</v>
      </c>
      <c r="BOL6">
        <v>2461</v>
      </c>
      <c r="BOM6">
        <v>2435</v>
      </c>
      <c r="BON6">
        <v>2730</v>
      </c>
      <c r="BOO6">
        <v>2818</v>
      </c>
      <c r="BOP6" t="s">
        <v>289</v>
      </c>
      <c r="BOQ6">
        <v>1872</v>
      </c>
      <c r="BOR6">
        <v>1514</v>
      </c>
      <c r="BOS6">
        <v>877</v>
      </c>
      <c r="BOT6">
        <v>1238</v>
      </c>
      <c r="BOU6">
        <v>-117</v>
      </c>
      <c r="BOV6">
        <v>-951</v>
      </c>
      <c r="BOW6">
        <v>620</v>
      </c>
      <c r="BOX6">
        <v>1256</v>
      </c>
      <c r="BOY6">
        <v>185</v>
      </c>
      <c r="BOZ6">
        <v>86</v>
      </c>
      <c r="BPA6">
        <v>1249</v>
      </c>
      <c r="BPB6">
        <v>2272</v>
      </c>
      <c r="BPC6">
        <v>3345</v>
      </c>
      <c r="BPD6">
        <v>3806</v>
      </c>
      <c r="BPE6">
        <v>2987</v>
      </c>
      <c r="BPF6">
        <v>2105</v>
      </c>
      <c r="BPG6">
        <v>-1999</v>
      </c>
      <c r="BPH6">
        <v>1398</v>
      </c>
      <c r="BPI6" t="s">
        <v>289</v>
      </c>
      <c r="BPJ6">
        <v>20727</v>
      </c>
      <c r="BPK6">
        <v>21563</v>
      </c>
      <c r="BPL6">
        <v>24347</v>
      </c>
      <c r="BPM6">
        <v>23405</v>
      </c>
      <c r="BPN6">
        <v>26848</v>
      </c>
      <c r="BPO6">
        <v>7170</v>
      </c>
      <c r="BPP6">
        <v>1749</v>
      </c>
      <c r="BPQ6">
        <v>175</v>
      </c>
      <c r="BPR6">
        <v>-1692</v>
      </c>
      <c r="BPS6">
        <v>-2112</v>
      </c>
      <c r="BPT6">
        <v>-2805</v>
      </c>
      <c r="BPU6">
        <v>-3727</v>
      </c>
      <c r="BPV6">
        <v>-3339</v>
      </c>
      <c r="BPW6">
        <v>-1894</v>
      </c>
      <c r="BPX6">
        <v>-2360</v>
      </c>
      <c r="BPY6">
        <v>-7280</v>
      </c>
      <c r="BPZ6">
        <v>1778</v>
      </c>
      <c r="BQA6">
        <v>6590</v>
      </c>
      <c r="BQB6" t="s">
        <v>289</v>
      </c>
      <c r="BQC6">
        <v>40292</v>
      </c>
      <c r="BQD6">
        <v>41338</v>
      </c>
      <c r="BQE6">
        <v>40332</v>
      </c>
      <c r="BQF6">
        <v>40682</v>
      </c>
      <c r="BQG6">
        <v>37791</v>
      </c>
      <c r="BQH6">
        <v>33712</v>
      </c>
      <c r="BQI6">
        <v>38971</v>
      </c>
      <c r="BQJ6">
        <v>42628</v>
      </c>
      <c r="BQK6">
        <v>41270</v>
      </c>
      <c r="BQL6">
        <v>40932</v>
      </c>
      <c r="BQM6">
        <v>41055</v>
      </c>
      <c r="BQN6">
        <v>45327</v>
      </c>
      <c r="BQO6">
        <v>51243</v>
      </c>
      <c r="BQP6">
        <v>58770</v>
      </c>
      <c r="BQQ6">
        <v>57419</v>
      </c>
      <c r="BQR6">
        <v>55537</v>
      </c>
      <c r="BQS6">
        <v>43474</v>
      </c>
      <c r="BQT6">
        <v>46213</v>
      </c>
      <c r="BQU6" t="s">
        <v>289</v>
      </c>
      <c r="BQV6" t="s">
        <v>289</v>
      </c>
      <c r="BQW6" t="s">
        <v>289</v>
      </c>
      <c r="BQX6" t="s">
        <v>289</v>
      </c>
      <c r="BQY6" t="s">
        <v>289</v>
      </c>
      <c r="BQZ6" t="s">
        <v>289</v>
      </c>
      <c r="BRA6" t="s">
        <v>289</v>
      </c>
      <c r="BRB6" t="s">
        <v>289</v>
      </c>
      <c r="BRC6" t="s">
        <v>289</v>
      </c>
      <c r="BRD6" t="s">
        <v>289</v>
      </c>
      <c r="BRE6" t="s">
        <v>289</v>
      </c>
      <c r="BRF6">
        <v>1683</v>
      </c>
      <c r="BRG6">
        <v>1550</v>
      </c>
      <c r="BRH6">
        <v>1717</v>
      </c>
      <c r="BRI6">
        <v>1584</v>
      </c>
      <c r="BRJ6">
        <v>1531</v>
      </c>
      <c r="BRK6">
        <v>1636</v>
      </c>
      <c r="BRL6">
        <v>1544</v>
      </c>
      <c r="BRM6">
        <v>1355</v>
      </c>
      <c r="BRN6" t="s">
        <v>289</v>
      </c>
      <c r="BRO6" t="s">
        <v>289</v>
      </c>
      <c r="BRP6" t="s">
        <v>289</v>
      </c>
      <c r="BRQ6" t="s">
        <v>289</v>
      </c>
      <c r="BRR6" t="s">
        <v>289</v>
      </c>
      <c r="BRS6" t="s">
        <v>289</v>
      </c>
      <c r="BRT6">
        <v>-2052</v>
      </c>
      <c r="BRU6">
        <v>-1868</v>
      </c>
      <c r="BRV6">
        <v>-2786</v>
      </c>
      <c r="BRW6">
        <v>-3176</v>
      </c>
      <c r="BRX6">
        <v>-2510</v>
      </c>
      <c r="BRY6">
        <v>-2703</v>
      </c>
      <c r="BRZ6">
        <v>-2918</v>
      </c>
      <c r="BSA6">
        <v>-3274</v>
      </c>
      <c r="BSB6">
        <v>-3730</v>
      </c>
      <c r="BSC6">
        <v>-4517</v>
      </c>
      <c r="BSD6">
        <v>-5121</v>
      </c>
      <c r="BSE6">
        <v>-4008</v>
      </c>
      <c r="BSF6">
        <v>-2526</v>
      </c>
      <c r="BSG6" t="s">
        <v>289</v>
      </c>
      <c r="BSH6" t="s">
        <v>289</v>
      </c>
      <c r="BSI6" t="s">
        <v>289</v>
      </c>
      <c r="BSJ6" t="s">
        <v>289</v>
      </c>
      <c r="BSK6" t="s">
        <v>289</v>
      </c>
      <c r="BSL6" t="s">
        <v>289</v>
      </c>
      <c r="BSM6">
        <v>-720</v>
      </c>
      <c r="BSN6">
        <v>-734</v>
      </c>
      <c r="BSO6">
        <v>-888</v>
      </c>
      <c r="BSP6">
        <v>-902</v>
      </c>
      <c r="BSQ6">
        <v>-829</v>
      </c>
      <c r="BSR6">
        <v>-967</v>
      </c>
      <c r="BSS6">
        <v>-956</v>
      </c>
      <c r="BST6">
        <v>-1058</v>
      </c>
      <c r="BSU6">
        <v>-1310</v>
      </c>
      <c r="BSV6">
        <v>-1772</v>
      </c>
      <c r="BSW6">
        <v>-2086</v>
      </c>
      <c r="BSX6">
        <v>-1500</v>
      </c>
      <c r="BSY6">
        <v>-1177</v>
      </c>
      <c r="BSZ6" t="s">
        <v>289</v>
      </c>
      <c r="BTA6" t="s">
        <v>289</v>
      </c>
      <c r="BTB6" t="s">
        <v>289</v>
      </c>
      <c r="BTC6" t="s">
        <v>289</v>
      </c>
      <c r="BTD6" t="s">
        <v>289</v>
      </c>
      <c r="BTE6" t="s">
        <v>289</v>
      </c>
      <c r="BTF6" t="s">
        <v>289</v>
      </c>
      <c r="BTG6" t="s">
        <v>289</v>
      </c>
      <c r="BTH6" t="s">
        <v>289</v>
      </c>
      <c r="BTI6" t="s">
        <v>289</v>
      </c>
      <c r="BTJ6" t="s">
        <v>289</v>
      </c>
      <c r="BTK6" t="s">
        <v>289</v>
      </c>
      <c r="BTL6" t="s">
        <v>289</v>
      </c>
      <c r="BTM6" t="s">
        <v>289</v>
      </c>
      <c r="BTN6" t="s">
        <v>289</v>
      </c>
      <c r="BTO6" t="s">
        <v>289</v>
      </c>
      <c r="BTP6" t="s">
        <v>289</v>
      </c>
      <c r="BTQ6" t="s">
        <v>289</v>
      </c>
      <c r="BTR6" t="s">
        <v>289</v>
      </c>
      <c r="BTS6" t="s">
        <v>289</v>
      </c>
      <c r="BTT6" t="s">
        <v>289</v>
      </c>
      <c r="BTU6" t="s">
        <v>289</v>
      </c>
      <c r="BTV6" t="s">
        <v>289</v>
      </c>
      <c r="BTW6" t="s">
        <v>289</v>
      </c>
      <c r="BTX6" t="s">
        <v>289</v>
      </c>
      <c r="BTY6">
        <v>-720</v>
      </c>
      <c r="BTZ6">
        <v>-734</v>
      </c>
      <c r="BUA6">
        <v>-888</v>
      </c>
      <c r="BUB6">
        <v>-902</v>
      </c>
      <c r="BUC6">
        <v>-829</v>
      </c>
      <c r="BUD6">
        <v>-967</v>
      </c>
      <c r="BUE6">
        <v>-956</v>
      </c>
      <c r="BUF6">
        <v>-1058</v>
      </c>
      <c r="BUG6">
        <v>-1310</v>
      </c>
      <c r="BUH6">
        <v>-1772</v>
      </c>
      <c r="BUI6">
        <v>-2086</v>
      </c>
      <c r="BUJ6">
        <v>-1500</v>
      </c>
      <c r="BUK6">
        <v>-1177</v>
      </c>
      <c r="BUL6" t="s">
        <v>289</v>
      </c>
      <c r="BUM6">
        <v>-3923</v>
      </c>
      <c r="BUN6">
        <v>-4018</v>
      </c>
      <c r="BUO6">
        <v>-4644</v>
      </c>
      <c r="BUP6">
        <v>-4644</v>
      </c>
      <c r="BUQ6">
        <v>-4369</v>
      </c>
      <c r="BUR6">
        <v>-2309</v>
      </c>
      <c r="BUS6">
        <v>-1867</v>
      </c>
      <c r="BUT6">
        <v>-2455</v>
      </c>
      <c r="BUU6">
        <v>-2847</v>
      </c>
      <c r="BUV6">
        <v>-2749</v>
      </c>
      <c r="BUW6">
        <v>-2511</v>
      </c>
      <c r="BUX6">
        <v>-2801</v>
      </c>
      <c r="BUY6">
        <v>-3097</v>
      </c>
      <c r="BUZ6">
        <v>-3601</v>
      </c>
      <c r="BVA6">
        <v>-4407</v>
      </c>
      <c r="BVB6">
        <v>-5022</v>
      </c>
      <c r="BVC6">
        <v>-4208</v>
      </c>
      <c r="BVD6">
        <v>-3001</v>
      </c>
      <c r="BVE6" t="s">
        <v>289</v>
      </c>
      <c r="BVF6" t="s">
        <v>289</v>
      </c>
      <c r="BVG6" t="s">
        <v>289</v>
      </c>
      <c r="BVH6" t="s">
        <v>289</v>
      </c>
      <c r="BVI6" t="s">
        <v>289</v>
      </c>
      <c r="BVJ6" t="s">
        <v>289</v>
      </c>
      <c r="BVK6" t="s">
        <v>289</v>
      </c>
      <c r="BVL6" t="s">
        <v>289</v>
      </c>
      <c r="BVM6" t="s">
        <v>289</v>
      </c>
      <c r="BVN6" t="s">
        <v>289</v>
      </c>
      <c r="BVO6" t="s">
        <v>289</v>
      </c>
      <c r="BVP6" t="s">
        <v>289</v>
      </c>
      <c r="BVQ6" t="s">
        <v>289</v>
      </c>
      <c r="BVR6" t="s">
        <v>289</v>
      </c>
      <c r="BVS6" t="s">
        <v>289</v>
      </c>
      <c r="BVT6" t="s">
        <v>289</v>
      </c>
      <c r="BVU6" t="s">
        <v>289</v>
      </c>
      <c r="BVV6" t="s">
        <v>289</v>
      </c>
      <c r="BVW6" t="s">
        <v>289</v>
      </c>
      <c r="BVX6" t="s">
        <v>289</v>
      </c>
      <c r="BVY6" t="s">
        <v>289</v>
      </c>
      <c r="BVZ6" t="s">
        <v>289</v>
      </c>
      <c r="BWA6" t="s">
        <v>289</v>
      </c>
      <c r="BWB6" t="s">
        <v>289</v>
      </c>
      <c r="BWC6" t="s">
        <v>289</v>
      </c>
      <c r="BWD6">
        <v>1795</v>
      </c>
      <c r="BWE6">
        <v>1834</v>
      </c>
      <c r="BWF6">
        <v>2027</v>
      </c>
      <c r="BWG6">
        <v>1915</v>
      </c>
      <c r="BWH6">
        <v>1812</v>
      </c>
      <c r="BWI6">
        <v>1721</v>
      </c>
      <c r="BWJ6">
        <v>2044</v>
      </c>
      <c r="BWK6">
        <v>2370</v>
      </c>
      <c r="BWL6">
        <v>2590</v>
      </c>
      <c r="BWM6">
        <v>2598</v>
      </c>
      <c r="BWN6">
        <v>2658</v>
      </c>
      <c r="BWO6">
        <v>2569</v>
      </c>
      <c r="BWP6">
        <v>2365</v>
      </c>
      <c r="BWQ6" t="s">
        <v>289</v>
      </c>
      <c r="BWR6">
        <v>1676</v>
      </c>
      <c r="BWS6">
        <v>2034</v>
      </c>
      <c r="BWT6">
        <v>1963</v>
      </c>
      <c r="BWU6">
        <v>1850</v>
      </c>
      <c r="BWV6">
        <v>1858</v>
      </c>
      <c r="BWW6">
        <v>1795</v>
      </c>
      <c r="BWX6">
        <v>1834</v>
      </c>
      <c r="BWY6">
        <v>2027</v>
      </c>
      <c r="BWZ6">
        <v>1915</v>
      </c>
      <c r="BXA6">
        <v>1812</v>
      </c>
      <c r="BXB6">
        <v>1721</v>
      </c>
      <c r="BXC6">
        <v>2044</v>
      </c>
      <c r="BXD6">
        <v>2370</v>
      </c>
      <c r="BXE6">
        <v>2590</v>
      </c>
      <c r="BXF6">
        <v>2598</v>
      </c>
      <c r="BXG6">
        <v>2658</v>
      </c>
      <c r="BXH6">
        <v>2569</v>
      </c>
      <c r="BXI6">
        <v>2365</v>
      </c>
      <c r="BXJ6" t="s">
        <v>289</v>
      </c>
      <c r="BXK6" t="s">
        <v>289</v>
      </c>
      <c r="BXL6" t="s">
        <v>289</v>
      </c>
      <c r="BXM6" t="s">
        <v>289</v>
      </c>
      <c r="BXN6" t="s">
        <v>289</v>
      </c>
      <c r="BXO6" t="s">
        <v>289</v>
      </c>
      <c r="BXP6">
        <v>0</v>
      </c>
      <c r="BXQ6">
        <v>0</v>
      </c>
      <c r="BXR6">
        <v>0</v>
      </c>
      <c r="BXS6">
        <v>0</v>
      </c>
      <c r="BXT6">
        <v>0</v>
      </c>
      <c r="BXU6">
        <v>0</v>
      </c>
      <c r="BXV6">
        <v>0</v>
      </c>
      <c r="BXW6">
        <v>0</v>
      </c>
      <c r="BXX6">
        <v>0</v>
      </c>
      <c r="BXY6">
        <v>0</v>
      </c>
      <c r="BXZ6">
        <v>0</v>
      </c>
      <c r="BYA6">
        <v>0</v>
      </c>
      <c r="BYB6">
        <v>0</v>
      </c>
      <c r="BYC6" t="s">
        <v>289</v>
      </c>
      <c r="BYD6" t="s">
        <v>289</v>
      </c>
      <c r="BYE6" t="s">
        <v>289</v>
      </c>
      <c r="BYF6" t="s">
        <v>289</v>
      </c>
      <c r="BYG6" t="s">
        <v>289</v>
      </c>
      <c r="BYH6" t="s">
        <v>289</v>
      </c>
      <c r="BYI6" t="s">
        <v>289</v>
      </c>
      <c r="BYJ6" t="s">
        <v>289</v>
      </c>
      <c r="BYK6" t="s">
        <v>289</v>
      </c>
      <c r="BYL6" t="s">
        <v>289</v>
      </c>
      <c r="BYM6" t="s">
        <v>289</v>
      </c>
      <c r="BYN6" t="s">
        <v>289</v>
      </c>
      <c r="BYO6" t="s">
        <v>289</v>
      </c>
      <c r="BYP6" t="s">
        <v>289</v>
      </c>
      <c r="BYQ6" t="s">
        <v>289</v>
      </c>
      <c r="BYR6" t="s">
        <v>289</v>
      </c>
      <c r="BYS6" t="s">
        <v>289</v>
      </c>
      <c r="BYT6" t="s">
        <v>289</v>
      </c>
      <c r="BYU6" t="s">
        <v>289</v>
      </c>
      <c r="BYV6" t="s">
        <v>289</v>
      </c>
      <c r="BYW6" t="s">
        <v>289</v>
      </c>
      <c r="BYX6" t="s">
        <v>289</v>
      </c>
      <c r="BYY6" t="s">
        <v>289</v>
      </c>
      <c r="BYZ6" t="s">
        <v>289</v>
      </c>
      <c r="BZA6" t="s">
        <v>289</v>
      </c>
      <c r="BZB6" t="s">
        <v>289</v>
      </c>
      <c r="BZC6" t="s">
        <v>289</v>
      </c>
      <c r="BZD6" t="s">
        <v>289</v>
      </c>
      <c r="BZE6" t="s">
        <v>289</v>
      </c>
      <c r="BZF6" t="s">
        <v>289</v>
      </c>
      <c r="BZG6" t="s">
        <v>289</v>
      </c>
      <c r="BZH6" t="s">
        <v>289</v>
      </c>
      <c r="BZI6" t="s">
        <v>289</v>
      </c>
      <c r="BZJ6" t="s">
        <v>289</v>
      </c>
      <c r="BZK6" t="s">
        <v>289</v>
      </c>
      <c r="BZL6" t="s">
        <v>289</v>
      </c>
      <c r="BZM6" t="s">
        <v>289</v>
      </c>
      <c r="BZN6" t="s">
        <v>289</v>
      </c>
      <c r="BZO6" t="s">
        <v>289</v>
      </c>
      <c r="BZP6" t="s">
        <v>289</v>
      </c>
      <c r="BZQ6" t="s">
        <v>289</v>
      </c>
      <c r="BZR6" t="s">
        <v>289</v>
      </c>
      <c r="BZS6" t="s">
        <v>289</v>
      </c>
      <c r="BZT6" t="s">
        <v>289</v>
      </c>
      <c r="BZU6" t="s">
        <v>289</v>
      </c>
      <c r="BZV6" t="s">
        <v>289</v>
      </c>
      <c r="BZW6" t="s">
        <v>289</v>
      </c>
      <c r="BZX6" t="s">
        <v>289</v>
      </c>
      <c r="BZY6" t="s">
        <v>289</v>
      </c>
      <c r="BZZ6" t="s">
        <v>289</v>
      </c>
      <c r="CAA6" t="s">
        <v>289</v>
      </c>
      <c r="CAB6" t="s">
        <v>289</v>
      </c>
      <c r="CAC6" t="s">
        <v>289</v>
      </c>
      <c r="CAD6" t="s">
        <v>289</v>
      </c>
      <c r="CAE6" t="s">
        <v>289</v>
      </c>
      <c r="CAF6" t="s">
        <v>289</v>
      </c>
      <c r="CAG6" t="s">
        <v>289</v>
      </c>
      <c r="CAH6" t="s">
        <v>289</v>
      </c>
      <c r="CAI6" t="s">
        <v>289</v>
      </c>
      <c r="CAJ6" t="s">
        <v>289</v>
      </c>
      <c r="CAK6" t="s">
        <v>289</v>
      </c>
      <c r="CAL6" t="s">
        <v>289</v>
      </c>
      <c r="CAM6" t="s">
        <v>289</v>
      </c>
      <c r="CAN6" t="s">
        <v>289</v>
      </c>
      <c r="CAO6" t="s">
        <v>289</v>
      </c>
      <c r="CAP6" t="s">
        <v>289</v>
      </c>
      <c r="CAQ6" t="s">
        <v>289</v>
      </c>
      <c r="CAR6" t="s">
        <v>289</v>
      </c>
      <c r="CAS6" t="s">
        <v>289</v>
      </c>
      <c r="CAT6" t="s">
        <v>289</v>
      </c>
      <c r="CAU6" t="s">
        <v>289</v>
      </c>
      <c r="CAV6" t="s">
        <v>289</v>
      </c>
      <c r="CAW6" t="s">
        <v>289</v>
      </c>
      <c r="CAX6" t="s">
        <v>289</v>
      </c>
      <c r="CAY6" t="s">
        <v>289</v>
      </c>
      <c r="CAZ6" t="s">
        <v>289</v>
      </c>
      <c r="CBA6" t="s">
        <v>289</v>
      </c>
      <c r="CBB6" t="s">
        <v>289</v>
      </c>
      <c r="CBC6">
        <v>4529</v>
      </c>
      <c r="CBD6">
        <v>2400</v>
      </c>
      <c r="CBE6">
        <v>2462</v>
      </c>
      <c r="CBF6">
        <v>2235</v>
      </c>
      <c r="CBG6">
        <v>1795</v>
      </c>
      <c r="CBH6">
        <v>1834</v>
      </c>
      <c r="CBI6">
        <v>2027</v>
      </c>
      <c r="CBJ6">
        <v>1915</v>
      </c>
      <c r="CBK6">
        <v>1812</v>
      </c>
      <c r="CBL6">
        <v>1721</v>
      </c>
      <c r="CBM6">
        <v>2044</v>
      </c>
      <c r="CBN6">
        <v>2370</v>
      </c>
      <c r="CBO6">
        <v>2590</v>
      </c>
      <c r="CBP6">
        <v>2598</v>
      </c>
      <c r="CBQ6">
        <v>2658</v>
      </c>
      <c r="CBR6">
        <v>2569</v>
      </c>
      <c r="CBS6">
        <v>2365</v>
      </c>
      <c r="CBT6" t="s">
        <v>289</v>
      </c>
      <c r="CBU6" t="s">
        <v>289</v>
      </c>
      <c r="CBV6" t="s">
        <v>289</v>
      </c>
      <c r="CBW6" t="s">
        <v>289</v>
      </c>
      <c r="CBX6" t="s">
        <v>289</v>
      </c>
      <c r="CBY6" t="s">
        <v>289</v>
      </c>
      <c r="CBZ6" t="s">
        <v>289</v>
      </c>
      <c r="CCA6" t="s">
        <v>289</v>
      </c>
      <c r="CCB6" t="s">
        <v>289</v>
      </c>
      <c r="CCC6" t="s">
        <v>289</v>
      </c>
      <c r="CCD6" t="s">
        <v>289</v>
      </c>
      <c r="CCE6" t="s">
        <v>289</v>
      </c>
      <c r="CCF6" t="s">
        <v>289</v>
      </c>
      <c r="CCG6" t="s">
        <v>289</v>
      </c>
      <c r="CCH6" t="s">
        <v>289</v>
      </c>
      <c r="CCI6" t="s">
        <v>289</v>
      </c>
      <c r="CCJ6" t="s">
        <v>289</v>
      </c>
      <c r="CCK6" t="s">
        <v>289</v>
      </c>
      <c r="CCL6" t="s">
        <v>289</v>
      </c>
      <c r="CCM6" t="s">
        <v>289</v>
      </c>
      <c r="CCN6" t="s">
        <v>289</v>
      </c>
      <c r="CCO6" t="s">
        <v>289</v>
      </c>
      <c r="CCP6" t="s">
        <v>289</v>
      </c>
      <c r="CCQ6" t="s">
        <v>289</v>
      </c>
      <c r="CCR6" t="s">
        <v>289</v>
      </c>
      <c r="CCS6" t="s">
        <v>289</v>
      </c>
      <c r="CCT6" t="s">
        <v>289</v>
      </c>
      <c r="CCU6" t="s">
        <v>289</v>
      </c>
      <c r="CCV6" t="s">
        <v>289</v>
      </c>
      <c r="CCW6" t="s">
        <v>289</v>
      </c>
      <c r="CCX6" t="s">
        <v>289</v>
      </c>
      <c r="CCY6" t="s">
        <v>289</v>
      </c>
      <c r="CCZ6" t="s">
        <v>289</v>
      </c>
      <c r="CDA6" t="s">
        <v>289</v>
      </c>
      <c r="CDB6" t="s">
        <v>289</v>
      </c>
      <c r="CDC6" t="s">
        <v>289</v>
      </c>
      <c r="CDD6" t="s">
        <v>289</v>
      </c>
      <c r="CDE6" t="s">
        <v>289</v>
      </c>
      <c r="CDF6" t="s">
        <v>289</v>
      </c>
      <c r="CDG6" t="s">
        <v>289</v>
      </c>
      <c r="CDH6" t="s">
        <v>289</v>
      </c>
      <c r="CDI6" t="s">
        <v>289</v>
      </c>
      <c r="CDJ6" t="s">
        <v>289</v>
      </c>
      <c r="CDK6" t="s">
        <v>289</v>
      </c>
      <c r="CDL6" t="s">
        <v>289</v>
      </c>
      <c r="CDM6" t="s">
        <v>289</v>
      </c>
      <c r="CDN6" t="s">
        <v>289</v>
      </c>
      <c r="CDO6" t="s">
        <v>289</v>
      </c>
      <c r="CDP6" t="s">
        <v>289</v>
      </c>
      <c r="CDQ6" t="s">
        <v>289</v>
      </c>
      <c r="CDR6" t="s">
        <v>289</v>
      </c>
      <c r="CDS6" t="s">
        <v>289</v>
      </c>
      <c r="CDT6" t="s">
        <v>289</v>
      </c>
      <c r="CDU6" t="s">
        <v>289</v>
      </c>
      <c r="CDV6" t="s">
        <v>289</v>
      </c>
      <c r="CDW6" t="s">
        <v>289</v>
      </c>
      <c r="CDX6" t="s">
        <v>289</v>
      </c>
      <c r="CDY6" t="s">
        <v>289</v>
      </c>
      <c r="CDZ6" t="s">
        <v>289</v>
      </c>
      <c r="CEA6" t="s">
        <v>289</v>
      </c>
      <c r="CEB6" t="s">
        <v>289</v>
      </c>
      <c r="CEC6" t="s">
        <v>289</v>
      </c>
      <c r="CED6" t="s">
        <v>289</v>
      </c>
      <c r="CEE6" t="s">
        <v>289</v>
      </c>
      <c r="CEF6" t="s">
        <v>289</v>
      </c>
      <c r="CEG6" t="s">
        <v>289</v>
      </c>
      <c r="CEH6" t="s">
        <v>289</v>
      </c>
      <c r="CEI6" t="s">
        <v>289</v>
      </c>
      <c r="CEJ6" t="s">
        <v>289</v>
      </c>
      <c r="CEK6" t="s">
        <v>289</v>
      </c>
      <c r="CEL6" t="s">
        <v>289</v>
      </c>
      <c r="CEM6" t="s">
        <v>289</v>
      </c>
      <c r="CEN6" t="s">
        <v>289</v>
      </c>
      <c r="CEO6" t="s">
        <v>289</v>
      </c>
      <c r="CEP6" t="s">
        <v>289</v>
      </c>
      <c r="CEQ6" t="s">
        <v>289</v>
      </c>
      <c r="CER6" t="s">
        <v>289</v>
      </c>
      <c r="CES6" t="s">
        <v>289</v>
      </c>
      <c r="CET6" t="s">
        <v>289</v>
      </c>
      <c r="CEU6" t="s">
        <v>289</v>
      </c>
      <c r="CEV6" t="s">
        <v>289</v>
      </c>
      <c r="CEW6" t="s">
        <v>289</v>
      </c>
      <c r="CEX6" t="s">
        <v>289</v>
      </c>
      <c r="CEY6" t="s">
        <v>289</v>
      </c>
      <c r="CEZ6" t="s">
        <v>289</v>
      </c>
      <c r="CFA6" t="s">
        <v>289</v>
      </c>
      <c r="CFB6" t="s">
        <v>289</v>
      </c>
      <c r="CFC6" t="s">
        <v>289</v>
      </c>
      <c r="CFD6" t="s">
        <v>289</v>
      </c>
      <c r="CFE6" t="s">
        <v>289</v>
      </c>
      <c r="CFF6" t="s">
        <v>289</v>
      </c>
      <c r="CFG6" t="s">
        <v>289</v>
      </c>
      <c r="CFH6" t="s">
        <v>289</v>
      </c>
      <c r="CFI6" t="s">
        <v>289</v>
      </c>
      <c r="CFJ6" t="s">
        <v>289</v>
      </c>
      <c r="CFK6" t="s">
        <v>289</v>
      </c>
      <c r="CFL6" t="s">
        <v>289</v>
      </c>
      <c r="CFM6" t="s">
        <v>289</v>
      </c>
      <c r="CFN6" t="s">
        <v>289</v>
      </c>
      <c r="CFO6" t="s">
        <v>289</v>
      </c>
      <c r="CFP6" t="s">
        <v>289</v>
      </c>
      <c r="CFQ6" t="s">
        <v>289</v>
      </c>
      <c r="CFR6" t="s">
        <v>289</v>
      </c>
      <c r="CFS6" t="s">
        <v>289</v>
      </c>
      <c r="CFT6" t="s">
        <v>289</v>
      </c>
      <c r="CFU6" t="s">
        <v>289</v>
      </c>
      <c r="CFV6" t="s">
        <v>289</v>
      </c>
      <c r="CFW6" t="s">
        <v>289</v>
      </c>
      <c r="CFX6" t="s">
        <v>289</v>
      </c>
      <c r="CFY6" t="s">
        <v>289</v>
      </c>
      <c r="CFZ6" t="s">
        <v>289</v>
      </c>
      <c r="CGA6" t="s">
        <v>289</v>
      </c>
      <c r="CGB6" t="s">
        <v>289</v>
      </c>
      <c r="CGC6" t="s">
        <v>289</v>
      </c>
      <c r="CGD6" t="s">
        <v>289</v>
      </c>
      <c r="CGE6">
        <v>-1742</v>
      </c>
      <c r="CGF6">
        <v>-2518</v>
      </c>
      <c r="CGG6">
        <v>-2671</v>
      </c>
      <c r="CGH6">
        <v>-2126</v>
      </c>
      <c r="CGI6">
        <v>-1251</v>
      </c>
      <c r="CGJ6">
        <v>1493</v>
      </c>
      <c r="CGK6">
        <v>-3408</v>
      </c>
      <c r="CGL6">
        <v>-1788</v>
      </c>
      <c r="CGM6">
        <v>-2584</v>
      </c>
      <c r="CGN6">
        <v>-1582</v>
      </c>
      <c r="CGO6">
        <v>-1499</v>
      </c>
      <c r="CGP6">
        <v>-1408</v>
      </c>
      <c r="CGQ6">
        <v>-1662</v>
      </c>
      <c r="CGR6">
        <v>-2849</v>
      </c>
      <c r="CGS6">
        <v>-1560</v>
      </c>
      <c r="CGT6">
        <v>246</v>
      </c>
      <c r="CGU6">
        <v>5313</v>
      </c>
      <c r="CGV6">
        <v>-500</v>
      </c>
      <c r="CGW6" t="s">
        <v>289</v>
      </c>
      <c r="CGX6">
        <v>1923</v>
      </c>
      <c r="CGY6">
        <v>2597</v>
      </c>
      <c r="CGZ6">
        <v>2277</v>
      </c>
      <c r="CHA6">
        <v>1675</v>
      </c>
      <c r="CHB6">
        <v>437</v>
      </c>
      <c r="CHC6">
        <v>-1561</v>
      </c>
      <c r="CHD6">
        <v>1289</v>
      </c>
      <c r="CHE6">
        <v>1524</v>
      </c>
      <c r="CHF6">
        <v>1504</v>
      </c>
      <c r="CHG6">
        <v>1444</v>
      </c>
      <c r="CHH6">
        <v>1362</v>
      </c>
      <c r="CHI6">
        <v>1371</v>
      </c>
      <c r="CHJ6">
        <v>1638</v>
      </c>
      <c r="CHK6">
        <v>2799</v>
      </c>
      <c r="CHL6">
        <v>1540</v>
      </c>
      <c r="CHM6">
        <v>242</v>
      </c>
      <c r="CHN6">
        <v>-4970</v>
      </c>
      <c r="CHO6">
        <v>515</v>
      </c>
      <c r="CHP6" t="s">
        <v>289</v>
      </c>
      <c r="CHQ6">
        <v>696</v>
      </c>
      <c r="CHR6">
        <v>577</v>
      </c>
      <c r="CHS6">
        <v>563</v>
      </c>
      <c r="CHT6">
        <v>606</v>
      </c>
      <c r="CHU6">
        <v>982</v>
      </c>
      <c r="CHV6">
        <v>206</v>
      </c>
      <c r="CHW6">
        <v>1017</v>
      </c>
      <c r="CHX6">
        <v>788</v>
      </c>
      <c r="CHY6">
        <v>856</v>
      </c>
      <c r="CHZ6">
        <v>1386</v>
      </c>
      <c r="CIA6">
        <v>1372</v>
      </c>
      <c r="CIB6">
        <v>1403</v>
      </c>
      <c r="CIC6">
        <v>1310</v>
      </c>
      <c r="CID6">
        <v>1333</v>
      </c>
      <c r="CIE6">
        <v>880</v>
      </c>
      <c r="CIF6">
        <v>1023</v>
      </c>
      <c r="CIG6">
        <v>1158</v>
      </c>
      <c r="CIH6">
        <v>317</v>
      </c>
      <c r="CII6" t="s">
        <v>289</v>
      </c>
      <c r="CIJ6" t="s">
        <v>289</v>
      </c>
      <c r="CIK6" t="s">
        <v>289</v>
      </c>
      <c r="CIL6" t="s">
        <v>289</v>
      </c>
      <c r="CIM6" t="s">
        <v>289</v>
      </c>
      <c r="CIN6" t="s">
        <v>289</v>
      </c>
      <c r="CIO6" t="s">
        <v>289</v>
      </c>
      <c r="CIP6" t="s">
        <v>289</v>
      </c>
      <c r="CIQ6" t="s">
        <v>289</v>
      </c>
      <c r="CIR6" t="s">
        <v>289</v>
      </c>
      <c r="CIS6" t="s">
        <v>289</v>
      </c>
      <c r="CIT6" t="s">
        <v>289</v>
      </c>
      <c r="CIU6" t="s">
        <v>289</v>
      </c>
      <c r="CIV6" t="s">
        <v>289</v>
      </c>
      <c r="CIW6" t="s">
        <v>289</v>
      </c>
      <c r="CIX6" t="s">
        <v>289</v>
      </c>
      <c r="CIY6" t="s">
        <v>289</v>
      </c>
      <c r="CIZ6" t="s">
        <v>289</v>
      </c>
      <c r="CJA6" t="s">
        <v>289</v>
      </c>
      <c r="CJB6" t="s">
        <v>289</v>
      </c>
      <c r="CJC6" t="s">
        <v>289</v>
      </c>
      <c r="CJD6" t="s">
        <v>289</v>
      </c>
      <c r="CJE6" t="s">
        <v>289</v>
      </c>
      <c r="CJF6" t="s">
        <v>289</v>
      </c>
      <c r="CJG6" t="s">
        <v>289</v>
      </c>
      <c r="CJH6" t="s">
        <v>289</v>
      </c>
      <c r="CJI6" t="s">
        <v>289</v>
      </c>
      <c r="CJJ6" t="s">
        <v>289</v>
      </c>
      <c r="CJK6" t="s">
        <v>289</v>
      </c>
      <c r="CJL6" t="s">
        <v>289</v>
      </c>
      <c r="CJM6" t="s">
        <v>289</v>
      </c>
      <c r="CJN6" t="s">
        <v>289</v>
      </c>
      <c r="CJO6" t="s">
        <v>289</v>
      </c>
      <c r="CJP6" t="s">
        <v>289</v>
      </c>
      <c r="CJQ6" t="s">
        <v>289</v>
      </c>
      <c r="CJR6" t="s">
        <v>289</v>
      </c>
      <c r="CJS6" t="s">
        <v>289</v>
      </c>
      <c r="CJT6" t="s">
        <v>289</v>
      </c>
      <c r="CJU6" t="s">
        <v>289</v>
      </c>
      <c r="CJV6" t="s">
        <v>289</v>
      </c>
      <c r="CJW6" t="s">
        <v>289</v>
      </c>
      <c r="CJX6" t="s">
        <v>289</v>
      </c>
      <c r="CJY6" t="s">
        <v>289</v>
      </c>
      <c r="CJZ6" t="s">
        <v>289</v>
      </c>
      <c r="CKA6" t="s">
        <v>289</v>
      </c>
      <c r="CKB6" t="s">
        <v>289</v>
      </c>
      <c r="CKC6" t="s">
        <v>289</v>
      </c>
      <c r="CKD6" t="s">
        <v>289</v>
      </c>
      <c r="CKE6" t="s">
        <v>289</v>
      </c>
      <c r="CKF6" t="s">
        <v>289</v>
      </c>
      <c r="CKG6" t="s">
        <v>289</v>
      </c>
      <c r="CKH6" t="s">
        <v>289</v>
      </c>
      <c r="CKI6" t="s">
        <v>289</v>
      </c>
      <c r="CKJ6" t="s">
        <v>289</v>
      </c>
      <c r="CKK6" t="s">
        <v>289</v>
      </c>
      <c r="CKL6" t="s">
        <v>289</v>
      </c>
      <c r="CKM6" t="s">
        <v>289</v>
      </c>
      <c r="CKN6" t="s">
        <v>289</v>
      </c>
      <c r="CKO6" t="s">
        <v>289</v>
      </c>
      <c r="CKP6" t="s">
        <v>289</v>
      </c>
      <c r="CKQ6" t="s">
        <v>289</v>
      </c>
      <c r="CKR6" t="s">
        <v>289</v>
      </c>
      <c r="CKS6" t="s">
        <v>289</v>
      </c>
      <c r="CKT6" t="s">
        <v>289</v>
      </c>
      <c r="CKU6" t="s">
        <v>289</v>
      </c>
      <c r="CKV6" t="s">
        <v>289</v>
      </c>
      <c r="CKW6" t="s">
        <v>289</v>
      </c>
      <c r="CKX6" t="s">
        <v>289</v>
      </c>
      <c r="CKY6" t="s">
        <v>289</v>
      </c>
      <c r="CKZ6" t="s">
        <v>289</v>
      </c>
      <c r="CLA6" t="s">
        <v>289</v>
      </c>
      <c r="CLB6" t="s">
        <v>289</v>
      </c>
      <c r="CLC6" t="s">
        <v>289</v>
      </c>
      <c r="CLD6" t="s">
        <v>289</v>
      </c>
      <c r="CLE6" t="s">
        <v>289</v>
      </c>
      <c r="CLF6" t="s">
        <v>289</v>
      </c>
      <c r="CLG6" t="s">
        <v>289</v>
      </c>
      <c r="CLH6" t="s">
        <v>289</v>
      </c>
      <c r="CLI6" t="s">
        <v>289</v>
      </c>
      <c r="CLJ6" t="s">
        <v>289</v>
      </c>
      <c r="CLK6" t="s">
        <v>289</v>
      </c>
      <c r="CLL6" t="s">
        <v>289</v>
      </c>
      <c r="CLM6" t="s">
        <v>289</v>
      </c>
      <c r="CLN6" t="s">
        <v>289</v>
      </c>
      <c r="CLO6" t="s">
        <v>289</v>
      </c>
      <c r="CLP6" t="s">
        <v>289</v>
      </c>
      <c r="CLQ6" t="s">
        <v>289</v>
      </c>
      <c r="CLR6" t="s">
        <v>289</v>
      </c>
      <c r="CLS6" t="s">
        <v>289</v>
      </c>
      <c r="CLT6" t="s">
        <v>289</v>
      </c>
      <c r="CLU6" t="s">
        <v>289</v>
      </c>
      <c r="CLV6" t="s">
        <v>289</v>
      </c>
      <c r="CLW6" t="s">
        <v>289</v>
      </c>
      <c r="CLX6" t="s">
        <v>289</v>
      </c>
      <c r="CLY6" t="s">
        <v>289</v>
      </c>
      <c r="CLZ6" t="s">
        <v>289</v>
      </c>
      <c r="CMA6" t="s">
        <v>289</v>
      </c>
      <c r="CMB6" t="s">
        <v>289</v>
      </c>
      <c r="CMC6" t="s">
        <v>289</v>
      </c>
      <c r="CMD6" t="s">
        <v>289</v>
      </c>
      <c r="CME6" t="s">
        <v>289</v>
      </c>
      <c r="CMF6" t="s">
        <v>289</v>
      </c>
      <c r="CMG6" t="s">
        <v>289</v>
      </c>
      <c r="CMH6" t="s">
        <v>289</v>
      </c>
      <c r="CMI6" t="s">
        <v>289</v>
      </c>
      <c r="CMJ6" t="s">
        <v>289</v>
      </c>
      <c r="CMK6" t="s">
        <v>289</v>
      </c>
      <c r="CML6" t="s">
        <v>289</v>
      </c>
      <c r="CMM6" t="s">
        <v>289</v>
      </c>
      <c r="CMN6" t="s">
        <v>289</v>
      </c>
      <c r="CMO6" t="s">
        <v>289</v>
      </c>
      <c r="CMP6" t="s">
        <v>289</v>
      </c>
      <c r="CMQ6" t="s">
        <v>289</v>
      </c>
      <c r="CMR6" t="s">
        <v>289</v>
      </c>
      <c r="CMS6" t="s">
        <v>289</v>
      </c>
      <c r="CMT6" t="s">
        <v>289</v>
      </c>
      <c r="CMU6" t="s">
        <v>289</v>
      </c>
      <c r="CMV6" t="s">
        <v>289</v>
      </c>
      <c r="CMW6" t="s">
        <v>289</v>
      </c>
      <c r="CMX6" t="s">
        <v>289</v>
      </c>
      <c r="CMY6" t="s">
        <v>289</v>
      </c>
      <c r="CMZ6" t="s">
        <v>289</v>
      </c>
      <c r="CNA6" t="s">
        <v>289</v>
      </c>
      <c r="CNB6" t="s">
        <v>289</v>
      </c>
      <c r="CNC6" t="s">
        <v>289</v>
      </c>
      <c r="CND6" t="s">
        <v>289</v>
      </c>
      <c r="CNE6" t="s">
        <v>289</v>
      </c>
      <c r="CNF6" t="s">
        <v>289</v>
      </c>
      <c r="CNG6" t="s">
        <v>289</v>
      </c>
      <c r="CNH6" t="s">
        <v>289</v>
      </c>
      <c r="CNI6" t="s">
        <v>289</v>
      </c>
      <c r="CNJ6" t="s">
        <v>289</v>
      </c>
      <c r="CNK6" t="s">
        <v>289</v>
      </c>
      <c r="CNL6" t="s">
        <v>289</v>
      </c>
      <c r="CNM6">
        <v>5275</v>
      </c>
      <c r="CNN6">
        <v>5085</v>
      </c>
      <c r="CNO6">
        <v>2586</v>
      </c>
      <c r="CNP6">
        <v>4745</v>
      </c>
      <c r="CNQ6">
        <v>-243</v>
      </c>
      <c r="CNR6">
        <v>6040</v>
      </c>
      <c r="CNS6">
        <v>1970</v>
      </c>
      <c r="CNT6">
        <v>3353</v>
      </c>
      <c r="CNU6">
        <v>3876</v>
      </c>
      <c r="CNV6">
        <v>3572</v>
      </c>
      <c r="CNW6">
        <v>3972</v>
      </c>
      <c r="CNX6">
        <v>6035</v>
      </c>
      <c r="CNY6">
        <v>4389</v>
      </c>
      <c r="CNZ6">
        <v>5702</v>
      </c>
      <c r="COA6">
        <v>6285</v>
      </c>
      <c r="COB6">
        <v>5710</v>
      </c>
      <c r="COC6">
        <v>-5099</v>
      </c>
      <c r="COD6">
        <v>2409</v>
      </c>
      <c r="COE6" t="s">
        <v>289</v>
      </c>
      <c r="COF6">
        <v>1477.7073</v>
      </c>
      <c r="COG6">
        <v>1293.3065999999999</v>
      </c>
      <c r="COH6">
        <v>-1751.4121</v>
      </c>
      <c r="COI6">
        <v>444.0077</v>
      </c>
      <c r="COJ6">
        <v>-4318.4034000000001</v>
      </c>
      <c r="COK6" t="s">
        <v>289</v>
      </c>
      <c r="COL6">
        <v>1327.8263999999999</v>
      </c>
      <c r="COM6">
        <v>1787.9309000000001</v>
      </c>
      <c r="CON6">
        <v>1944.5941</v>
      </c>
      <c r="COO6">
        <v>2168.2606000000001</v>
      </c>
      <c r="COP6">
        <v>2702.2624000000001</v>
      </c>
      <c r="COQ6">
        <v>4417.4137000000001</v>
      </c>
      <c r="COR6">
        <v>2469.6626999999999</v>
      </c>
      <c r="COS6">
        <v>3658.7022999999999</v>
      </c>
      <c r="COT6">
        <v>3848.3908000000001</v>
      </c>
      <c r="COU6">
        <v>2679.9789999999998</v>
      </c>
      <c r="COV6" t="s">
        <v>289</v>
      </c>
      <c r="COW6">
        <v>1295.7179000000001</v>
      </c>
      <c r="COX6" t="s">
        <v>289</v>
      </c>
      <c r="COY6">
        <v>-241</v>
      </c>
      <c r="COZ6">
        <v>51</v>
      </c>
      <c r="CPA6">
        <v>-3449</v>
      </c>
      <c r="CPB6">
        <v>-442</v>
      </c>
      <c r="CPC6">
        <v>-937</v>
      </c>
      <c r="CPD6">
        <v>3088</v>
      </c>
      <c r="CPE6">
        <v>-4501</v>
      </c>
      <c r="CPF6">
        <v>-1876</v>
      </c>
      <c r="CPG6">
        <v>-2255</v>
      </c>
      <c r="CPH6">
        <v>-701</v>
      </c>
      <c r="CPI6">
        <v>-1140</v>
      </c>
      <c r="CPJ6">
        <v>228</v>
      </c>
      <c r="CPK6">
        <v>-1958</v>
      </c>
      <c r="CPL6">
        <v>-2716</v>
      </c>
      <c r="CPM6">
        <v>-846</v>
      </c>
      <c r="CPN6" t="s">
        <v>289</v>
      </c>
      <c r="CPO6" t="s">
        <v>289</v>
      </c>
      <c r="CPP6">
        <v>-2352</v>
      </c>
      <c r="CPQ6" t="s">
        <v>289</v>
      </c>
      <c r="CPR6" t="s">
        <v>289</v>
      </c>
      <c r="CPS6" t="s">
        <v>289</v>
      </c>
      <c r="CPT6" t="s">
        <v>289</v>
      </c>
      <c r="CPU6" t="s">
        <v>289</v>
      </c>
      <c r="CPV6" t="s">
        <v>289</v>
      </c>
      <c r="CPW6" t="s">
        <v>289</v>
      </c>
      <c r="CPX6" t="s">
        <v>289</v>
      </c>
      <c r="CPY6" t="s">
        <v>289</v>
      </c>
      <c r="CPZ6" t="s">
        <v>289</v>
      </c>
      <c r="CQA6" t="s">
        <v>289</v>
      </c>
      <c r="CQB6" t="s">
        <v>289</v>
      </c>
      <c r="CQC6" t="s">
        <v>289</v>
      </c>
      <c r="CQD6" t="s">
        <v>289</v>
      </c>
      <c r="CQE6" t="s">
        <v>289</v>
      </c>
      <c r="CQF6" t="s">
        <v>289</v>
      </c>
      <c r="CQG6" t="s">
        <v>289</v>
      </c>
      <c r="CQH6" t="s">
        <v>289</v>
      </c>
      <c r="CQI6" t="s">
        <v>289</v>
      </c>
      <c r="CQJ6" t="s">
        <v>289</v>
      </c>
      <c r="CQK6" t="s">
        <v>289</v>
      </c>
      <c r="CQL6" t="s">
        <v>289</v>
      </c>
      <c r="CQM6" t="s">
        <v>289</v>
      </c>
      <c r="CQN6" t="s">
        <v>289</v>
      </c>
      <c r="CQO6" t="s">
        <v>289</v>
      </c>
      <c r="CQP6">
        <v>119</v>
      </c>
      <c r="CQQ6">
        <v>-81</v>
      </c>
      <c r="CQR6">
        <v>-89</v>
      </c>
      <c r="CQS6">
        <v>-45</v>
      </c>
      <c r="CQT6">
        <v>10</v>
      </c>
      <c r="CQU6">
        <v>-14</v>
      </c>
      <c r="CQV6">
        <v>58</v>
      </c>
      <c r="CQW6">
        <v>110</v>
      </c>
      <c r="CQX6">
        <v>56</v>
      </c>
      <c r="CQY6">
        <v>208</v>
      </c>
      <c r="CQZ6">
        <v>231</v>
      </c>
      <c r="CRA6">
        <v>282</v>
      </c>
      <c r="CRB6">
        <v>47</v>
      </c>
      <c r="CRC6" t="s">
        <v>289</v>
      </c>
      <c r="CRD6" t="s">
        <v>289</v>
      </c>
      <c r="CRE6" t="s">
        <v>289</v>
      </c>
      <c r="CRF6" t="s">
        <v>289</v>
      </c>
      <c r="CRG6" t="s">
        <v>289</v>
      </c>
      <c r="CRH6" t="s">
        <v>289</v>
      </c>
      <c r="CRI6">
        <v>-156</v>
      </c>
      <c r="CRJ6">
        <v>420</v>
      </c>
      <c r="CRK6">
        <v>-193</v>
      </c>
      <c r="CRL6">
        <v>82</v>
      </c>
      <c r="CRM6">
        <v>964</v>
      </c>
      <c r="CRN6">
        <v>355</v>
      </c>
      <c r="CRO6">
        <v>-251</v>
      </c>
      <c r="CRP6">
        <v>605</v>
      </c>
      <c r="CRQ6">
        <v>-201</v>
      </c>
      <c r="CRR6">
        <v>204</v>
      </c>
      <c r="CRS6">
        <v>-115</v>
      </c>
      <c r="CRT6">
        <v>353</v>
      </c>
      <c r="CRU6">
        <v>-156</v>
      </c>
      <c r="CRV6" t="s">
        <v>289</v>
      </c>
      <c r="CRW6" t="s">
        <v>289</v>
      </c>
      <c r="CRX6" t="s">
        <v>289</v>
      </c>
      <c r="CRY6" t="s">
        <v>289</v>
      </c>
      <c r="CRZ6" t="s">
        <v>289</v>
      </c>
      <c r="CSA6" t="s">
        <v>289</v>
      </c>
      <c r="CSB6" t="s">
        <v>289</v>
      </c>
      <c r="CSC6" t="s">
        <v>289</v>
      </c>
      <c r="CSD6" t="s">
        <v>289</v>
      </c>
      <c r="CSE6" t="s">
        <v>289</v>
      </c>
      <c r="CSF6" t="s">
        <v>289</v>
      </c>
      <c r="CSG6" t="s">
        <v>289</v>
      </c>
      <c r="CSH6" t="s">
        <v>289</v>
      </c>
      <c r="CSI6" t="s">
        <v>289</v>
      </c>
      <c r="CSJ6" t="s">
        <v>289</v>
      </c>
      <c r="CSK6" t="s">
        <v>289</v>
      </c>
      <c r="CSL6" t="s">
        <v>289</v>
      </c>
      <c r="CSM6" t="s">
        <v>289</v>
      </c>
      <c r="CSN6" t="s">
        <v>289</v>
      </c>
      <c r="CSO6" t="s">
        <v>289</v>
      </c>
      <c r="CSP6" t="s">
        <v>289</v>
      </c>
      <c r="CSQ6" t="s">
        <v>289</v>
      </c>
      <c r="CSR6" t="s">
        <v>289</v>
      </c>
      <c r="CSS6" t="s">
        <v>289</v>
      </c>
      <c r="CST6" t="s">
        <v>289</v>
      </c>
      <c r="CSU6" t="s">
        <v>289</v>
      </c>
      <c r="CSV6" t="s">
        <v>289</v>
      </c>
      <c r="CSW6" t="s">
        <v>289</v>
      </c>
      <c r="CSX6" t="s">
        <v>289</v>
      </c>
      <c r="CSY6" t="s">
        <v>289</v>
      </c>
      <c r="CSZ6" t="s">
        <v>289</v>
      </c>
      <c r="CTA6" t="s">
        <v>289</v>
      </c>
      <c r="CTB6" t="s">
        <v>289</v>
      </c>
      <c r="CTC6" t="s">
        <v>289</v>
      </c>
      <c r="CTD6" t="s">
        <v>289</v>
      </c>
      <c r="CTE6" t="s">
        <v>289</v>
      </c>
      <c r="CTF6" t="s">
        <v>289</v>
      </c>
      <c r="CTG6" t="s">
        <v>289</v>
      </c>
      <c r="CTH6" t="s">
        <v>289</v>
      </c>
      <c r="CTI6" t="s">
        <v>289</v>
      </c>
      <c r="CTJ6" t="s">
        <v>289</v>
      </c>
      <c r="CTK6" t="s">
        <v>289</v>
      </c>
      <c r="CTL6" t="s">
        <v>289</v>
      </c>
      <c r="CTM6" t="s">
        <v>289</v>
      </c>
      <c r="CTN6" t="s">
        <v>289</v>
      </c>
      <c r="CTO6" t="s">
        <v>289</v>
      </c>
      <c r="CTP6" t="s">
        <v>289</v>
      </c>
      <c r="CTQ6" t="s">
        <v>289</v>
      </c>
      <c r="CTR6" t="s">
        <v>289</v>
      </c>
      <c r="CTS6" t="s">
        <v>289</v>
      </c>
      <c r="CTT6">
        <v>-416</v>
      </c>
      <c r="CTU6">
        <v>-416</v>
      </c>
      <c r="CTV6">
        <v>-451</v>
      </c>
      <c r="CTW6">
        <v>-332</v>
      </c>
      <c r="CTX6">
        <v>-368</v>
      </c>
      <c r="CTY6">
        <v>-352</v>
      </c>
      <c r="CTZ6">
        <v>-342</v>
      </c>
      <c r="CUA6" t="s">
        <v>289</v>
      </c>
      <c r="CUB6" t="s">
        <v>289</v>
      </c>
      <c r="CUC6" t="s">
        <v>289</v>
      </c>
      <c r="CUD6" t="s">
        <v>289</v>
      </c>
      <c r="CUE6" t="s">
        <v>289</v>
      </c>
      <c r="CUF6" t="s">
        <v>289</v>
      </c>
      <c r="CUG6" t="s">
        <v>289</v>
      </c>
      <c r="CUH6" t="s">
        <v>289</v>
      </c>
      <c r="CUI6" t="s">
        <v>289</v>
      </c>
      <c r="CUJ6" t="s">
        <v>289</v>
      </c>
      <c r="CUK6" t="s">
        <v>289</v>
      </c>
      <c r="CUL6" t="s">
        <v>289</v>
      </c>
      <c r="CUM6">
        <v>-492</v>
      </c>
      <c r="CUN6">
        <v>-603</v>
      </c>
      <c r="CUO6">
        <v>-716</v>
      </c>
      <c r="CUP6">
        <v>-657</v>
      </c>
      <c r="CUQ6">
        <v>-636</v>
      </c>
      <c r="CUR6">
        <v>-375</v>
      </c>
      <c r="CUS6">
        <v>-355</v>
      </c>
      <c r="CUT6" t="s">
        <v>289</v>
      </c>
      <c r="CUU6">
        <v>2622.3330000000001</v>
      </c>
      <c r="CUV6">
        <v>6266.3329999999996</v>
      </c>
      <c r="CUW6">
        <v>-1976.3330000000001</v>
      </c>
      <c r="CUX6">
        <v>2622.3330000000001</v>
      </c>
      <c r="CUY6">
        <v>55309.428999999996</v>
      </c>
      <c r="CUZ6">
        <v>-4661.1000000000004</v>
      </c>
      <c r="CVA6">
        <v>-882.33299999999997</v>
      </c>
      <c r="CVB6">
        <v>3621.7</v>
      </c>
      <c r="CVC6">
        <v>1421.4169999999999</v>
      </c>
      <c r="CVD6">
        <v>-882.33299999999997</v>
      </c>
      <c r="CVE6">
        <v>43763.4</v>
      </c>
      <c r="CVF6">
        <v>-3756.7269999999999</v>
      </c>
      <c r="CVG6">
        <v>1129.8330000000001</v>
      </c>
      <c r="CVH6">
        <v>5283.125</v>
      </c>
      <c r="CVI6">
        <v>2697.7</v>
      </c>
      <c r="CVJ6">
        <v>1129.8330000000001</v>
      </c>
      <c r="CVK6">
        <v>44969.1</v>
      </c>
      <c r="CVL6">
        <v>-3278.0909999999999</v>
      </c>
      <c r="CVM6">
        <v>2091.471</v>
      </c>
      <c r="CVN6">
        <v>5621.6670000000004</v>
      </c>
      <c r="CVO6">
        <v>1347.2860000000001</v>
      </c>
      <c r="CVP6">
        <v>2062.3679999999999</v>
      </c>
      <c r="CVQ6">
        <v>45163</v>
      </c>
      <c r="CVR6">
        <v>-3129.067</v>
      </c>
      <c r="CVS6">
        <v>2325.0949999999998</v>
      </c>
      <c r="CVT6">
        <v>6244.5259999999998</v>
      </c>
      <c r="CVU6">
        <v>-683.73299999999995</v>
      </c>
      <c r="CVV6">
        <v>2295.4349999999999</v>
      </c>
      <c r="CVW6">
        <v>48553.125</v>
      </c>
      <c r="CVX6">
        <v>-3337.4670000000001</v>
      </c>
      <c r="CVY6">
        <v>2754.8890000000001</v>
      </c>
      <c r="CVZ6">
        <v>6865.8670000000002</v>
      </c>
      <c r="CWA6">
        <v>-2067.1669999999999</v>
      </c>
      <c r="CWB6">
        <v>2710.2</v>
      </c>
      <c r="CWC6">
        <v>52238.1</v>
      </c>
      <c r="CWD6">
        <v>-3479.4549999999999</v>
      </c>
      <c r="CWE6">
        <v>3122.5</v>
      </c>
      <c r="CWF6">
        <v>7727.25</v>
      </c>
      <c r="CWG6">
        <v>-4587</v>
      </c>
      <c r="CWH6">
        <v>3122.5</v>
      </c>
      <c r="CWI6">
        <v>55227.375</v>
      </c>
      <c r="CWJ6">
        <v>-3556.1669999999999</v>
      </c>
      <c r="CWK6">
        <v>5275</v>
      </c>
      <c r="CWL6">
        <v>5085</v>
      </c>
      <c r="CWM6">
        <v>2586</v>
      </c>
      <c r="CWN6">
        <v>4745</v>
      </c>
      <c r="CWO6">
        <v>-243</v>
      </c>
      <c r="CWP6">
        <v>6040</v>
      </c>
      <c r="CWQ6">
        <v>1970</v>
      </c>
      <c r="CWR6">
        <v>3353</v>
      </c>
      <c r="CWS6">
        <v>3876</v>
      </c>
      <c r="CWT6">
        <v>3572</v>
      </c>
      <c r="CWU6">
        <v>3972</v>
      </c>
      <c r="CWV6">
        <v>6035</v>
      </c>
      <c r="CWW6">
        <v>4389</v>
      </c>
      <c r="CWX6">
        <v>5702</v>
      </c>
      <c r="CWY6">
        <v>6285</v>
      </c>
      <c r="CWZ6" t="s">
        <v>289</v>
      </c>
      <c r="CXA6" t="s">
        <v>289</v>
      </c>
      <c r="CXB6">
        <v>2409</v>
      </c>
      <c r="CXC6" t="s">
        <v>289</v>
      </c>
      <c r="CXD6" t="s">
        <v>289</v>
      </c>
      <c r="CXE6" t="s">
        <v>289</v>
      </c>
      <c r="CXF6" t="s">
        <v>289</v>
      </c>
      <c r="CXG6" t="s">
        <v>289</v>
      </c>
      <c r="CXH6" t="s">
        <v>289</v>
      </c>
      <c r="CXI6">
        <v>630</v>
      </c>
      <c r="CXJ6">
        <v>-200</v>
      </c>
      <c r="CXK6">
        <v>22</v>
      </c>
      <c r="CXL6">
        <v>-10</v>
      </c>
      <c r="CXM6">
        <v>-92</v>
      </c>
      <c r="CXN6">
        <v>-275</v>
      </c>
      <c r="CXO6">
        <v>-348</v>
      </c>
      <c r="CXP6">
        <v>-513</v>
      </c>
      <c r="CXQ6">
        <v>78</v>
      </c>
      <c r="CXR6">
        <v>283</v>
      </c>
      <c r="CXS6">
        <v>390</v>
      </c>
      <c r="CXT6">
        <v>338</v>
      </c>
      <c r="CXU6">
        <v>123</v>
      </c>
      <c r="CXV6" t="s">
        <v>289</v>
      </c>
      <c r="CXW6" t="s">
        <v>289</v>
      </c>
      <c r="CXX6" t="s">
        <v>289</v>
      </c>
      <c r="CXY6" t="s">
        <v>289</v>
      </c>
      <c r="CXZ6" t="s">
        <v>289</v>
      </c>
      <c r="CYA6" t="s">
        <v>289</v>
      </c>
      <c r="CYB6" t="s">
        <v>289</v>
      </c>
      <c r="CYC6" t="s">
        <v>289</v>
      </c>
      <c r="CYD6" t="s">
        <v>289</v>
      </c>
      <c r="CYE6" t="s">
        <v>289</v>
      </c>
      <c r="CYF6" t="s">
        <v>289</v>
      </c>
      <c r="CYG6" t="s">
        <v>289</v>
      </c>
      <c r="CYH6" t="s">
        <v>289</v>
      </c>
      <c r="CYI6" t="s">
        <v>289</v>
      </c>
      <c r="CYJ6" t="s">
        <v>289</v>
      </c>
      <c r="CYK6" t="s">
        <v>289</v>
      </c>
      <c r="CYL6" t="s">
        <v>289</v>
      </c>
      <c r="CYM6" t="s">
        <v>289</v>
      </c>
      <c r="CYN6" t="s">
        <v>289</v>
      </c>
      <c r="CYO6" t="s">
        <v>289</v>
      </c>
      <c r="CYP6" t="s">
        <v>289</v>
      </c>
      <c r="CYQ6" t="s">
        <v>289</v>
      </c>
      <c r="CYR6" t="s">
        <v>289</v>
      </c>
      <c r="CYS6" t="s">
        <v>289</v>
      </c>
      <c r="CYT6" t="s">
        <v>289</v>
      </c>
      <c r="CYU6" t="s">
        <v>289</v>
      </c>
      <c r="CYV6" t="s">
        <v>289</v>
      </c>
      <c r="CYW6" t="s">
        <v>289</v>
      </c>
      <c r="CYX6" t="s">
        <v>289</v>
      </c>
      <c r="CYY6" t="s">
        <v>289</v>
      </c>
      <c r="CYZ6" t="s">
        <v>289</v>
      </c>
      <c r="CZA6" t="s">
        <v>289</v>
      </c>
      <c r="CZB6" t="s">
        <v>289</v>
      </c>
      <c r="CZC6" t="s">
        <v>289</v>
      </c>
      <c r="CZD6" t="s">
        <v>289</v>
      </c>
      <c r="CZE6" t="s">
        <v>289</v>
      </c>
      <c r="CZF6" t="s">
        <v>289</v>
      </c>
      <c r="CZG6" t="s">
        <v>289</v>
      </c>
      <c r="CZH6" t="s">
        <v>289</v>
      </c>
      <c r="CZI6" t="s">
        <v>289</v>
      </c>
      <c r="CZJ6" t="s">
        <v>289</v>
      </c>
      <c r="CZK6" t="s">
        <v>289</v>
      </c>
      <c r="CZL6" t="s">
        <v>289</v>
      </c>
      <c r="CZM6" t="s">
        <v>289</v>
      </c>
      <c r="CZN6" t="s">
        <v>289</v>
      </c>
      <c r="CZO6" t="s">
        <v>289</v>
      </c>
      <c r="CZP6" t="s">
        <v>289</v>
      </c>
      <c r="CZQ6" t="s">
        <v>289</v>
      </c>
      <c r="CZR6" t="s">
        <v>289</v>
      </c>
      <c r="CZS6" t="s">
        <v>289</v>
      </c>
      <c r="CZT6" t="s">
        <v>289</v>
      </c>
      <c r="CZU6" t="s">
        <v>289</v>
      </c>
      <c r="CZV6" t="s">
        <v>289</v>
      </c>
      <c r="CZW6" t="s">
        <v>289</v>
      </c>
      <c r="CZX6" t="s">
        <v>289</v>
      </c>
      <c r="CZY6" t="s">
        <v>289</v>
      </c>
      <c r="CZZ6" t="s">
        <v>289</v>
      </c>
      <c r="DAA6" t="s">
        <v>289</v>
      </c>
      <c r="DAB6" t="s">
        <v>289</v>
      </c>
      <c r="DAC6" t="s">
        <v>289</v>
      </c>
      <c r="DAD6" t="s">
        <v>289</v>
      </c>
      <c r="DAE6" t="s">
        <v>289</v>
      </c>
      <c r="DAF6" t="s">
        <v>289</v>
      </c>
      <c r="DAG6" t="s">
        <v>289</v>
      </c>
      <c r="DAH6" t="s">
        <v>289</v>
      </c>
      <c r="DAI6" t="s">
        <v>289</v>
      </c>
      <c r="DAJ6" t="s">
        <v>289</v>
      </c>
      <c r="DAK6" t="s">
        <v>289</v>
      </c>
      <c r="DAL6" t="s">
        <v>289</v>
      </c>
      <c r="DAM6" t="s">
        <v>289</v>
      </c>
      <c r="DAN6" t="s">
        <v>289</v>
      </c>
      <c r="DAO6" t="s">
        <v>289</v>
      </c>
      <c r="DAP6" t="s">
        <v>289</v>
      </c>
      <c r="DAQ6" t="s">
        <v>289</v>
      </c>
      <c r="DAR6" t="s">
        <v>289</v>
      </c>
      <c r="DAS6" t="s">
        <v>289</v>
      </c>
      <c r="DAT6" t="s">
        <v>289</v>
      </c>
      <c r="DAU6" t="s">
        <v>289</v>
      </c>
      <c r="DAV6" t="s">
        <v>289</v>
      </c>
      <c r="DAW6" t="s">
        <v>289</v>
      </c>
      <c r="DAX6" t="s">
        <v>289</v>
      </c>
      <c r="DAY6" t="s">
        <v>289</v>
      </c>
      <c r="DAZ6" t="s">
        <v>289</v>
      </c>
      <c r="DBA6" t="s">
        <v>289</v>
      </c>
      <c r="DBB6" t="s">
        <v>289</v>
      </c>
      <c r="DBC6" t="s">
        <v>289</v>
      </c>
      <c r="DBD6" t="s">
        <v>289</v>
      </c>
      <c r="DBE6" t="s">
        <v>289</v>
      </c>
      <c r="DBF6" t="s">
        <v>289</v>
      </c>
      <c r="DBG6" t="s">
        <v>289</v>
      </c>
      <c r="DBH6" t="s">
        <v>289</v>
      </c>
      <c r="DBI6" t="s">
        <v>289</v>
      </c>
      <c r="DBJ6" t="s">
        <v>289</v>
      </c>
      <c r="DBK6" t="s">
        <v>289</v>
      </c>
      <c r="DBL6" t="s">
        <v>289</v>
      </c>
      <c r="DBM6" t="s">
        <v>289</v>
      </c>
      <c r="DBN6" t="s">
        <v>289</v>
      </c>
      <c r="DBO6" t="s">
        <v>289</v>
      </c>
      <c r="DBP6" t="s">
        <v>289</v>
      </c>
      <c r="DBQ6" t="s">
        <v>289</v>
      </c>
      <c r="DBR6" t="s">
        <v>289</v>
      </c>
      <c r="DBS6" t="s">
        <v>289</v>
      </c>
      <c r="DBT6" t="s">
        <v>289</v>
      </c>
      <c r="DBU6" t="s">
        <v>289</v>
      </c>
      <c r="DBV6" t="s">
        <v>289</v>
      </c>
      <c r="DBW6" t="s">
        <v>289</v>
      </c>
      <c r="DBX6" t="s">
        <v>289</v>
      </c>
      <c r="DBY6" t="s">
        <v>289</v>
      </c>
      <c r="DBZ6" t="s">
        <v>289</v>
      </c>
      <c r="DCA6" t="s">
        <v>289</v>
      </c>
      <c r="DCB6" t="s">
        <v>289</v>
      </c>
      <c r="DCC6" t="s">
        <v>289</v>
      </c>
      <c r="DCD6" t="s">
        <v>289</v>
      </c>
      <c r="DCE6" t="s">
        <v>289</v>
      </c>
      <c r="DCF6" t="s">
        <v>289</v>
      </c>
      <c r="DCG6" t="s">
        <v>289</v>
      </c>
      <c r="DCH6" t="s">
        <v>289</v>
      </c>
      <c r="DCI6" t="s">
        <v>289</v>
      </c>
      <c r="DCJ6" t="s">
        <v>289</v>
      </c>
      <c r="DCK6" t="s">
        <v>289</v>
      </c>
      <c r="DCL6" t="s">
        <v>289</v>
      </c>
      <c r="DCM6" t="s">
        <v>289</v>
      </c>
      <c r="DCN6" t="s">
        <v>289</v>
      </c>
      <c r="DCO6" t="s">
        <v>289</v>
      </c>
      <c r="DCP6" t="s">
        <v>289</v>
      </c>
      <c r="DCQ6" t="s">
        <v>289</v>
      </c>
      <c r="DCR6" t="s">
        <v>289</v>
      </c>
      <c r="DCS6" t="s">
        <v>289</v>
      </c>
      <c r="DCT6" t="s">
        <v>289</v>
      </c>
      <c r="DCU6" t="s">
        <v>289</v>
      </c>
      <c r="DCV6" t="s">
        <v>289</v>
      </c>
      <c r="DCW6" t="s">
        <v>289</v>
      </c>
      <c r="DCX6" t="s">
        <v>289</v>
      </c>
      <c r="DCY6" t="s">
        <v>289</v>
      </c>
      <c r="DCZ6" t="s">
        <v>289</v>
      </c>
      <c r="DDA6" t="s">
        <v>289</v>
      </c>
      <c r="DDB6" t="s">
        <v>289</v>
      </c>
      <c r="DDC6" t="s">
        <v>289</v>
      </c>
      <c r="DDD6" t="s">
        <v>289</v>
      </c>
      <c r="DDE6" t="s">
        <v>289</v>
      </c>
      <c r="DDF6" t="s">
        <v>289</v>
      </c>
      <c r="DDG6" t="s">
        <v>289</v>
      </c>
      <c r="DDH6" t="s">
        <v>289</v>
      </c>
      <c r="DDI6" t="s">
        <v>289</v>
      </c>
      <c r="DDJ6" t="s">
        <v>289</v>
      </c>
      <c r="DDK6" t="s">
        <v>289</v>
      </c>
      <c r="DDL6" t="s">
        <v>289</v>
      </c>
      <c r="DDM6" t="s">
        <v>289</v>
      </c>
      <c r="DDN6" t="s">
        <v>289</v>
      </c>
      <c r="DDO6" t="s">
        <v>289</v>
      </c>
      <c r="DDP6" t="s">
        <v>289</v>
      </c>
      <c r="DDQ6" t="s">
        <v>289</v>
      </c>
      <c r="DDR6" t="s">
        <v>289</v>
      </c>
      <c r="DDS6" t="s">
        <v>289</v>
      </c>
      <c r="DDT6" t="s">
        <v>289</v>
      </c>
      <c r="DDU6" t="s">
        <v>289</v>
      </c>
      <c r="DDV6" t="s">
        <v>289</v>
      </c>
      <c r="DDW6" t="s">
        <v>289</v>
      </c>
      <c r="DDX6" t="s">
        <v>289</v>
      </c>
      <c r="DDY6" t="s">
        <v>289</v>
      </c>
      <c r="DDZ6" t="s">
        <v>289</v>
      </c>
      <c r="DEA6" t="s">
        <v>289</v>
      </c>
      <c r="DEB6" t="s">
        <v>289</v>
      </c>
      <c r="DEC6" t="s">
        <v>289</v>
      </c>
      <c r="DED6" t="s">
        <v>289</v>
      </c>
      <c r="DEE6" t="s">
        <v>289</v>
      </c>
      <c r="DEF6" t="s">
        <v>289</v>
      </c>
      <c r="DEG6" t="s">
        <v>289</v>
      </c>
      <c r="DEH6" t="s">
        <v>289</v>
      </c>
      <c r="DEI6" t="s">
        <v>289</v>
      </c>
      <c r="DEJ6" t="s">
        <v>289</v>
      </c>
      <c r="DEK6" t="s">
        <v>289</v>
      </c>
      <c r="DEL6" t="s">
        <v>289</v>
      </c>
      <c r="DEM6" t="s">
        <v>289</v>
      </c>
      <c r="DEN6" t="s">
        <v>289</v>
      </c>
      <c r="DEO6" t="s">
        <v>289</v>
      </c>
      <c r="DEP6" t="s">
        <v>289</v>
      </c>
      <c r="DEQ6">
        <v>1373</v>
      </c>
      <c r="DER6">
        <v>-587</v>
      </c>
      <c r="DES6">
        <v>152</v>
      </c>
      <c r="DET6">
        <v>495</v>
      </c>
      <c r="DEU6">
        <v>477</v>
      </c>
      <c r="DEV6">
        <v>-272</v>
      </c>
      <c r="DEW6">
        <v>-813</v>
      </c>
      <c r="DEX6">
        <v>-1233</v>
      </c>
      <c r="DEY6">
        <v>-691</v>
      </c>
      <c r="DEZ6">
        <v>240</v>
      </c>
      <c r="DFA6">
        <v>165</v>
      </c>
      <c r="DFB6">
        <v>-112</v>
      </c>
      <c r="DFC6">
        <v>847</v>
      </c>
      <c r="DFD6" t="s">
        <v>289</v>
      </c>
      <c r="DFE6" t="s">
        <v>289</v>
      </c>
      <c r="DFF6" t="s">
        <v>289</v>
      </c>
      <c r="DFG6" t="s">
        <v>289</v>
      </c>
      <c r="DFH6" t="s">
        <v>289</v>
      </c>
      <c r="DFI6" t="s">
        <v>289</v>
      </c>
      <c r="DFJ6" t="s">
        <v>289</v>
      </c>
      <c r="DFK6" t="s">
        <v>289</v>
      </c>
      <c r="DFL6" t="s">
        <v>289</v>
      </c>
      <c r="DFM6" t="s">
        <v>289</v>
      </c>
      <c r="DFN6" t="s">
        <v>289</v>
      </c>
      <c r="DFO6" t="s">
        <v>289</v>
      </c>
      <c r="DFP6" t="s">
        <v>289</v>
      </c>
      <c r="DFQ6" t="s">
        <v>289</v>
      </c>
      <c r="DFR6" t="s">
        <v>289</v>
      </c>
      <c r="DFS6" t="s">
        <v>289</v>
      </c>
      <c r="DFT6" t="s">
        <v>289</v>
      </c>
      <c r="DFU6" t="s">
        <v>289</v>
      </c>
      <c r="DFV6" t="s">
        <v>289</v>
      </c>
      <c r="DFW6" t="s">
        <v>289</v>
      </c>
      <c r="DFX6" t="s">
        <v>289</v>
      </c>
      <c r="DFY6" t="s">
        <v>289</v>
      </c>
      <c r="DFZ6" t="s">
        <v>289</v>
      </c>
      <c r="DGA6" t="s">
        <v>289</v>
      </c>
      <c r="DGB6" t="s">
        <v>289</v>
      </c>
      <c r="DGC6" t="s">
        <v>289</v>
      </c>
      <c r="DGD6" t="s">
        <v>289</v>
      </c>
      <c r="DGE6" t="s">
        <v>289</v>
      </c>
      <c r="DGF6" t="s">
        <v>289</v>
      </c>
      <c r="DGG6" t="s">
        <v>289</v>
      </c>
      <c r="DGH6" t="s">
        <v>289</v>
      </c>
      <c r="DGI6" t="s">
        <v>289</v>
      </c>
      <c r="DGJ6" t="s">
        <v>289</v>
      </c>
      <c r="DGK6" t="s">
        <v>289</v>
      </c>
      <c r="DGL6" t="s">
        <v>289</v>
      </c>
      <c r="DGM6" t="s">
        <v>289</v>
      </c>
      <c r="DGN6" t="s">
        <v>289</v>
      </c>
      <c r="DGO6" t="s">
        <v>289</v>
      </c>
      <c r="DGP6" t="s">
        <v>289</v>
      </c>
      <c r="DGQ6" t="s">
        <v>289</v>
      </c>
      <c r="DGR6" t="s">
        <v>289</v>
      </c>
      <c r="DGS6" t="s">
        <v>289</v>
      </c>
      <c r="DGT6" t="s">
        <v>289</v>
      </c>
      <c r="DGU6" t="s">
        <v>289</v>
      </c>
      <c r="DGV6" t="s">
        <v>289</v>
      </c>
      <c r="DGW6" t="s">
        <v>289</v>
      </c>
      <c r="DGX6" t="s">
        <v>289</v>
      </c>
      <c r="DGY6" t="s">
        <v>289</v>
      </c>
      <c r="DGZ6" t="s">
        <v>289</v>
      </c>
      <c r="DHA6" t="s">
        <v>289</v>
      </c>
      <c r="DHB6" t="s">
        <v>289</v>
      </c>
      <c r="DHC6" t="s">
        <v>289</v>
      </c>
      <c r="DHD6" t="s">
        <v>289</v>
      </c>
      <c r="DHE6" t="s">
        <v>289</v>
      </c>
      <c r="DHF6" t="s">
        <v>289</v>
      </c>
      <c r="DHG6" t="s">
        <v>289</v>
      </c>
      <c r="DHH6" t="s">
        <v>289</v>
      </c>
      <c r="DHI6" t="s">
        <v>289</v>
      </c>
      <c r="DHJ6" t="s">
        <v>289</v>
      </c>
      <c r="DHK6" t="s">
        <v>289</v>
      </c>
      <c r="DHL6" t="s">
        <v>289</v>
      </c>
      <c r="DHM6" t="s">
        <v>289</v>
      </c>
      <c r="DHN6" t="s">
        <v>289</v>
      </c>
      <c r="DHO6" t="s">
        <v>289</v>
      </c>
      <c r="DHP6" t="s">
        <v>289</v>
      </c>
      <c r="DHQ6" t="s">
        <v>289</v>
      </c>
      <c r="DHR6" t="s">
        <v>289</v>
      </c>
      <c r="DHS6" t="s">
        <v>289</v>
      </c>
      <c r="DHT6" t="s">
        <v>289</v>
      </c>
      <c r="DHU6" t="s">
        <v>289</v>
      </c>
      <c r="DHV6" t="s">
        <v>289</v>
      </c>
      <c r="DHW6" t="s">
        <v>289</v>
      </c>
      <c r="DHX6" t="s">
        <v>289</v>
      </c>
      <c r="DHY6" t="s">
        <v>289</v>
      </c>
      <c r="DHZ6" t="s">
        <v>289</v>
      </c>
      <c r="DIA6" t="s">
        <v>289</v>
      </c>
      <c r="DIB6" t="s">
        <v>289</v>
      </c>
      <c r="DIC6" t="s">
        <v>289</v>
      </c>
      <c r="DID6" t="s">
        <v>289</v>
      </c>
      <c r="DIE6" t="s">
        <v>289</v>
      </c>
      <c r="DIF6" t="s">
        <v>289</v>
      </c>
      <c r="DIG6" t="s">
        <v>289</v>
      </c>
      <c r="DIH6">
        <v>630</v>
      </c>
      <c r="DII6">
        <v>-200</v>
      </c>
      <c r="DIJ6">
        <v>22</v>
      </c>
      <c r="DIK6">
        <v>-10</v>
      </c>
      <c r="DIL6">
        <v>-92</v>
      </c>
      <c r="DIM6">
        <v>-275</v>
      </c>
      <c r="DIN6">
        <v>-348</v>
      </c>
      <c r="DIO6">
        <v>-513</v>
      </c>
      <c r="DIP6">
        <v>78</v>
      </c>
      <c r="DIQ6">
        <v>283</v>
      </c>
      <c r="DIR6">
        <v>390</v>
      </c>
      <c r="DIS6">
        <v>338</v>
      </c>
      <c r="DIT6">
        <v>123</v>
      </c>
      <c r="DIU6" t="s">
        <v>289</v>
      </c>
      <c r="DIV6" t="s">
        <v>289</v>
      </c>
      <c r="DIW6" t="s">
        <v>289</v>
      </c>
      <c r="DIX6" t="s">
        <v>289</v>
      </c>
      <c r="DIY6" t="s">
        <v>289</v>
      </c>
      <c r="DIZ6" t="s">
        <v>289</v>
      </c>
      <c r="DJA6">
        <v>1373</v>
      </c>
      <c r="DJB6">
        <v>-587</v>
      </c>
      <c r="DJC6">
        <v>152</v>
      </c>
      <c r="DJD6">
        <v>495</v>
      </c>
      <c r="DJE6">
        <v>477</v>
      </c>
      <c r="DJF6">
        <v>-272</v>
      </c>
      <c r="DJG6">
        <v>-813</v>
      </c>
      <c r="DJH6">
        <v>-1233</v>
      </c>
      <c r="DJI6">
        <v>-691</v>
      </c>
      <c r="DJJ6">
        <v>240</v>
      </c>
      <c r="DJK6">
        <v>165</v>
      </c>
      <c r="DJL6">
        <v>-112</v>
      </c>
      <c r="DJM6">
        <v>847</v>
      </c>
      <c r="DJN6" t="s">
        <v>289</v>
      </c>
      <c r="DJO6" t="s">
        <v>289</v>
      </c>
      <c r="DJP6" t="s">
        <v>289</v>
      </c>
      <c r="DJQ6" t="s">
        <v>289</v>
      </c>
      <c r="DJR6" t="s">
        <v>289</v>
      </c>
      <c r="DJS6" t="s">
        <v>289</v>
      </c>
      <c r="DJT6">
        <v>448</v>
      </c>
      <c r="DJU6">
        <v>707</v>
      </c>
      <c r="DJV6">
        <v>213</v>
      </c>
      <c r="DJW6">
        <v>61</v>
      </c>
      <c r="DJX6">
        <v>125</v>
      </c>
      <c r="DJY6">
        <v>432</v>
      </c>
      <c r="DJZ6">
        <v>359</v>
      </c>
      <c r="DKA6">
        <v>613</v>
      </c>
      <c r="DKB6">
        <v>-90</v>
      </c>
      <c r="DKC6">
        <v>268</v>
      </c>
      <c r="DKD6">
        <v>820</v>
      </c>
      <c r="DKE6">
        <v>-510</v>
      </c>
      <c r="DKF6">
        <v>-657</v>
      </c>
      <c r="DKG6" t="s">
        <v>289</v>
      </c>
      <c r="DKH6">
        <v>427</v>
      </c>
      <c r="DKI6">
        <v>-603</v>
      </c>
      <c r="DKJ6">
        <v>314</v>
      </c>
      <c r="DKK6">
        <v>-347</v>
      </c>
      <c r="DKL6">
        <v>-2833</v>
      </c>
      <c r="DKM6">
        <v>448</v>
      </c>
      <c r="DKN6">
        <v>707</v>
      </c>
      <c r="DKO6">
        <v>213</v>
      </c>
      <c r="DKP6">
        <v>61</v>
      </c>
      <c r="DKQ6">
        <v>125</v>
      </c>
      <c r="DKR6">
        <v>432</v>
      </c>
      <c r="DKS6">
        <v>359</v>
      </c>
      <c r="DKT6">
        <v>613</v>
      </c>
      <c r="DKU6">
        <v>-90</v>
      </c>
      <c r="DKV6">
        <v>268</v>
      </c>
      <c r="DKW6">
        <v>820</v>
      </c>
      <c r="DKX6">
        <v>-510</v>
      </c>
      <c r="DKY6">
        <v>-657</v>
      </c>
      <c r="DKZ6" t="s">
        <v>289</v>
      </c>
      <c r="DLA6" t="s">
        <v>289</v>
      </c>
      <c r="DLB6" t="s">
        <v>289</v>
      </c>
      <c r="DLC6" t="s">
        <v>289</v>
      </c>
      <c r="DLD6" t="s">
        <v>289</v>
      </c>
      <c r="DLE6" t="s">
        <v>289</v>
      </c>
      <c r="DLF6">
        <v>502</v>
      </c>
      <c r="DLG6">
        <v>344</v>
      </c>
      <c r="DLH6">
        <v>-181</v>
      </c>
      <c r="DLI6">
        <v>451</v>
      </c>
      <c r="DLJ6">
        <v>18</v>
      </c>
      <c r="DLK6">
        <v>886</v>
      </c>
      <c r="DLL6">
        <v>1219</v>
      </c>
      <c r="DLM6">
        <v>894</v>
      </c>
      <c r="DLN6">
        <v>591</v>
      </c>
      <c r="DLO6">
        <v>-240</v>
      </c>
      <c r="DLP6">
        <v>-161</v>
      </c>
      <c r="DLQ6">
        <v>-908</v>
      </c>
      <c r="DLR6">
        <v>-467</v>
      </c>
      <c r="DLS6" t="s">
        <v>289</v>
      </c>
      <c r="DLT6">
        <v>427</v>
      </c>
      <c r="DLU6">
        <v>-603</v>
      </c>
      <c r="DLV6">
        <v>314</v>
      </c>
      <c r="DLW6">
        <v>-347</v>
      </c>
      <c r="DLX6">
        <v>-2833</v>
      </c>
      <c r="DLY6">
        <v>2953</v>
      </c>
      <c r="DLZ6">
        <v>264</v>
      </c>
      <c r="DMA6">
        <v>206</v>
      </c>
      <c r="DMB6">
        <v>997</v>
      </c>
      <c r="DMC6">
        <v>528</v>
      </c>
      <c r="DMD6">
        <v>771</v>
      </c>
      <c r="DME6">
        <v>417</v>
      </c>
      <c r="DMF6">
        <v>-239</v>
      </c>
      <c r="DMG6">
        <v>-112</v>
      </c>
      <c r="DMH6">
        <v>551</v>
      </c>
      <c r="DMI6">
        <v>1214</v>
      </c>
      <c r="DMJ6">
        <v>-1192</v>
      </c>
      <c r="DMK6">
        <v>-154</v>
      </c>
      <c r="DML6" t="s">
        <v>289</v>
      </c>
      <c r="DMM6">
        <v>427</v>
      </c>
      <c r="DMN6">
        <v>-603</v>
      </c>
      <c r="DMO6">
        <v>314</v>
      </c>
      <c r="DMP6">
        <v>-347</v>
      </c>
      <c r="DMQ6">
        <v>-2833</v>
      </c>
      <c r="DMR6">
        <v>2953</v>
      </c>
      <c r="DMS6">
        <v>264</v>
      </c>
      <c r="DMT6">
        <v>206</v>
      </c>
      <c r="DMU6">
        <v>997</v>
      </c>
      <c r="DMV6">
        <v>528</v>
      </c>
      <c r="DMW6">
        <v>771</v>
      </c>
      <c r="DMX6">
        <v>417</v>
      </c>
      <c r="DMY6">
        <v>-239</v>
      </c>
      <c r="DMZ6">
        <v>-112</v>
      </c>
      <c r="DNA6">
        <v>551</v>
      </c>
      <c r="DNB6">
        <v>1214</v>
      </c>
      <c r="DNC6">
        <v>-1192</v>
      </c>
      <c r="DND6">
        <v>-154</v>
      </c>
      <c r="DNE6" t="s">
        <v>289</v>
      </c>
      <c r="DNF6" t="s">
        <v>289</v>
      </c>
      <c r="DNG6" t="s">
        <v>289</v>
      </c>
      <c r="DNH6" t="s">
        <v>289</v>
      </c>
      <c r="DNI6" t="s">
        <v>289</v>
      </c>
      <c r="DNJ6" t="s">
        <v>289</v>
      </c>
      <c r="DNK6" t="s">
        <v>289</v>
      </c>
      <c r="DNL6" t="s">
        <v>289</v>
      </c>
      <c r="DNM6" t="s">
        <v>289</v>
      </c>
      <c r="DNN6" t="s">
        <v>289</v>
      </c>
      <c r="DNO6" t="s">
        <v>289</v>
      </c>
      <c r="DNP6" t="s">
        <v>289</v>
      </c>
      <c r="DNQ6" t="s">
        <v>289</v>
      </c>
      <c r="DNR6" t="s">
        <v>289</v>
      </c>
      <c r="DNS6" t="s">
        <v>289</v>
      </c>
      <c r="DNT6" t="s">
        <v>289</v>
      </c>
      <c r="DNU6" t="s">
        <v>289</v>
      </c>
      <c r="DNV6" t="s">
        <v>289</v>
      </c>
      <c r="DNW6" t="s">
        <v>289</v>
      </c>
      <c r="DNX6" t="s">
        <v>289</v>
      </c>
      <c r="DNY6">
        <v>-406</v>
      </c>
      <c r="DNZ6">
        <v>-430</v>
      </c>
      <c r="DOA6">
        <v>-309</v>
      </c>
      <c r="DOB6">
        <v>-243</v>
      </c>
      <c r="DOC6">
        <v>-350</v>
      </c>
      <c r="DOD6">
        <v>192</v>
      </c>
      <c r="DOE6" t="s">
        <v>289</v>
      </c>
      <c r="DOF6" t="s">
        <v>289</v>
      </c>
      <c r="DOG6">
        <v>345</v>
      </c>
      <c r="DOH6">
        <v>356</v>
      </c>
      <c r="DOI6">
        <v>268</v>
      </c>
      <c r="DOJ6">
        <v>492</v>
      </c>
      <c r="DOK6">
        <v>603</v>
      </c>
      <c r="DOL6">
        <v>716</v>
      </c>
      <c r="DOM6">
        <v>657</v>
      </c>
      <c r="DON6">
        <v>636</v>
      </c>
      <c r="DOO6">
        <v>375</v>
      </c>
      <c r="DOP6">
        <v>355</v>
      </c>
      <c r="DOQ6" t="s">
        <v>289</v>
      </c>
      <c r="DOR6">
        <v>139</v>
      </c>
      <c r="DOS6">
        <v>200</v>
      </c>
      <c r="DOT6">
        <v>281</v>
      </c>
      <c r="DOU6">
        <v>350</v>
      </c>
      <c r="DOV6">
        <v>372</v>
      </c>
      <c r="DOW6">
        <v>329</v>
      </c>
      <c r="DOX6">
        <v>507</v>
      </c>
      <c r="DOY6">
        <v>501</v>
      </c>
      <c r="DOZ6">
        <v>391</v>
      </c>
      <c r="DPA6">
        <v>443</v>
      </c>
      <c r="DPB6">
        <v>542</v>
      </c>
      <c r="DPC6">
        <v>416</v>
      </c>
      <c r="DPD6">
        <v>416</v>
      </c>
      <c r="DPE6">
        <v>451</v>
      </c>
      <c r="DPF6">
        <v>332</v>
      </c>
      <c r="DPG6">
        <v>368</v>
      </c>
      <c r="DPH6">
        <v>352</v>
      </c>
      <c r="DPI6">
        <v>342</v>
      </c>
      <c r="DPJ6" t="s">
        <v>289</v>
      </c>
      <c r="DPK6" t="s">
        <v>289</v>
      </c>
      <c r="DPL6" t="s">
        <v>289</v>
      </c>
      <c r="DPM6" t="s">
        <v>289</v>
      </c>
      <c r="DPN6" t="s">
        <v>289</v>
      </c>
      <c r="DPO6" t="s">
        <v>289</v>
      </c>
      <c r="DPP6" t="s">
        <v>289</v>
      </c>
      <c r="DPQ6" t="s">
        <v>289</v>
      </c>
      <c r="DPR6" t="s">
        <v>289</v>
      </c>
      <c r="DPS6" t="s">
        <v>289</v>
      </c>
      <c r="DPT6" t="s">
        <v>289</v>
      </c>
      <c r="DPU6" t="s">
        <v>289</v>
      </c>
      <c r="DPV6" t="s">
        <v>289</v>
      </c>
      <c r="DPW6" t="s">
        <v>289</v>
      </c>
      <c r="DPX6" t="s">
        <v>289</v>
      </c>
      <c r="DPY6" t="s">
        <v>289</v>
      </c>
      <c r="DPZ6" t="s">
        <v>289</v>
      </c>
      <c r="DQA6" t="s">
        <v>289</v>
      </c>
      <c r="DQB6" t="s">
        <v>289</v>
      </c>
      <c r="DQC6" t="s">
        <v>289</v>
      </c>
    </row>
    <row r="7" spans="2:3149">
      <c r="B7" t="s">
        <v>3798</v>
      </c>
      <c r="C7" t="s">
        <v>3806</v>
      </c>
      <c r="D7" t="s">
        <v>3809</v>
      </c>
      <c r="E7" s="100">
        <v>44531</v>
      </c>
      <c r="F7" t="s">
        <v>3629</v>
      </c>
      <c r="G7">
        <v>74.25</v>
      </c>
      <c r="H7">
        <v>74.25</v>
      </c>
      <c r="I7">
        <v>48684.541299999997</v>
      </c>
      <c r="J7">
        <v>48684.541299999997</v>
      </c>
      <c r="K7" t="s">
        <v>289</v>
      </c>
      <c r="L7" t="s">
        <v>289</v>
      </c>
      <c r="M7" t="s">
        <v>289</v>
      </c>
      <c r="N7" t="s">
        <v>289</v>
      </c>
      <c r="O7" t="s">
        <v>289</v>
      </c>
      <c r="P7" t="s">
        <v>289</v>
      </c>
      <c r="Q7" t="s">
        <v>289</v>
      </c>
      <c r="R7" t="s">
        <v>289</v>
      </c>
      <c r="S7" t="s">
        <v>289</v>
      </c>
      <c r="T7" t="s">
        <v>289</v>
      </c>
      <c r="U7" t="s">
        <v>289</v>
      </c>
      <c r="V7" t="s">
        <v>289</v>
      </c>
      <c r="W7" t="s">
        <v>289</v>
      </c>
      <c r="X7" t="s">
        <v>289</v>
      </c>
      <c r="Y7" t="s">
        <v>289</v>
      </c>
      <c r="Z7" t="s">
        <v>289</v>
      </c>
      <c r="AA7" t="s">
        <v>289</v>
      </c>
      <c r="AB7" t="s">
        <v>289</v>
      </c>
      <c r="AC7" t="s">
        <v>289</v>
      </c>
      <c r="AD7" t="s">
        <v>289</v>
      </c>
      <c r="AE7" t="s">
        <v>289</v>
      </c>
      <c r="AF7" t="s">
        <v>289</v>
      </c>
      <c r="AG7" t="s">
        <v>289</v>
      </c>
      <c r="AH7" t="s">
        <v>289</v>
      </c>
      <c r="AI7" t="s">
        <v>289</v>
      </c>
      <c r="AJ7" t="s">
        <v>289</v>
      </c>
      <c r="AK7" t="s">
        <v>289</v>
      </c>
      <c r="AL7" t="s">
        <v>289</v>
      </c>
      <c r="AM7" t="s">
        <v>289</v>
      </c>
      <c r="AN7" t="s">
        <v>289</v>
      </c>
      <c r="AO7" t="s">
        <v>289</v>
      </c>
      <c r="AP7" t="s">
        <v>289</v>
      </c>
      <c r="AQ7" t="s">
        <v>289</v>
      </c>
      <c r="AR7" t="s">
        <v>289</v>
      </c>
      <c r="AS7" t="s">
        <v>289</v>
      </c>
      <c r="AT7" t="s">
        <v>289</v>
      </c>
      <c r="AU7" t="s">
        <v>289</v>
      </c>
      <c r="AV7" t="s">
        <v>289</v>
      </c>
      <c r="AW7" t="s">
        <v>289</v>
      </c>
      <c r="AX7" t="s">
        <v>289</v>
      </c>
      <c r="AY7" t="s">
        <v>289</v>
      </c>
      <c r="AZ7" t="s">
        <v>289</v>
      </c>
      <c r="BA7" t="s">
        <v>289</v>
      </c>
      <c r="BB7" t="s">
        <v>289</v>
      </c>
      <c r="BC7" t="s">
        <v>289</v>
      </c>
      <c r="BD7" t="s">
        <v>289</v>
      </c>
      <c r="BE7" t="s">
        <v>289</v>
      </c>
      <c r="BF7" t="s">
        <v>289</v>
      </c>
      <c r="BG7" t="s">
        <v>289</v>
      </c>
      <c r="BH7" t="s">
        <v>289</v>
      </c>
      <c r="BI7" t="s">
        <v>289</v>
      </c>
      <c r="BJ7" t="s">
        <v>289</v>
      </c>
      <c r="BK7" t="s">
        <v>289</v>
      </c>
      <c r="BL7" t="s">
        <v>289</v>
      </c>
      <c r="BM7" t="s">
        <v>289</v>
      </c>
      <c r="BN7" t="s">
        <v>289</v>
      </c>
      <c r="BO7" t="s">
        <v>289</v>
      </c>
      <c r="BP7" t="s">
        <v>289</v>
      </c>
      <c r="BQ7" t="s">
        <v>289</v>
      </c>
      <c r="BR7" t="s">
        <v>289</v>
      </c>
      <c r="BS7" t="s">
        <v>289</v>
      </c>
      <c r="BT7" t="s">
        <v>289</v>
      </c>
      <c r="BU7" t="s">
        <v>289</v>
      </c>
      <c r="BV7" t="s">
        <v>289</v>
      </c>
      <c r="BW7" t="s">
        <v>289</v>
      </c>
      <c r="BX7" t="s">
        <v>289</v>
      </c>
      <c r="BY7" t="s">
        <v>289</v>
      </c>
      <c r="BZ7" t="s">
        <v>289</v>
      </c>
      <c r="CA7" t="s">
        <v>289</v>
      </c>
      <c r="CB7" t="s">
        <v>289</v>
      </c>
      <c r="CC7" t="s">
        <v>289</v>
      </c>
      <c r="CD7" t="s">
        <v>289</v>
      </c>
      <c r="CE7" t="s">
        <v>289</v>
      </c>
      <c r="CF7" t="s">
        <v>289</v>
      </c>
      <c r="CG7" t="s">
        <v>289</v>
      </c>
      <c r="CH7" t="s">
        <v>289</v>
      </c>
      <c r="CI7" t="s">
        <v>289</v>
      </c>
      <c r="CJ7" t="s">
        <v>289</v>
      </c>
      <c r="CK7" t="s">
        <v>289</v>
      </c>
      <c r="CL7" t="s">
        <v>289</v>
      </c>
      <c r="CM7" t="s">
        <v>289</v>
      </c>
      <c r="CN7" t="s">
        <v>289</v>
      </c>
      <c r="CO7" t="s">
        <v>289</v>
      </c>
      <c r="CP7" t="s">
        <v>289</v>
      </c>
      <c r="CQ7" t="s">
        <v>289</v>
      </c>
      <c r="CR7" t="s">
        <v>289</v>
      </c>
      <c r="CS7" t="s">
        <v>289</v>
      </c>
      <c r="CT7" t="s">
        <v>289</v>
      </c>
      <c r="CU7" t="s">
        <v>289</v>
      </c>
      <c r="CV7" t="s">
        <v>289</v>
      </c>
      <c r="CW7" t="s">
        <v>289</v>
      </c>
      <c r="CX7" t="s">
        <v>289</v>
      </c>
      <c r="CY7" t="s">
        <v>289</v>
      </c>
      <c r="CZ7" t="s">
        <v>289</v>
      </c>
      <c r="DA7" t="s">
        <v>289</v>
      </c>
      <c r="DB7" t="s">
        <v>289</v>
      </c>
      <c r="DC7" t="s">
        <v>289</v>
      </c>
      <c r="DD7" t="s">
        <v>289</v>
      </c>
      <c r="DE7" t="s">
        <v>289</v>
      </c>
      <c r="DF7" t="s">
        <v>289</v>
      </c>
      <c r="DG7" t="s">
        <v>289</v>
      </c>
      <c r="DH7" t="s">
        <v>289</v>
      </c>
      <c r="DI7" t="s">
        <v>289</v>
      </c>
      <c r="DJ7" t="s">
        <v>289</v>
      </c>
      <c r="DK7" t="s">
        <v>289</v>
      </c>
      <c r="DL7" t="s">
        <v>289</v>
      </c>
      <c r="DM7" t="s">
        <v>289</v>
      </c>
      <c r="DN7" t="s">
        <v>289</v>
      </c>
      <c r="DO7" t="s">
        <v>289</v>
      </c>
      <c r="DP7" t="s">
        <v>289</v>
      </c>
      <c r="DQ7" t="s">
        <v>289</v>
      </c>
      <c r="DR7" t="s">
        <v>289</v>
      </c>
      <c r="DS7" t="s">
        <v>289</v>
      </c>
      <c r="DT7" t="s">
        <v>289</v>
      </c>
      <c r="DU7" t="s">
        <v>289</v>
      </c>
      <c r="DV7" t="s">
        <v>289</v>
      </c>
      <c r="DW7" t="s">
        <v>289</v>
      </c>
      <c r="DX7" t="s">
        <v>289</v>
      </c>
      <c r="DY7" t="s">
        <v>289</v>
      </c>
      <c r="DZ7" t="s">
        <v>289</v>
      </c>
      <c r="EA7" t="s">
        <v>289</v>
      </c>
      <c r="EB7" t="s">
        <v>289</v>
      </c>
      <c r="EC7" t="s">
        <v>289</v>
      </c>
      <c r="ED7" t="s">
        <v>289</v>
      </c>
      <c r="EE7" t="s">
        <v>289</v>
      </c>
      <c r="EF7" t="s">
        <v>289</v>
      </c>
      <c r="EG7" t="s">
        <v>289</v>
      </c>
      <c r="EH7" t="s">
        <v>289</v>
      </c>
      <c r="EI7" t="s">
        <v>289</v>
      </c>
      <c r="EJ7" t="s">
        <v>289</v>
      </c>
      <c r="EK7" t="s">
        <v>289</v>
      </c>
      <c r="EL7" t="s">
        <v>289</v>
      </c>
      <c r="EM7" t="s">
        <v>289</v>
      </c>
      <c r="EN7" t="s">
        <v>289</v>
      </c>
      <c r="EO7" t="s">
        <v>289</v>
      </c>
      <c r="EP7" t="s">
        <v>289</v>
      </c>
      <c r="EQ7" t="s">
        <v>289</v>
      </c>
      <c r="ER7" t="s">
        <v>289</v>
      </c>
      <c r="ES7" t="s">
        <v>289</v>
      </c>
      <c r="ET7" t="s">
        <v>289</v>
      </c>
      <c r="EU7" t="s">
        <v>289</v>
      </c>
      <c r="EV7" t="s">
        <v>289</v>
      </c>
      <c r="EW7" t="s">
        <v>289</v>
      </c>
      <c r="EX7" t="s">
        <v>289</v>
      </c>
      <c r="EY7" t="s">
        <v>289</v>
      </c>
      <c r="EZ7" t="s">
        <v>289</v>
      </c>
      <c r="FA7" t="s">
        <v>289</v>
      </c>
      <c r="FB7" t="s">
        <v>289</v>
      </c>
      <c r="FC7" t="s">
        <v>289</v>
      </c>
      <c r="FD7" t="s">
        <v>289</v>
      </c>
      <c r="FE7" t="s">
        <v>289</v>
      </c>
      <c r="FF7" t="s">
        <v>289</v>
      </c>
      <c r="FG7" t="s">
        <v>289</v>
      </c>
      <c r="FH7" t="s">
        <v>289</v>
      </c>
      <c r="FI7" t="s">
        <v>289</v>
      </c>
      <c r="FJ7" t="s">
        <v>289</v>
      </c>
      <c r="FK7" t="s">
        <v>289</v>
      </c>
      <c r="FL7" t="s">
        <v>289</v>
      </c>
      <c r="FM7" t="s">
        <v>289</v>
      </c>
      <c r="FN7" t="s">
        <v>289</v>
      </c>
      <c r="FO7" t="s">
        <v>289</v>
      </c>
      <c r="FP7" t="s">
        <v>289</v>
      </c>
      <c r="FQ7" t="s">
        <v>289</v>
      </c>
      <c r="FR7" t="s">
        <v>289</v>
      </c>
      <c r="FS7" t="s">
        <v>289</v>
      </c>
      <c r="FT7" t="s">
        <v>289</v>
      </c>
      <c r="FU7" t="s">
        <v>289</v>
      </c>
      <c r="FV7" t="s">
        <v>289</v>
      </c>
      <c r="FW7" t="s">
        <v>289</v>
      </c>
      <c r="FX7" t="s">
        <v>289</v>
      </c>
      <c r="FY7" t="s">
        <v>289</v>
      </c>
      <c r="FZ7" t="s">
        <v>289</v>
      </c>
      <c r="GA7" t="s">
        <v>289</v>
      </c>
      <c r="GB7" t="s">
        <v>289</v>
      </c>
      <c r="GC7" t="s">
        <v>289</v>
      </c>
      <c r="GD7" t="s">
        <v>289</v>
      </c>
      <c r="GE7" t="s">
        <v>289</v>
      </c>
      <c r="GF7" t="s">
        <v>289</v>
      </c>
      <c r="GG7" t="s">
        <v>289</v>
      </c>
      <c r="GH7" t="s">
        <v>289</v>
      </c>
      <c r="GI7" t="s">
        <v>289</v>
      </c>
      <c r="GJ7" t="s">
        <v>289</v>
      </c>
      <c r="GK7" t="s">
        <v>289</v>
      </c>
      <c r="GL7" t="s">
        <v>289</v>
      </c>
      <c r="GM7" t="s">
        <v>289</v>
      </c>
      <c r="GN7" t="s">
        <v>289</v>
      </c>
      <c r="GO7" t="s">
        <v>289</v>
      </c>
      <c r="GP7" t="s">
        <v>289</v>
      </c>
      <c r="GQ7" t="s">
        <v>289</v>
      </c>
      <c r="GR7" t="s">
        <v>289</v>
      </c>
      <c r="GS7" t="s">
        <v>289</v>
      </c>
      <c r="GT7" t="s">
        <v>289</v>
      </c>
      <c r="GU7" t="s">
        <v>289</v>
      </c>
      <c r="GV7" t="s">
        <v>289</v>
      </c>
      <c r="GW7" t="s">
        <v>289</v>
      </c>
      <c r="GX7" t="s">
        <v>289</v>
      </c>
      <c r="GY7" t="s">
        <v>289</v>
      </c>
      <c r="GZ7" t="s">
        <v>289</v>
      </c>
      <c r="HA7" t="s">
        <v>289</v>
      </c>
      <c r="HB7" t="s">
        <v>289</v>
      </c>
      <c r="HC7" t="s">
        <v>289</v>
      </c>
      <c r="HD7" t="s">
        <v>289</v>
      </c>
      <c r="HE7" t="s">
        <v>289</v>
      </c>
      <c r="HF7" t="s">
        <v>289</v>
      </c>
      <c r="HG7" t="s">
        <v>289</v>
      </c>
      <c r="HH7" t="s">
        <v>289</v>
      </c>
      <c r="HI7" t="s">
        <v>289</v>
      </c>
      <c r="HJ7" t="s">
        <v>289</v>
      </c>
      <c r="HK7" t="s">
        <v>289</v>
      </c>
      <c r="HL7" t="s">
        <v>289</v>
      </c>
      <c r="HM7" t="s">
        <v>289</v>
      </c>
      <c r="HN7" t="s">
        <v>289</v>
      </c>
      <c r="HO7" t="s">
        <v>289</v>
      </c>
      <c r="HP7" t="s">
        <v>289</v>
      </c>
      <c r="HQ7" t="s">
        <v>289</v>
      </c>
      <c r="HR7" t="s">
        <v>289</v>
      </c>
      <c r="HS7" t="s">
        <v>289</v>
      </c>
      <c r="HT7" t="s">
        <v>289</v>
      </c>
      <c r="HU7" t="s">
        <v>289</v>
      </c>
      <c r="HV7" t="s">
        <v>289</v>
      </c>
      <c r="HW7" t="s">
        <v>289</v>
      </c>
      <c r="HX7" t="s">
        <v>289</v>
      </c>
      <c r="HY7" t="s">
        <v>289</v>
      </c>
      <c r="HZ7" t="s">
        <v>289</v>
      </c>
      <c r="IA7" t="s">
        <v>289</v>
      </c>
      <c r="IB7" t="s">
        <v>289</v>
      </c>
      <c r="IC7" t="s">
        <v>289</v>
      </c>
      <c r="ID7" t="s">
        <v>289</v>
      </c>
      <c r="IE7" t="s">
        <v>289</v>
      </c>
      <c r="IF7" t="s">
        <v>289</v>
      </c>
      <c r="IG7" t="s">
        <v>289</v>
      </c>
      <c r="IH7" t="s">
        <v>289</v>
      </c>
      <c r="II7" t="s">
        <v>289</v>
      </c>
      <c r="IJ7" t="s">
        <v>289</v>
      </c>
      <c r="IK7" t="s">
        <v>289</v>
      </c>
      <c r="IL7" t="s">
        <v>289</v>
      </c>
      <c r="IM7" t="s">
        <v>289</v>
      </c>
      <c r="IN7" t="s">
        <v>289</v>
      </c>
      <c r="IO7" t="s">
        <v>289</v>
      </c>
      <c r="IP7" t="s">
        <v>289</v>
      </c>
      <c r="IQ7" t="s">
        <v>289</v>
      </c>
      <c r="IR7" t="s">
        <v>289</v>
      </c>
      <c r="IS7" t="s">
        <v>289</v>
      </c>
      <c r="IT7" t="s">
        <v>289</v>
      </c>
      <c r="IU7" t="s">
        <v>289</v>
      </c>
      <c r="IV7" t="s">
        <v>289</v>
      </c>
      <c r="IW7" t="s">
        <v>289</v>
      </c>
      <c r="IX7" t="s">
        <v>289</v>
      </c>
      <c r="IY7" t="s">
        <v>289</v>
      </c>
      <c r="IZ7" t="s">
        <v>289</v>
      </c>
      <c r="JA7" t="s">
        <v>289</v>
      </c>
      <c r="JB7" t="s">
        <v>289</v>
      </c>
      <c r="JC7" t="s">
        <v>289</v>
      </c>
      <c r="JD7" t="s">
        <v>289</v>
      </c>
      <c r="JE7" t="s">
        <v>289</v>
      </c>
      <c r="JF7" t="s">
        <v>289</v>
      </c>
      <c r="JG7" t="s">
        <v>289</v>
      </c>
      <c r="JH7" t="s">
        <v>289</v>
      </c>
      <c r="JI7" t="s">
        <v>289</v>
      </c>
      <c r="JJ7" t="s">
        <v>289</v>
      </c>
      <c r="JK7" t="s">
        <v>289</v>
      </c>
      <c r="JL7" t="s">
        <v>289</v>
      </c>
      <c r="JM7" t="s">
        <v>289</v>
      </c>
      <c r="JN7" t="s">
        <v>289</v>
      </c>
      <c r="JO7" t="s">
        <v>289</v>
      </c>
      <c r="JP7" t="s">
        <v>289</v>
      </c>
      <c r="JQ7">
        <v>2128</v>
      </c>
      <c r="JR7">
        <v>1621</v>
      </c>
      <c r="JS7">
        <v>1336</v>
      </c>
      <c r="JT7">
        <v>2393</v>
      </c>
      <c r="JU7">
        <v>7454</v>
      </c>
      <c r="JV7">
        <v>7767</v>
      </c>
      <c r="JW7">
        <v>7432</v>
      </c>
      <c r="JX7">
        <v>7776</v>
      </c>
      <c r="JY7">
        <v>8370</v>
      </c>
      <c r="JZ7">
        <v>7671</v>
      </c>
      <c r="KA7">
        <v>7688</v>
      </c>
      <c r="KB7">
        <v>6122</v>
      </c>
      <c r="KC7">
        <v>7880</v>
      </c>
      <c r="KD7">
        <v>9039</v>
      </c>
      <c r="KE7">
        <v>10979</v>
      </c>
      <c r="KF7">
        <v>12036</v>
      </c>
      <c r="KG7">
        <v>13537</v>
      </c>
      <c r="KH7">
        <v>16009</v>
      </c>
      <c r="KI7" t="s">
        <v>289</v>
      </c>
      <c r="KJ7" t="s">
        <v>289</v>
      </c>
      <c r="KK7" t="s">
        <v>289</v>
      </c>
      <c r="KL7" t="s">
        <v>289</v>
      </c>
      <c r="KM7" t="s">
        <v>289</v>
      </c>
      <c r="KN7" t="s">
        <v>289</v>
      </c>
      <c r="KO7" t="s">
        <v>289</v>
      </c>
      <c r="KP7" t="s">
        <v>289</v>
      </c>
      <c r="KQ7" t="s">
        <v>289</v>
      </c>
      <c r="KR7" t="s">
        <v>289</v>
      </c>
      <c r="KS7" t="s">
        <v>289</v>
      </c>
      <c r="KT7" t="s">
        <v>289</v>
      </c>
      <c r="KU7" t="s">
        <v>289</v>
      </c>
      <c r="KV7" t="s">
        <v>289</v>
      </c>
      <c r="KW7" t="s">
        <v>289</v>
      </c>
      <c r="KX7" t="s">
        <v>289</v>
      </c>
      <c r="KY7" t="s">
        <v>289</v>
      </c>
      <c r="KZ7" t="s">
        <v>289</v>
      </c>
      <c r="LA7" t="s">
        <v>289</v>
      </c>
      <c r="LB7" t="s">
        <v>289</v>
      </c>
      <c r="LC7" t="s">
        <v>289</v>
      </c>
      <c r="LD7" t="s">
        <v>289</v>
      </c>
      <c r="LE7" t="s">
        <v>289</v>
      </c>
      <c r="LF7" t="s">
        <v>289</v>
      </c>
      <c r="LG7" t="s">
        <v>289</v>
      </c>
      <c r="LH7" t="s">
        <v>289</v>
      </c>
      <c r="LI7" t="s">
        <v>289</v>
      </c>
      <c r="LJ7" t="s">
        <v>289</v>
      </c>
      <c r="LK7" t="s">
        <v>289</v>
      </c>
      <c r="LL7" t="s">
        <v>289</v>
      </c>
      <c r="LM7" t="s">
        <v>289</v>
      </c>
      <c r="LN7" t="s">
        <v>289</v>
      </c>
      <c r="LO7" t="s">
        <v>289</v>
      </c>
      <c r="LP7" t="s">
        <v>289</v>
      </c>
      <c r="LQ7" t="s">
        <v>289</v>
      </c>
      <c r="LR7" t="s">
        <v>289</v>
      </c>
      <c r="LS7" t="s">
        <v>289</v>
      </c>
      <c r="LT7" t="s">
        <v>289</v>
      </c>
      <c r="LU7" t="s">
        <v>289</v>
      </c>
      <c r="LV7" t="s">
        <v>289</v>
      </c>
      <c r="LW7" t="s">
        <v>289</v>
      </c>
      <c r="LX7" t="s">
        <v>289</v>
      </c>
      <c r="LY7" t="s">
        <v>289</v>
      </c>
      <c r="LZ7" t="s">
        <v>289</v>
      </c>
      <c r="MA7" t="s">
        <v>289</v>
      </c>
      <c r="MB7" t="s">
        <v>289</v>
      </c>
      <c r="MC7" t="s">
        <v>289</v>
      </c>
      <c r="MD7" t="s">
        <v>289</v>
      </c>
      <c r="ME7" t="s">
        <v>289</v>
      </c>
      <c r="MF7" t="s">
        <v>289</v>
      </c>
      <c r="MG7" t="s">
        <v>289</v>
      </c>
      <c r="MH7" t="s">
        <v>289</v>
      </c>
      <c r="MI7" t="s">
        <v>289</v>
      </c>
      <c r="MJ7" t="s">
        <v>289</v>
      </c>
      <c r="MK7" t="s">
        <v>289</v>
      </c>
      <c r="ML7" t="s">
        <v>289</v>
      </c>
      <c r="MM7" t="s">
        <v>289</v>
      </c>
      <c r="MN7" t="s">
        <v>289</v>
      </c>
      <c r="MO7">
        <v>515</v>
      </c>
      <c r="MP7">
        <v>772</v>
      </c>
      <c r="MQ7">
        <v>755</v>
      </c>
      <c r="MR7">
        <v>720</v>
      </c>
      <c r="MS7">
        <v>866</v>
      </c>
      <c r="MT7">
        <v>1266</v>
      </c>
      <c r="MU7">
        <v>1393</v>
      </c>
      <c r="MV7">
        <v>1926</v>
      </c>
      <c r="MW7">
        <v>1967</v>
      </c>
      <c r="MX7">
        <v>1620</v>
      </c>
      <c r="MY7">
        <v>2061</v>
      </c>
      <c r="MZ7">
        <v>1945</v>
      </c>
      <c r="NA7">
        <v>2327</v>
      </c>
      <c r="NB7">
        <v>1993</v>
      </c>
      <c r="NC7">
        <v>1638</v>
      </c>
      <c r="ND7">
        <v>2194</v>
      </c>
      <c r="NE7">
        <v>2459</v>
      </c>
      <c r="NF7">
        <v>2202</v>
      </c>
      <c r="NG7" t="s">
        <v>289</v>
      </c>
      <c r="NH7" t="s">
        <v>289</v>
      </c>
      <c r="NI7" t="s">
        <v>289</v>
      </c>
      <c r="NJ7" t="s">
        <v>289</v>
      </c>
      <c r="NK7" t="s">
        <v>289</v>
      </c>
      <c r="NL7" t="s">
        <v>289</v>
      </c>
      <c r="NM7" t="s">
        <v>289</v>
      </c>
      <c r="NN7" t="s">
        <v>289</v>
      </c>
      <c r="NO7" t="s">
        <v>289</v>
      </c>
      <c r="NP7" t="s">
        <v>289</v>
      </c>
      <c r="NQ7" t="s">
        <v>289</v>
      </c>
      <c r="NR7" t="s">
        <v>289</v>
      </c>
      <c r="NS7" t="s">
        <v>289</v>
      </c>
      <c r="NT7" t="s">
        <v>289</v>
      </c>
      <c r="NU7" t="s">
        <v>289</v>
      </c>
      <c r="NV7" t="s">
        <v>289</v>
      </c>
      <c r="NW7" t="s">
        <v>289</v>
      </c>
      <c r="NX7" t="s">
        <v>289</v>
      </c>
      <c r="NY7" t="s">
        <v>289</v>
      </c>
      <c r="NZ7" t="s">
        <v>289</v>
      </c>
      <c r="OA7" t="s">
        <v>289</v>
      </c>
      <c r="OB7" t="s">
        <v>289</v>
      </c>
      <c r="OC7" t="s">
        <v>289</v>
      </c>
      <c r="OD7" t="s">
        <v>289</v>
      </c>
      <c r="OE7" t="s">
        <v>289</v>
      </c>
      <c r="OF7" t="s">
        <v>289</v>
      </c>
      <c r="OG7" t="s">
        <v>289</v>
      </c>
      <c r="OH7" t="s">
        <v>289</v>
      </c>
      <c r="OI7" t="s">
        <v>289</v>
      </c>
      <c r="OJ7" t="s">
        <v>289</v>
      </c>
      <c r="OK7" t="s">
        <v>289</v>
      </c>
      <c r="OL7" t="s">
        <v>289</v>
      </c>
      <c r="OM7" t="s">
        <v>289</v>
      </c>
      <c r="ON7" t="s">
        <v>289</v>
      </c>
      <c r="OO7" t="s">
        <v>289</v>
      </c>
      <c r="OP7" t="s">
        <v>289</v>
      </c>
      <c r="OQ7" t="s">
        <v>289</v>
      </c>
      <c r="OR7" t="s">
        <v>289</v>
      </c>
      <c r="OS7" t="s">
        <v>289</v>
      </c>
      <c r="OT7" t="s">
        <v>289</v>
      </c>
      <c r="OU7" t="s">
        <v>289</v>
      </c>
      <c r="OV7" t="s">
        <v>289</v>
      </c>
      <c r="OW7" t="s">
        <v>289</v>
      </c>
      <c r="OX7" t="s">
        <v>289</v>
      </c>
      <c r="OY7" t="s">
        <v>289</v>
      </c>
      <c r="OZ7" t="s">
        <v>289</v>
      </c>
      <c r="PA7" t="s">
        <v>289</v>
      </c>
      <c r="PB7" t="s">
        <v>289</v>
      </c>
      <c r="PC7" t="s">
        <v>289</v>
      </c>
      <c r="PD7" t="s">
        <v>289</v>
      </c>
      <c r="PE7" t="s">
        <v>289</v>
      </c>
      <c r="PF7" t="s">
        <v>289</v>
      </c>
      <c r="PG7" t="s">
        <v>289</v>
      </c>
      <c r="PH7" t="s">
        <v>289</v>
      </c>
      <c r="PI7" t="s">
        <v>289</v>
      </c>
      <c r="PJ7" t="s">
        <v>289</v>
      </c>
      <c r="PK7" t="s">
        <v>289</v>
      </c>
      <c r="PL7" t="s">
        <v>289</v>
      </c>
      <c r="PM7" t="s">
        <v>289</v>
      </c>
      <c r="PN7" t="s">
        <v>289</v>
      </c>
      <c r="PO7" t="s">
        <v>289</v>
      </c>
      <c r="PP7" t="s">
        <v>289</v>
      </c>
      <c r="PQ7" t="s">
        <v>289</v>
      </c>
      <c r="PR7" t="s">
        <v>289</v>
      </c>
      <c r="PS7" t="s">
        <v>289</v>
      </c>
      <c r="PT7" t="s">
        <v>289</v>
      </c>
      <c r="PU7" t="s">
        <v>289</v>
      </c>
      <c r="PV7" t="s">
        <v>289</v>
      </c>
      <c r="PW7" t="s">
        <v>289</v>
      </c>
      <c r="PX7" t="s">
        <v>289</v>
      </c>
      <c r="PY7" t="s">
        <v>289</v>
      </c>
      <c r="PZ7" t="s">
        <v>289</v>
      </c>
      <c r="QA7" t="s">
        <v>289</v>
      </c>
      <c r="QB7" t="s">
        <v>289</v>
      </c>
      <c r="QC7" t="s">
        <v>289</v>
      </c>
      <c r="QD7" t="s">
        <v>289</v>
      </c>
      <c r="QE7" t="s">
        <v>289</v>
      </c>
      <c r="QF7" t="s">
        <v>289</v>
      </c>
      <c r="QG7" t="s">
        <v>289</v>
      </c>
      <c r="QH7" t="s">
        <v>289</v>
      </c>
      <c r="QI7" t="s">
        <v>289</v>
      </c>
      <c r="QJ7" t="s">
        <v>289</v>
      </c>
      <c r="QK7" t="s">
        <v>289</v>
      </c>
      <c r="QL7" t="s">
        <v>289</v>
      </c>
      <c r="QM7" t="s">
        <v>289</v>
      </c>
      <c r="QN7" t="s">
        <v>289</v>
      </c>
      <c r="QO7" t="s">
        <v>289</v>
      </c>
      <c r="QP7" t="s">
        <v>289</v>
      </c>
      <c r="QQ7" t="s">
        <v>289</v>
      </c>
      <c r="QR7" t="s">
        <v>289</v>
      </c>
      <c r="QS7" t="s">
        <v>289</v>
      </c>
      <c r="QT7" t="s">
        <v>289</v>
      </c>
      <c r="QU7" t="s">
        <v>289</v>
      </c>
      <c r="QV7" t="s">
        <v>289</v>
      </c>
      <c r="QW7" t="s">
        <v>289</v>
      </c>
      <c r="QX7" t="s">
        <v>289</v>
      </c>
      <c r="QY7">
        <v>5544</v>
      </c>
      <c r="QZ7">
        <v>6466</v>
      </c>
      <c r="RA7" t="s">
        <v>289</v>
      </c>
      <c r="RB7">
        <v>3689</v>
      </c>
      <c r="RC7">
        <v>10439</v>
      </c>
      <c r="RD7">
        <v>9079</v>
      </c>
      <c r="RE7">
        <v>7679</v>
      </c>
      <c r="RF7">
        <v>7424</v>
      </c>
      <c r="RG7">
        <v>7955</v>
      </c>
      <c r="RH7">
        <v>7047</v>
      </c>
      <c r="RI7">
        <v>7724</v>
      </c>
      <c r="RJ7">
        <v>8222</v>
      </c>
      <c r="RK7">
        <v>8304</v>
      </c>
      <c r="RL7">
        <v>8217</v>
      </c>
      <c r="RM7">
        <v>8601</v>
      </c>
      <c r="RN7">
        <v>10749</v>
      </c>
      <c r="RO7" t="s">
        <v>289</v>
      </c>
      <c r="RP7">
        <v>6495</v>
      </c>
      <c r="RQ7" t="s">
        <v>289</v>
      </c>
      <c r="RR7" t="s">
        <v>289</v>
      </c>
      <c r="RS7" t="s">
        <v>289</v>
      </c>
      <c r="RT7" t="s">
        <v>289</v>
      </c>
      <c r="RU7" t="s">
        <v>289</v>
      </c>
      <c r="RV7" t="s">
        <v>289</v>
      </c>
      <c r="RW7" t="s">
        <v>289</v>
      </c>
      <c r="RX7" t="s">
        <v>289</v>
      </c>
      <c r="RY7" t="s">
        <v>289</v>
      </c>
      <c r="RZ7" t="s">
        <v>289</v>
      </c>
      <c r="SA7" t="s">
        <v>289</v>
      </c>
      <c r="SB7" t="s">
        <v>289</v>
      </c>
      <c r="SC7" t="s">
        <v>289</v>
      </c>
      <c r="SD7" t="s">
        <v>289</v>
      </c>
      <c r="SE7" t="s">
        <v>289</v>
      </c>
      <c r="SF7" t="s">
        <v>289</v>
      </c>
      <c r="SG7" t="s">
        <v>289</v>
      </c>
      <c r="SH7" t="s">
        <v>289</v>
      </c>
      <c r="SI7" t="s">
        <v>289</v>
      </c>
      <c r="SJ7" t="s">
        <v>289</v>
      </c>
      <c r="SK7" t="s">
        <v>289</v>
      </c>
      <c r="SL7" t="s">
        <v>289</v>
      </c>
      <c r="SM7" t="s">
        <v>289</v>
      </c>
      <c r="SN7" t="s">
        <v>289</v>
      </c>
      <c r="SO7" t="s">
        <v>289</v>
      </c>
      <c r="SP7" t="s">
        <v>289</v>
      </c>
      <c r="SQ7" t="s">
        <v>289</v>
      </c>
      <c r="SR7" t="s">
        <v>289</v>
      </c>
      <c r="SS7" t="s">
        <v>289</v>
      </c>
      <c r="ST7" t="s">
        <v>289</v>
      </c>
      <c r="SU7" t="s">
        <v>289</v>
      </c>
      <c r="SV7" t="s">
        <v>289</v>
      </c>
      <c r="SW7" t="s">
        <v>289</v>
      </c>
      <c r="SX7" t="s">
        <v>289</v>
      </c>
      <c r="SY7" t="s">
        <v>289</v>
      </c>
      <c r="SZ7" t="s">
        <v>289</v>
      </c>
      <c r="TA7" t="s">
        <v>289</v>
      </c>
      <c r="TB7" t="s">
        <v>289</v>
      </c>
      <c r="TC7" t="s">
        <v>289</v>
      </c>
      <c r="TD7">
        <v>65</v>
      </c>
      <c r="TE7">
        <v>94</v>
      </c>
      <c r="TF7">
        <v>60</v>
      </c>
      <c r="TG7">
        <v>63</v>
      </c>
      <c r="TH7" t="s">
        <v>289</v>
      </c>
      <c r="TI7" t="s">
        <v>289</v>
      </c>
      <c r="TJ7" t="s">
        <v>289</v>
      </c>
      <c r="TK7" t="s">
        <v>289</v>
      </c>
      <c r="TL7">
        <v>514</v>
      </c>
      <c r="TM7" t="s">
        <v>289</v>
      </c>
      <c r="TN7" t="s">
        <v>289</v>
      </c>
      <c r="TO7" t="s">
        <v>289</v>
      </c>
      <c r="TP7" t="s">
        <v>289</v>
      </c>
      <c r="TQ7" t="s">
        <v>289</v>
      </c>
      <c r="TR7" t="s">
        <v>289</v>
      </c>
      <c r="TS7" t="s">
        <v>289</v>
      </c>
      <c r="TT7" t="s">
        <v>289</v>
      </c>
      <c r="TU7" t="s">
        <v>289</v>
      </c>
      <c r="TV7" t="s">
        <v>289</v>
      </c>
      <c r="TW7" t="s">
        <v>289</v>
      </c>
      <c r="TX7" t="s">
        <v>289</v>
      </c>
      <c r="TY7" t="s">
        <v>289</v>
      </c>
      <c r="TZ7" t="s">
        <v>289</v>
      </c>
      <c r="UA7" t="s">
        <v>289</v>
      </c>
      <c r="UB7" t="s">
        <v>289</v>
      </c>
      <c r="UC7" t="s">
        <v>289</v>
      </c>
      <c r="UD7" t="s">
        <v>289</v>
      </c>
      <c r="UE7" t="s">
        <v>289</v>
      </c>
      <c r="UF7" t="s">
        <v>289</v>
      </c>
      <c r="UG7" t="s">
        <v>289</v>
      </c>
      <c r="UH7" t="s">
        <v>289</v>
      </c>
      <c r="UI7" t="s">
        <v>289</v>
      </c>
      <c r="UJ7" t="s">
        <v>289</v>
      </c>
      <c r="UK7" t="s">
        <v>289</v>
      </c>
      <c r="UL7" t="s">
        <v>289</v>
      </c>
      <c r="UM7" t="s">
        <v>289</v>
      </c>
      <c r="UN7" t="s">
        <v>289</v>
      </c>
      <c r="UO7" t="s">
        <v>289</v>
      </c>
      <c r="UP7" t="s">
        <v>289</v>
      </c>
      <c r="UQ7" t="s">
        <v>289</v>
      </c>
      <c r="UR7" t="s">
        <v>289</v>
      </c>
      <c r="US7" t="s">
        <v>289</v>
      </c>
      <c r="UT7" t="s">
        <v>289</v>
      </c>
      <c r="UU7" t="s">
        <v>289</v>
      </c>
      <c r="UV7" t="s">
        <v>289</v>
      </c>
      <c r="UW7" t="s">
        <v>289</v>
      </c>
      <c r="UX7" t="s">
        <v>289</v>
      </c>
      <c r="UY7" t="s">
        <v>289</v>
      </c>
      <c r="UZ7" t="s">
        <v>289</v>
      </c>
      <c r="VA7" t="s">
        <v>289</v>
      </c>
      <c r="VB7" t="s">
        <v>289</v>
      </c>
      <c r="VC7" t="s">
        <v>289</v>
      </c>
      <c r="VD7" t="s">
        <v>289</v>
      </c>
      <c r="VE7" t="s">
        <v>289</v>
      </c>
      <c r="VF7" t="s">
        <v>289</v>
      </c>
      <c r="VG7" t="s">
        <v>289</v>
      </c>
      <c r="VH7" t="s">
        <v>289</v>
      </c>
      <c r="VI7" t="s">
        <v>289</v>
      </c>
      <c r="VJ7" t="s">
        <v>289</v>
      </c>
      <c r="VK7" t="s">
        <v>289</v>
      </c>
      <c r="VL7" t="s">
        <v>289</v>
      </c>
      <c r="VM7" t="s">
        <v>289</v>
      </c>
      <c r="VN7" t="s">
        <v>289</v>
      </c>
      <c r="VO7" t="s">
        <v>289</v>
      </c>
      <c r="VP7" t="s">
        <v>289</v>
      </c>
      <c r="VQ7" t="s">
        <v>289</v>
      </c>
      <c r="VR7" t="s">
        <v>289</v>
      </c>
      <c r="VS7" t="s">
        <v>289</v>
      </c>
      <c r="VT7" t="s">
        <v>289</v>
      </c>
      <c r="VU7" t="s">
        <v>289</v>
      </c>
      <c r="VV7" t="s">
        <v>289</v>
      </c>
      <c r="VW7" t="s">
        <v>289</v>
      </c>
      <c r="VX7" t="s">
        <v>289</v>
      </c>
      <c r="VY7" t="s">
        <v>289</v>
      </c>
      <c r="VZ7" t="s">
        <v>289</v>
      </c>
      <c r="WA7" t="s">
        <v>289</v>
      </c>
      <c r="WB7" t="s">
        <v>289</v>
      </c>
      <c r="WC7" t="s">
        <v>289</v>
      </c>
      <c r="WD7" t="s">
        <v>289</v>
      </c>
      <c r="WE7" t="s">
        <v>289</v>
      </c>
      <c r="WF7">
        <v>111</v>
      </c>
      <c r="WG7">
        <v>137</v>
      </c>
      <c r="WH7">
        <v>212</v>
      </c>
      <c r="WI7">
        <v>302</v>
      </c>
      <c r="WJ7">
        <v>514</v>
      </c>
      <c r="WK7">
        <v>638</v>
      </c>
      <c r="WL7">
        <v>1088</v>
      </c>
      <c r="WM7">
        <v>2233</v>
      </c>
      <c r="WN7">
        <v>2546</v>
      </c>
      <c r="WO7">
        <v>2769</v>
      </c>
      <c r="WP7">
        <v>2624</v>
      </c>
      <c r="WQ7">
        <v>3199</v>
      </c>
      <c r="WR7">
        <v>3585</v>
      </c>
      <c r="WS7">
        <v>5112</v>
      </c>
      <c r="WT7" t="s">
        <v>289</v>
      </c>
      <c r="WU7" t="s">
        <v>289</v>
      </c>
      <c r="WV7" t="s">
        <v>289</v>
      </c>
      <c r="WW7" t="s">
        <v>289</v>
      </c>
      <c r="WX7" t="s">
        <v>289</v>
      </c>
      <c r="WY7" t="s">
        <v>289</v>
      </c>
      <c r="WZ7" t="s">
        <v>289</v>
      </c>
      <c r="XA7" t="s">
        <v>289</v>
      </c>
      <c r="XB7" t="s">
        <v>289</v>
      </c>
      <c r="XC7" t="s">
        <v>289</v>
      </c>
      <c r="XD7" t="s">
        <v>289</v>
      </c>
      <c r="XE7" t="s">
        <v>289</v>
      </c>
      <c r="XF7" t="s">
        <v>289</v>
      </c>
      <c r="XG7" t="s">
        <v>289</v>
      </c>
      <c r="XH7" t="s">
        <v>289</v>
      </c>
      <c r="XI7" t="s">
        <v>289</v>
      </c>
      <c r="XJ7" t="s">
        <v>289</v>
      </c>
      <c r="XK7" t="s">
        <v>289</v>
      </c>
      <c r="XL7" t="s">
        <v>289</v>
      </c>
      <c r="XM7" t="s">
        <v>289</v>
      </c>
      <c r="XN7" t="s">
        <v>289</v>
      </c>
      <c r="XO7" t="s">
        <v>289</v>
      </c>
      <c r="XP7" t="s">
        <v>289</v>
      </c>
      <c r="XQ7" t="s">
        <v>289</v>
      </c>
      <c r="XR7" t="s">
        <v>289</v>
      </c>
      <c r="XS7" t="s">
        <v>289</v>
      </c>
      <c r="XT7" t="s">
        <v>289</v>
      </c>
      <c r="XU7" t="s">
        <v>289</v>
      </c>
      <c r="XV7" t="s">
        <v>289</v>
      </c>
      <c r="XW7" t="s">
        <v>289</v>
      </c>
      <c r="XX7" t="s">
        <v>289</v>
      </c>
      <c r="XY7" t="s">
        <v>289</v>
      </c>
      <c r="XZ7" t="s">
        <v>289</v>
      </c>
      <c r="YA7" t="s">
        <v>289</v>
      </c>
      <c r="YB7" t="s">
        <v>289</v>
      </c>
      <c r="YC7" t="s">
        <v>289</v>
      </c>
      <c r="YD7" t="s">
        <v>289</v>
      </c>
      <c r="YE7" t="s">
        <v>289</v>
      </c>
      <c r="YF7" t="s">
        <v>289</v>
      </c>
      <c r="YG7" t="s">
        <v>289</v>
      </c>
      <c r="YH7" t="s">
        <v>289</v>
      </c>
      <c r="YI7" t="s">
        <v>289</v>
      </c>
      <c r="YJ7" t="s">
        <v>289</v>
      </c>
      <c r="YK7" t="s">
        <v>289</v>
      </c>
      <c r="YL7" t="s">
        <v>289</v>
      </c>
      <c r="YM7" t="s">
        <v>289</v>
      </c>
      <c r="YN7" t="s">
        <v>289</v>
      </c>
      <c r="YO7" t="s">
        <v>289</v>
      </c>
      <c r="YP7" t="s">
        <v>289</v>
      </c>
      <c r="YQ7" t="s">
        <v>289</v>
      </c>
      <c r="YR7" t="s">
        <v>289</v>
      </c>
      <c r="YS7" t="s">
        <v>289</v>
      </c>
      <c r="YT7" t="s">
        <v>289</v>
      </c>
      <c r="YU7" t="s">
        <v>289</v>
      </c>
      <c r="YV7" t="s">
        <v>289</v>
      </c>
      <c r="YW7" t="s">
        <v>289</v>
      </c>
      <c r="YX7" t="s">
        <v>289</v>
      </c>
      <c r="YY7" t="s">
        <v>289</v>
      </c>
      <c r="YZ7">
        <v>1940</v>
      </c>
      <c r="ZA7">
        <v>1820</v>
      </c>
      <c r="ZB7">
        <v>1217</v>
      </c>
      <c r="ZC7">
        <v>1382</v>
      </c>
      <c r="ZD7" t="s">
        <v>289</v>
      </c>
      <c r="ZE7" t="s">
        <v>289</v>
      </c>
      <c r="ZF7" t="s">
        <v>289</v>
      </c>
      <c r="ZG7" t="s">
        <v>289</v>
      </c>
      <c r="ZH7" t="s">
        <v>289</v>
      </c>
      <c r="ZI7" t="s">
        <v>289</v>
      </c>
      <c r="ZJ7" t="s">
        <v>289</v>
      </c>
      <c r="ZK7" t="s">
        <v>289</v>
      </c>
      <c r="ZL7" t="s">
        <v>289</v>
      </c>
      <c r="ZM7" t="s">
        <v>289</v>
      </c>
      <c r="ZN7" t="s">
        <v>289</v>
      </c>
      <c r="ZO7" t="s">
        <v>289</v>
      </c>
      <c r="ZP7" t="s">
        <v>289</v>
      </c>
      <c r="ZQ7" t="s">
        <v>289</v>
      </c>
      <c r="ZR7" t="s">
        <v>289</v>
      </c>
      <c r="ZS7" t="s">
        <v>289</v>
      </c>
      <c r="ZT7" t="s">
        <v>289</v>
      </c>
      <c r="ZU7" t="s">
        <v>289</v>
      </c>
      <c r="ZV7" t="s">
        <v>289</v>
      </c>
      <c r="ZW7">
        <v>322</v>
      </c>
      <c r="ZX7">
        <v>232</v>
      </c>
      <c r="ZY7">
        <v>177</v>
      </c>
      <c r="ZZ7">
        <v>561</v>
      </c>
      <c r="AAA7">
        <v>548</v>
      </c>
      <c r="AAB7">
        <v>553</v>
      </c>
      <c r="AAC7">
        <v>408</v>
      </c>
      <c r="AAD7">
        <v>428</v>
      </c>
      <c r="AAE7">
        <v>560</v>
      </c>
      <c r="AAF7">
        <v>690</v>
      </c>
      <c r="AAG7">
        <v>739</v>
      </c>
      <c r="AAH7">
        <v>703</v>
      </c>
      <c r="AAI7">
        <v>735</v>
      </c>
      <c r="AAJ7">
        <v>1241</v>
      </c>
      <c r="AAK7" t="s">
        <v>289</v>
      </c>
      <c r="AAL7">
        <v>4517</v>
      </c>
      <c r="AAM7">
        <v>2654</v>
      </c>
      <c r="AAN7">
        <v>3134</v>
      </c>
      <c r="AAO7">
        <v>3622</v>
      </c>
      <c r="AAP7" t="s">
        <v>289</v>
      </c>
      <c r="AAQ7" t="s">
        <v>289</v>
      </c>
      <c r="AAR7" t="s">
        <v>289</v>
      </c>
      <c r="AAS7" t="s">
        <v>289</v>
      </c>
      <c r="AAT7" t="s">
        <v>289</v>
      </c>
      <c r="AAU7" t="s">
        <v>289</v>
      </c>
      <c r="AAV7" t="s">
        <v>289</v>
      </c>
      <c r="AAW7" t="s">
        <v>289</v>
      </c>
      <c r="AAX7" t="s">
        <v>289</v>
      </c>
      <c r="AAY7" t="s">
        <v>289</v>
      </c>
      <c r="AAZ7" t="s">
        <v>289</v>
      </c>
      <c r="ABA7" t="s">
        <v>289</v>
      </c>
      <c r="ABB7" t="s">
        <v>289</v>
      </c>
      <c r="ABC7" t="s">
        <v>289</v>
      </c>
      <c r="ABD7" t="s">
        <v>289</v>
      </c>
      <c r="ABE7" t="s">
        <v>289</v>
      </c>
      <c r="ABF7" t="s">
        <v>289</v>
      </c>
      <c r="ABG7" t="s">
        <v>289</v>
      </c>
      <c r="ABH7" t="s">
        <v>289</v>
      </c>
      <c r="ABI7" t="s">
        <v>289</v>
      </c>
      <c r="ABJ7" t="s">
        <v>289</v>
      </c>
      <c r="ABK7" t="s">
        <v>289</v>
      </c>
      <c r="ABL7" t="s">
        <v>289</v>
      </c>
      <c r="ABM7" t="s">
        <v>289</v>
      </c>
      <c r="ABN7" t="s">
        <v>289</v>
      </c>
      <c r="ABO7" t="s">
        <v>289</v>
      </c>
      <c r="ABP7" t="s">
        <v>289</v>
      </c>
      <c r="ABQ7" t="s">
        <v>289</v>
      </c>
      <c r="ABR7" t="s">
        <v>289</v>
      </c>
      <c r="ABS7" t="s">
        <v>289</v>
      </c>
      <c r="ABT7" t="s">
        <v>289</v>
      </c>
      <c r="ABU7" t="s">
        <v>289</v>
      </c>
      <c r="ABV7" t="s">
        <v>289</v>
      </c>
      <c r="ABW7" t="s">
        <v>289</v>
      </c>
      <c r="ABX7" t="s">
        <v>289</v>
      </c>
      <c r="ABY7" t="s">
        <v>289</v>
      </c>
      <c r="ABZ7" t="s">
        <v>289</v>
      </c>
      <c r="ACA7" t="s">
        <v>289</v>
      </c>
      <c r="ACB7" t="s">
        <v>289</v>
      </c>
      <c r="ACC7" t="s">
        <v>289</v>
      </c>
      <c r="ACD7" t="s">
        <v>289</v>
      </c>
      <c r="ACE7" t="s">
        <v>289</v>
      </c>
      <c r="ACF7" t="s">
        <v>289</v>
      </c>
      <c r="ACG7" t="s">
        <v>289</v>
      </c>
      <c r="ACH7" t="s">
        <v>289</v>
      </c>
      <c r="ACI7" t="s">
        <v>289</v>
      </c>
      <c r="ACJ7" t="s">
        <v>289</v>
      </c>
      <c r="ACK7" t="s">
        <v>289</v>
      </c>
      <c r="ACL7" t="s">
        <v>289</v>
      </c>
      <c r="ACM7" t="s">
        <v>289</v>
      </c>
      <c r="ACN7" t="s">
        <v>289</v>
      </c>
      <c r="ACO7" t="s">
        <v>289</v>
      </c>
      <c r="ACP7" t="s">
        <v>289</v>
      </c>
      <c r="ACQ7" t="s">
        <v>289</v>
      </c>
      <c r="ACR7" t="s">
        <v>289</v>
      </c>
      <c r="ACS7" t="s">
        <v>289</v>
      </c>
      <c r="ACT7" t="s">
        <v>289</v>
      </c>
      <c r="ACU7" t="s">
        <v>289</v>
      </c>
      <c r="ACV7" t="s">
        <v>289</v>
      </c>
      <c r="ACW7" t="s">
        <v>289</v>
      </c>
      <c r="ACX7" t="s">
        <v>289</v>
      </c>
      <c r="ACY7" t="s">
        <v>289</v>
      </c>
      <c r="ACZ7" t="s">
        <v>289</v>
      </c>
      <c r="ADA7" t="s">
        <v>289</v>
      </c>
      <c r="ADB7" t="s">
        <v>289</v>
      </c>
      <c r="ADC7" t="s">
        <v>289</v>
      </c>
      <c r="ADD7" t="s">
        <v>289</v>
      </c>
      <c r="ADE7" t="s">
        <v>289</v>
      </c>
      <c r="ADF7" t="s">
        <v>289</v>
      </c>
      <c r="ADG7" t="s">
        <v>289</v>
      </c>
      <c r="ADH7" t="s">
        <v>289</v>
      </c>
      <c r="ADI7" t="s">
        <v>289</v>
      </c>
      <c r="ADJ7" t="s">
        <v>289</v>
      </c>
      <c r="ADK7" t="s">
        <v>289</v>
      </c>
      <c r="ADL7" t="s">
        <v>289</v>
      </c>
      <c r="ADM7" t="s">
        <v>289</v>
      </c>
      <c r="ADN7">
        <v>1808</v>
      </c>
      <c r="ADO7">
        <v>1519</v>
      </c>
      <c r="ADP7">
        <v>1867</v>
      </c>
      <c r="ADQ7">
        <v>1702</v>
      </c>
      <c r="ADR7">
        <v>2148</v>
      </c>
      <c r="ADS7">
        <v>2593</v>
      </c>
      <c r="ADT7">
        <v>2024</v>
      </c>
      <c r="ADU7">
        <v>2208</v>
      </c>
      <c r="ADV7">
        <v>2705</v>
      </c>
      <c r="ADW7">
        <v>2369</v>
      </c>
      <c r="ADX7">
        <v>1010</v>
      </c>
      <c r="ADY7">
        <v>1370</v>
      </c>
      <c r="ADZ7">
        <v>2644</v>
      </c>
      <c r="AEA7">
        <v>1715</v>
      </c>
      <c r="AEB7" t="s">
        <v>289</v>
      </c>
      <c r="AEC7" t="s">
        <v>289</v>
      </c>
      <c r="AED7" t="s">
        <v>289</v>
      </c>
      <c r="AEE7" t="s">
        <v>289</v>
      </c>
      <c r="AEF7" t="s">
        <v>289</v>
      </c>
      <c r="AEG7" t="s">
        <v>289</v>
      </c>
      <c r="AEH7" t="s">
        <v>289</v>
      </c>
      <c r="AEI7" t="s">
        <v>289</v>
      </c>
      <c r="AEJ7" t="s">
        <v>289</v>
      </c>
      <c r="AEK7" t="s">
        <v>289</v>
      </c>
      <c r="AEL7" t="s">
        <v>289</v>
      </c>
      <c r="AEM7" t="s">
        <v>289</v>
      </c>
      <c r="AEN7" t="s">
        <v>289</v>
      </c>
      <c r="AEO7" t="s">
        <v>289</v>
      </c>
      <c r="AEP7" t="s">
        <v>289</v>
      </c>
      <c r="AEQ7" t="s">
        <v>289</v>
      </c>
      <c r="AER7" t="s">
        <v>289</v>
      </c>
      <c r="AES7" t="s">
        <v>289</v>
      </c>
      <c r="AET7" t="s">
        <v>289</v>
      </c>
      <c r="AEU7" t="s">
        <v>289</v>
      </c>
      <c r="AEV7" t="s">
        <v>289</v>
      </c>
      <c r="AEW7" t="s">
        <v>289</v>
      </c>
      <c r="AEX7" t="s">
        <v>289</v>
      </c>
      <c r="AEY7" t="s">
        <v>289</v>
      </c>
      <c r="AEZ7" t="s">
        <v>289</v>
      </c>
      <c r="AFA7" t="s">
        <v>289</v>
      </c>
      <c r="AFB7" t="s">
        <v>289</v>
      </c>
      <c r="AFC7" t="s">
        <v>289</v>
      </c>
      <c r="AFD7" t="s">
        <v>289</v>
      </c>
      <c r="AFE7" t="s">
        <v>289</v>
      </c>
      <c r="AFF7" t="s">
        <v>289</v>
      </c>
      <c r="AFG7" t="s">
        <v>289</v>
      </c>
      <c r="AFH7" t="s">
        <v>289</v>
      </c>
      <c r="AFI7" t="s">
        <v>289</v>
      </c>
      <c r="AFJ7" t="s">
        <v>289</v>
      </c>
      <c r="AFK7" t="s">
        <v>289</v>
      </c>
      <c r="AFL7" t="s">
        <v>289</v>
      </c>
      <c r="AFM7" t="s">
        <v>289</v>
      </c>
      <c r="AFN7" t="s">
        <v>289</v>
      </c>
      <c r="AFO7">
        <v>581</v>
      </c>
      <c r="AFP7">
        <v>613</v>
      </c>
      <c r="AFQ7">
        <v>378</v>
      </c>
      <c r="AFR7">
        <v>415</v>
      </c>
      <c r="AFS7">
        <v>660</v>
      </c>
      <c r="AFT7">
        <v>640</v>
      </c>
      <c r="AFU7">
        <v>692</v>
      </c>
      <c r="AFV7">
        <v>568</v>
      </c>
      <c r="AFW7">
        <v>803</v>
      </c>
      <c r="AFX7">
        <v>912</v>
      </c>
      <c r="AFY7">
        <v>1094</v>
      </c>
      <c r="AFZ7">
        <v>1568</v>
      </c>
      <c r="AGA7">
        <v>1595</v>
      </c>
      <c r="AGB7">
        <v>1630</v>
      </c>
      <c r="AGC7">
        <v>847</v>
      </c>
      <c r="AGD7">
        <v>1325</v>
      </c>
      <c r="AGE7">
        <v>1216</v>
      </c>
      <c r="AGF7">
        <v>1302</v>
      </c>
      <c r="AGG7" t="s">
        <v>289</v>
      </c>
      <c r="AGH7" t="s">
        <v>289</v>
      </c>
      <c r="AGI7" t="s">
        <v>289</v>
      </c>
      <c r="AGJ7" t="s">
        <v>289</v>
      </c>
      <c r="AGK7" t="s">
        <v>289</v>
      </c>
      <c r="AGL7" t="s">
        <v>289</v>
      </c>
      <c r="AGM7" t="s">
        <v>289</v>
      </c>
      <c r="AGN7" t="s">
        <v>289</v>
      </c>
      <c r="AGO7" t="s">
        <v>289</v>
      </c>
      <c r="AGP7" t="s">
        <v>289</v>
      </c>
      <c r="AGQ7" t="s">
        <v>289</v>
      </c>
      <c r="AGR7" t="s">
        <v>289</v>
      </c>
      <c r="AGS7" t="s">
        <v>289</v>
      </c>
      <c r="AGT7" t="s">
        <v>289</v>
      </c>
      <c r="AGU7" t="s">
        <v>289</v>
      </c>
      <c r="AGV7" t="s">
        <v>289</v>
      </c>
      <c r="AGW7" t="s">
        <v>289</v>
      </c>
      <c r="AGX7" t="s">
        <v>289</v>
      </c>
      <c r="AGY7" t="s">
        <v>289</v>
      </c>
      <c r="AGZ7" t="s">
        <v>289</v>
      </c>
      <c r="AHA7" t="s">
        <v>289</v>
      </c>
      <c r="AHB7" t="s">
        <v>289</v>
      </c>
      <c r="AHC7" t="s">
        <v>289</v>
      </c>
      <c r="AHD7" t="s">
        <v>289</v>
      </c>
      <c r="AHE7">
        <v>11292</v>
      </c>
      <c r="AHF7">
        <v>11385</v>
      </c>
      <c r="AHG7">
        <v>11427</v>
      </c>
      <c r="AHH7">
        <v>11685</v>
      </c>
      <c r="AHI7">
        <v>13341</v>
      </c>
      <c r="AHJ7">
        <v>15168</v>
      </c>
      <c r="AHK7">
        <v>17182</v>
      </c>
      <c r="AHL7">
        <v>17759</v>
      </c>
      <c r="AHM7">
        <v>17960</v>
      </c>
      <c r="AHN7">
        <v>18471</v>
      </c>
      <c r="AHO7">
        <v>19801</v>
      </c>
      <c r="AHP7">
        <v>23245</v>
      </c>
      <c r="AHQ7">
        <v>21850</v>
      </c>
      <c r="AHR7">
        <v>22390</v>
      </c>
      <c r="AHS7" t="s">
        <v>289</v>
      </c>
      <c r="AHT7" t="s">
        <v>289</v>
      </c>
      <c r="AHU7" t="s">
        <v>289</v>
      </c>
      <c r="AHV7" t="s">
        <v>289</v>
      </c>
      <c r="AHW7" t="s">
        <v>289</v>
      </c>
      <c r="AHX7" t="s">
        <v>289</v>
      </c>
      <c r="AHY7" t="s">
        <v>289</v>
      </c>
      <c r="AHZ7" t="s">
        <v>289</v>
      </c>
      <c r="AIA7" t="s">
        <v>289</v>
      </c>
      <c r="AIB7" t="s">
        <v>289</v>
      </c>
      <c r="AIC7" t="s">
        <v>289</v>
      </c>
      <c r="AID7" t="s">
        <v>289</v>
      </c>
      <c r="AIE7" t="s">
        <v>289</v>
      </c>
      <c r="AIF7" t="s">
        <v>289</v>
      </c>
      <c r="AIG7" t="s">
        <v>289</v>
      </c>
      <c r="AIH7" t="s">
        <v>289</v>
      </c>
      <c r="AII7" t="s">
        <v>289</v>
      </c>
      <c r="AIJ7" t="s">
        <v>289</v>
      </c>
      <c r="AIK7" t="s">
        <v>289</v>
      </c>
      <c r="AIL7" t="s">
        <v>289</v>
      </c>
      <c r="AIM7">
        <v>10724</v>
      </c>
      <c r="AIN7">
        <v>11087</v>
      </c>
      <c r="AIO7">
        <v>11285</v>
      </c>
      <c r="AIP7">
        <v>11108</v>
      </c>
      <c r="AIQ7" t="s">
        <v>289</v>
      </c>
      <c r="AIR7" t="s">
        <v>289</v>
      </c>
      <c r="AIS7" t="s">
        <v>289</v>
      </c>
      <c r="AIT7" t="s">
        <v>289</v>
      </c>
      <c r="AIU7" t="s">
        <v>289</v>
      </c>
      <c r="AIV7" t="s">
        <v>289</v>
      </c>
      <c r="AIW7" t="s">
        <v>289</v>
      </c>
      <c r="AIX7" t="s">
        <v>289</v>
      </c>
      <c r="AIY7" t="s">
        <v>289</v>
      </c>
      <c r="AIZ7" t="s">
        <v>289</v>
      </c>
      <c r="AJA7" t="s">
        <v>289</v>
      </c>
      <c r="AJB7" t="s">
        <v>289</v>
      </c>
      <c r="AJC7" t="s">
        <v>289</v>
      </c>
      <c r="AJD7" t="s">
        <v>289</v>
      </c>
      <c r="AJE7" t="s">
        <v>289</v>
      </c>
      <c r="AJF7">
        <v>44335</v>
      </c>
      <c r="AJG7">
        <v>46656</v>
      </c>
      <c r="AJH7">
        <v>48999</v>
      </c>
      <c r="AJI7">
        <v>56018</v>
      </c>
      <c r="AJJ7">
        <v>53197</v>
      </c>
      <c r="AJK7">
        <v>50681</v>
      </c>
      <c r="AJL7">
        <v>60477</v>
      </c>
      <c r="AJM7">
        <v>68821</v>
      </c>
      <c r="AJN7">
        <v>76848</v>
      </c>
      <c r="AJO7">
        <v>76059</v>
      </c>
      <c r="AJP7">
        <v>80401</v>
      </c>
      <c r="AJQ7">
        <v>92175</v>
      </c>
      <c r="AJR7">
        <v>94163</v>
      </c>
      <c r="AJS7">
        <v>98282</v>
      </c>
      <c r="AJT7">
        <v>96855</v>
      </c>
      <c r="AJU7">
        <v>104210</v>
      </c>
      <c r="AJV7">
        <v>98990</v>
      </c>
      <c r="AJW7">
        <v>111239</v>
      </c>
      <c r="AJX7" t="s">
        <v>289</v>
      </c>
      <c r="AJY7">
        <v>15264</v>
      </c>
      <c r="AJZ7">
        <v>17838</v>
      </c>
      <c r="AKA7">
        <v>17656</v>
      </c>
      <c r="AKB7">
        <v>22493</v>
      </c>
      <c r="AKC7">
        <v>29887</v>
      </c>
      <c r="AKD7">
        <v>26934</v>
      </c>
      <c r="AKE7">
        <v>26520</v>
      </c>
      <c r="AKF7">
        <v>30380</v>
      </c>
      <c r="AKG7">
        <v>30412</v>
      </c>
      <c r="AKH7">
        <v>30854</v>
      </c>
      <c r="AKI7">
        <v>37482</v>
      </c>
      <c r="AKJ7">
        <v>42160</v>
      </c>
      <c r="AKK7">
        <v>42326</v>
      </c>
      <c r="AKL7">
        <v>41100</v>
      </c>
      <c r="AKM7">
        <v>38825</v>
      </c>
      <c r="AKN7">
        <v>46093</v>
      </c>
      <c r="AKO7">
        <v>38986</v>
      </c>
      <c r="AKP7">
        <v>41121</v>
      </c>
      <c r="AKQ7" t="s">
        <v>289</v>
      </c>
      <c r="AKR7">
        <v>67634</v>
      </c>
      <c r="AKS7">
        <v>74566</v>
      </c>
      <c r="AKT7">
        <v>79057</v>
      </c>
      <c r="AKU7">
        <v>88997</v>
      </c>
      <c r="AKV7">
        <v>101086</v>
      </c>
      <c r="AKW7">
        <v>101953</v>
      </c>
      <c r="AKX7">
        <v>110164</v>
      </c>
      <c r="AKY7">
        <v>123429</v>
      </c>
      <c r="AKZ7">
        <v>131835</v>
      </c>
      <c r="ALA7">
        <v>138377</v>
      </c>
      <c r="ALB7">
        <v>154803</v>
      </c>
      <c r="ALC7">
        <v>172174</v>
      </c>
      <c r="ALD7">
        <v>188535</v>
      </c>
      <c r="ALE7">
        <v>195506</v>
      </c>
      <c r="ALF7">
        <v>208938</v>
      </c>
      <c r="ALG7">
        <v>228034</v>
      </c>
      <c r="ALH7">
        <v>216658</v>
      </c>
      <c r="ALI7">
        <v>229527</v>
      </c>
      <c r="ALJ7" t="s">
        <v>289</v>
      </c>
      <c r="ALK7">
        <v>26812</v>
      </c>
      <c r="ALL7">
        <v>27010</v>
      </c>
      <c r="ALM7">
        <v>28543</v>
      </c>
      <c r="ALN7">
        <v>32378</v>
      </c>
      <c r="ALO7">
        <v>38670</v>
      </c>
      <c r="ALP7">
        <v>39944</v>
      </c>
      <c r="ALQ7">
        <v>43151</v>
      </c>
      <c r="ALR7">
        <v>49004</v>
      </c>
      <c r="ALS7">
        <v>50530</v>
      </c>
      <c r="ALT7">
        <v>52184</v>
      </c>
      <c r="ALU7">
        <v>56844</v>
      </c>
      <c r="ALV7">
        <v>61831</v>
      </c>
      <c r="ALW7">
        <v>66864</v>
      </c>
      <c r="ALX7">
        <v>73542</v>
      </c>
      <c r="ALY7">
        <v>84736</v>
      </c>
      <c r="ALZ7">
        <v>90630</v>
      </c>
      <c r="AMA7">
        <v>81807</v>
      </c>
      <c r="AMB7">
        <v>86173</v>
      </c>
      <c r="AMC7" t="s">
        <v>289</v>
      </c>
      <c r="AMD7">
        <v>24583</v>
      </c>
      <c r="AME7">
        <v>28084</v>
      </c>
      <c r="AMF7">
        <v>28555</v>
      </c>
      <c r="AMG7">
        <v>33784</v>
      </c>
      <c r="AMH7">
        <v>39287</v>
      </c>
      <c r="AMI7">
        <v>36919</v>
      </c>
      <c r="AMJ7">
        <v>40134</v>
      </c>
      <c r="AMK7">
        <v>47213</v>
      </c>
      <c r="AML7">
        <v>48395</v>
      </c>
      <c r="AMM7">
        <v>51134</v>
      </c>
      <c r="AMN7">
        <v>59078</v>
      </c>
      <c r="AMO7">
        <v>65591</v>
      </c>
      <c r="AMP7">
        <v>67989</v>
      </c>
      <c r="AMQ7">
        <v>71765</v>
      </c>
      <c r="AMR7">
        <v>71411</v>
      </c>
      <c r="AMS7">
        <v>82625</v>
      </c>
      <c r="AMT7">
        <v>71963</v>
      </c>
      <c r="AMU7">
        <v>76466</v>
      </c>
      <c r="AMV7" t="s">
        <v>289</v>
      </c>
      <c r="AMW7">
        <v>3758</v>
      </c>
      <c r="AMX7">
        <v>4593</v>
      </c>
      <c r="AMY7">
        <v>5312</v>
      </c>
      <c r="AMZ7">
        <v>5670</v>
      </c>
      <c r="ANA7">
        <v>5641</v>
      </c>
      <c r="ANB7">
        <v>5379</v>
      </c>
      <c r="ANC7">
        <v>5031</v>
      </c>
      <c r="AND7">
        <v>5238</v>
      </c>
      <c r="ANE7">
        <v>5207</v>
      </c>
      <c r="ANF7">
        <v>6179</v>
      </c>
      <c r="ANG7">
        <v>6499</v>
      </c>
      <c r="ANH7">
        <v>7372</v>
      </c>
      <c r="ANI7">
        <v>8157</v>
      </c>
      <c r="ANJ7">
        <v>9464</v>
      </c>
      <c r="ANK7">
        <v>10971</v>
      </c>
      <c r="ANL7">
        <v>11729</v>
      </c>
      <c r="ANM7">
        <v>12342</v>
      </c>
      <c r="ANN7">
        <v>12980</v>
      </c>
      <c r="ANO7" t="s">
        <v>289</v>
      </c>
      <c r="ANP7" t="s">
        <v>289</v>
      </c>
      <c r="ANQ7" t="s">
        <v>289</v>
      </c>
      <c r="ANR7" t="s">
        <v>289</v>
      </c>
      <c r="ANS7" t="s">
        <v>289</v>
      </c>
      <c r="ANT7" t="s">
        <v>289</v>
      </c>
      <c r="ANU7" t="s">
        <v>289</v>
      </c>
      <c r="ANV7" t="s">
        <v>289</v>
      </c>
      <c r="ANW7" t="s">
        <v>289</v>
      </c>
      <c r="ANX7" t="s">
        <v>289</v>
      </c>
      <c r="ANY7" t="s">
        <v>289</v>
      </c>
      <c r="ANZ7" t="s">
        <v>289</v>
      </c>
      <c r="AOA7" t="s">
        <v>289</v>
      </c>
      <c r="AOB7" t="s">
        <v>289</v>
      </c>
      <c r="AOC7" t="s">
        <v>289</v>
      </c>
      <c r="AOD7" t="s">
        <v>289</v>
      </c>
      <c r="AOE7" t="s">
        <v>289</v>
      </c>
      <c r="AOF7" t="s">
        <v>289</v>
      </c>
      <c r="AOG7" t="s">
        <v>289</v>
      </c>
      <c r="AOH7" t="s">
        <v>289</v>
      </c>
      <c r="AOI7" t="s">
        <v>289</v>
      </c>
      <c r="AOJ7" t="s">
        <v>289</v>
      </c>
      <c r="AOK7" t="s">
        <v>289</v>
      </c>
      <c r="AOL7" t="s">
        <v>289</v>
      </c>
      <c r="AOM7" t="s">
        <v>289</v>
      </c>
      <c r="AON7" t="s">
        <v>289</v>
      </c>
      <c r="AOO7" t="s">
        <v>289</v>
      </c>
      <c r="AOP7" t="s">
        <v>289</v>
      </c>
      <c r="AOQ7" t="s">
        <v>289</v>
      </c>
      <c r="AOR7" t="s">
        <v>289</v>
      </c>
      <c r="AOS7" t="s">
        <v>289</v>
      </c>
      <c r="AOT7" t="s">
        <v>289</v>
      </c>
      <c r="AOU7" t="s">
        <v>289</v>
      </c>
      <c r="AOV7" t="s">
        <v>289</v>
      </c>
      <c r="AOW7" t="s">
        <v>289</v>
      </c>
      <c r="AOX7" t="s">
        <v>289</v>
      </c>
      <c r="AOY7" t="s">
        <v>289</v>
      </c>
      <c r="AOZ7" t="s">
        <v>289</v>
      </c>
      <c r="APA7" t="s">
        <v>289</v>
      </c>
      <c r="APB7" t="s">
        <v>289</v>
      </c>
      <c r="APC7" t="s">
        <v>289</v>
      </c>
      <c r="APD7" t="s">
        <v>289</v>
      </c>
      <c r="APE7" t="s">
        <v>289</v>
      </c>
      <c r="APF7" t="s">
        <v>289</v>
      </c>
      <c r="APG7" t="s">
        <v>289</v>
      </c>
      <c r="APH7" t="s">
        <v>289</v>
      </c>
      <c r="API7">
        <v>1209</v>
      </c>
      <c r="APJ7">
        <v>1130</v>
      </c>
      <c r="APK7" t="s">
        <v>289</v>
      </c>
      <c r="APL7">
        <v>1068</v>
      </c>
      <c r="APM7" t="s">
        <v>289</v>
      </c>
      <c r="APN7" t="s">
        <v>289</v>
      </c>
      <c r="APO7" t="s">
        <v>289</v>
      </c>
      <c r="APP7" t="s">
        <v>289</v>
      </c>
      <c r="APQ7" t="s">
        <v>289</v>
      </c>
      <c r="APR7" t="s">
        <v>289</v>
      </c>
      <c r="APS7" t="s">
        <v>289</v>
      </c>
      <c r="APT7" t="s">
        <v>289</v>
      </c>
      <c r="APU7" t="s">
        <v>289</v>
      </c>
      <c r="APV7" t="s">
        <v>289</v>
      </c>
      <c r="APW7" t="s">
        <v>289</v>
      </c>
      <c r="APX7" t="s">
        <v>289</v>
      </c>
      <c r="APY7" t="s">
        <v>289</v>
      </c>
      <c r="APZ7" t="s">
        <v>289</v>
      </c>
      <c r="AQA7" t="s">
        <v>289</v>
      </c>
      <c r="AQB7" t="s">
        <v>289</v>
      </c>
      <c r="AQC7" t="s">
        <v>289</v>
      </c>
      <c r="AQD7" t="s">
        <v>289</v>
      </c>
      <c r="AQE7" t="s">
        <v>289</v>
      </c>
      <c r="AQF7" t="s">
        <v>289</v>
      </c>
      <c r="AQG7" t="s">
        <v>289</v>
      </c>
      <c r="AQH7" t="s">
        <v>289</v>
      </c>
      <c r="AQI7" t="s">
        <v>289</v>
      </c>
      <c r="AQJ7" t="s">
        <v>289</v>
      </c>
      <c r="AQK7" t="s">
        <v>289</v>
      </c>
      <c r="AQL7" t="s">
        <v>289</v>
      </c>
      <c r="AQM7" t="s">
        <v>289</v>
      </c>
      <c r="AQN7">
        <v>708</v>
      </c>
      <c r="AQO7">
        <v>813</v>
      </c>
      <c r="AQP7" t="s">
        <v>289</v>
      </c>
      <c r="AQQ7" t="s">
        <v>289</v>
      </c>
      <c r="AQR7">
        <v>1295</v>
      </c>
      <c r="AQS7">
        <v>1340</v>
      </c>
      <c r="AQT7">
        <v>1379</v>
      </c>
      <c r="AQU7">
        <v>1322</v>
      </c>
      <c r="AQV7">
        <v>1243</v>
      </c>
      <c r="AQW7">
        <v>1247</v>
      </c>
      <c r="AQX7">
        <v>1246</v>
      </c>
      <c r="AQY7">
        <v>1341</v>
      </c>
      <c r="AQZ7">
        <v>1403</v>
      </c>
      <c r="ARA7">
        <v>1427</v>
      </c>
      <c r="ARB7">
        <v>1609</v>
      </c>
      <c r="ARC7">
        <v>1815</v>
      </c>
      <c r="ARD7">
        <v>1893</v>
      </c>
      <c r="ARE7">
        <v>2137</v>
      </c>
      <c r="ARF7" t="s">
        <v>289</v>
      </c>
      <c r="ARG7" t="s">
        <v>289</v>
      </c>
      <c r="ARH7" t="s">
        <v>289</v>
      </c>
      <c r="ARI7" t="s">
        <v>289</v>
      </c>
      <c r="ARJ7" t="s">
        <v>289</v>
      </c>
      <c r="ARK7" t="s">
        <v>289</v>
      </c>
      <c r="ARL7" t="s">
        <v>289</v>
      </c>
      <c r="ARM7" t="s">
        <v>289</v>
      </c>
      <c r="ARN7" t="s">
        <v>289</v>
      </c>
      <c r="ARO7" t="s">
        <v>289</v>
      </c>
      <c r="ARP7" t="s">
        <v>289</v>
      </c>
      <c r="ARQ7" t="s">
        <v>289</v>
      </c>
      <c r="ARR7" t="s">
        <v>289</v>
      </c>
      <c r="ARS7" t="s">
        <v>289</v>
      </c>
      <c r="ART7" t="s">
        <v>289</v>
      </c>
      <c r="ARU7" t="s">
        <v>289</v>
      </c>
      <c r="ARV7" t="s">
        <v>289</v>
      </c>
      <c r="ARW7" t="s">
        <v>289</v>
      </c>
      <c r="ARX7" t="s">
        <v>289</v>
      </c>
      <c r="ARY7" t="s">
        <v>289</v>
      </c>
      <c r="ARZ7" t="s">
        <v>289</v>
      </c>
      <c r="ASA7" t="s">
        <v>289</v>
      </c>
      <c r="ASB7" t="s">
        <v>289</v>
      </c>
      <c r="ASC7" t="s">
        <v>289</v>
      </c>
      <c r="ASD7" t="s">
        <v>289</v>
      </c>
      <c r="ASE7" t="s">
        <v>289</v>
      </c>
      <c r="ASF7" t="s">
        <v>289</v>
      </c>
      <c r="ASG7" t="s">
        <v>289</v>
      </c>
      <c r="ASH7" t="s">
        <v>289</v>
      </c>
      <c r="ASI7" t="s">
        <v>289</v>
      </c>
      <c r="ASJ7" t="s">
        <v>289</v>
      </c>
      <c r="ASK7" t="s">
        <v>289</v>
      </c>
      <c r="ASL7" t="s">
        <v>289</v>
      </c>
      <c r="ASM7" t="s">
        <v>289</v>
      </c>
      <c r="ASN7" t="s">
        <v>289</v>
      </c>
      <c r="ASO7" t="s">
        <v>289</v>
      </c>
      <c r="ASP7" t="s">
        <v>289</v>
      </c>
      <c r="ASQ7" t="s">
        <v>289</v>
      </c>
      <c r="ASR7" t="s">
        <v>289</v>
      </c>
      <c r="ASS7" t="s">
        <v>289</v>
      </c>
      <c r="AST7" t="s">
        <v>289</v>
      </c>
      <c r="ASU7" t="s">
        <v>289</v>
      </c>
      <c r="ASV7" t="s">
        <v>289</v>
      </c>
      <c r="ASW7" t="s">
        <v>289</v>
      </c>
      <c r="ASX7" t="s">
        <v>289</v>
      </c>
      <c r="ASY7" t="s">
        <v>289</v>
      </c>
      <c r="ASZ7" t="s">
        <v>289</v>
      </c>
      <c r="ATA7" t="s">
        <v>289</v>
      </c>
      <c r="ATB7" t="s">
        <v>289</v>
      </c>
      <c r="ATC7" t="s">
        <v>289</v>
      </c>
      <c r="ATD7" t="s">
        <v>289</v>
      </c>
      <c r="ATE7" t="s">
        <v>289</v>
      </c>
      <c r="ATF7" t="s">
        <v>289</v>
      </c>
      <c r="ATG7" t="s">
        <v>289</v>
      </c>
      <c r="ATH7" t="s">
        <v>289</v>
      </c>
      <c r="ATI7" t="s">
        <v>289</v>
      </c>
      <c r="ATJ7" t="s">
        <v>289</v>
      </c>
      <c r="ATK7" t="s">
        <v>289</v>
      </c>
      <c r="ATL7" t="s">
        <v>289</v>
      </c>
      <c r="ATM7" t="s">
        <v>289</v>
      </c>
      <c r="ATN7" t="s">
        <v>289</v>
      </c>
      <c r="ATO7" t="s">
        <v>289</v>
      </c>
      <c r="ATP7" t="s">
        <v>289</v>
      </c>
      <c r="ATQ7" t="s">
        <v>289</v>
      </c>
      <c r="ATR7" t="s">
        <v>289</v>
      </c>
      <c r="ATS7" t="s">
        <v>289</v>
      </c>
      <c r="ATT7" t="s">
        <v>289</v>
      </c>
      <c r="ATU7" t="s">
        <v>289</v>
      </c>
      <c r="ATV7" t="s">
        <v>289</v>
      </c>
      <c r="ATW7" t="s">
        <v>289</v>
      </c>
      <c r="ATX7" t="s">
        <v>289</v>
      </c>
      <c r="ATY7" t="s">
        <v>289</v>
      </c>
      <c r="ATZ7" t="s">
        <v>289</v>
      </c>
      <c r="AUA7" t="s">
        <v>289</v>
      </c>
      <c r="AUB7" t="s">
        <v>289</v>
      </c>
      <c r="AUC7" t="s">
        <v>289</v>
      </c>
      <c r="AUD7" t="s">
        <v>289</v>
      </c>
      <c r="AUE7" t="s">
        <v>289</v>
      </c>
      <c r="AUF7" t="s">
        <v>289</v>
      </c>
      <c r="AUG7" t="s">
        <v>289</v>
      </c>
      <c r="AUH7" t="s">
        <v>289</v>
      </c>
      <c r="AUI7" t="s">
        <v>289</v>
      </c>
      <c r="AUJ7" t="s">
        <v>289</v>
      </c>
      <c r="AUK7" t="s">
        <v>289</v>
      </c>
      <c r="AUL7" t="s">
        <v>289</v>
      </c>
      <c r="AUM7" t="s">
        <v>289</v>
      </c>
      <c r="AUN7" t="s">
        <v>289</v>
      </c>
      <c r="AUO7" t="s">
        <v>289</v>
      </c>
      <c r="AUP7" t="s">
        <v>289</v>
      </c>
      <c r="AUQ7" t="s">
        <v>289</v>
      </c>
      <c r="AUR7" t="s">
        <v>289</v>
      </c>
      <c r="AUS7" t="s">
        <v>289</v>
      </c>
      <c r="AUT7" t="s">
        <v>289</v>
      </c>
      <c r="AUU7" t="s">
        <v>289</v>
      </c>
      <c r="AUV7" t="s">
        <v>289</v>
      </c>
      <c r="AUW7" t="s">
        <v>289</v>
      </c>
      <c r="AUX7" t="s">
        <v>289</v>
      </c>
      <c r="AUY7" t="s">
        <v>289</v>
      </c>
      <c r="AUZ7" t="s">
        <v>289</v>
      </c>
      <c r="AVA7" t="s">
        <v>289</v>
      </c>
      <c r="AVB7" t="s">
        <v>289</v>
      </c>
      <c r="AVC7" t="s">
        <v>289</v>
      </c>
      <c r="AVD7" t="s">
        <v>289</v>
      </c>
      <c r="AVE7" t="s">
        <v>289</v>
      </c>
      <c r="AVF7" t="s">
        <v>289</v>
      </c>
      <c r="AVG7" t="s">
        <v>289</v>
      </c>
      <c r="AVH7" t="s">
        <v>289</v>
      </c>
      <c r="AVI7" t="s">
        <v>289</v>
      </c>
      <c r="AVJ7" t="s">
        <v>289</v>
      </c>
      <c r="AVK7" t="s">
        <v>289</v>
      </c>
      <c r="AVL7" t="s">
        <v>289</v>
      </c>
      <c r="AVM7" t="s">
        <v>289</v>
      </c>
      <c r="AVN7" t="s">
        <v>289</v>
      </c>
      <c r="AVO7" t="s">
        <v>289</v>
      </c>
      <c r="AVP7" t="s">
        <v>289</v>
      </c>
      <c r="AVQ7" t="s">
        <v>289</v>
      </c>
      <c r="AVR7" t="s">
        <v>289</v>
      </c>
      <c r="AVS7" t="s">
        <v>289</v>
      </c>
      <c r="AVT7" t="s">
        <v>289</v>
      </c>
      <c r="AVU7" t="s">
        <v>289</v>
      </c>
      <c r="AVV7" t="s">
        <v>289</v>
      </c>
      <c r="AVW7" t="s">
        <v>289</v>
      </c>
      <c r="AVX7" t="s">
        <v>289</v>
      </c>
      <c r="AVY7" t="s">
        <v>289</v>
      </c>
      <c r="AVZ7" t="s">
        <v>289</v>
      </c>
      <c r="AWA7" t="s">
        <v>289</v>
      </c>
      <c r="AWB7" t="s">
        <v>289</v>
      </c>
      <c r="AWC7" t="s">
        <v>289</v>
      </c>
      <c r="AWD7" t="s">
        <v>289</v>
      </c>
      <c r="AWE7" t="s">
        <v>289</v>
      </c>
      <c r="AWF7" t="s">
        <v>289</v>
      </c>
      <c r="AWG7" t="s">
        <v>289</v>
      </c>
      <c r="AWH7" t="s">
        <v>289</v>
      </c>
      <c r="AWI7" t="s">
        <v>289</v>
      </c>
      <c r="AWJ7" t="s">
        <v>289</v>
      </c>
      <c r="AWK7" t="s">
        <v>289</v>
      </c>
      <c r="AWL7" t="s">
        <v>289</v>
      </c>
      <c r="AWM7" t="s">
        <v>289</v>
      </c>
      <c r="AWN7" t="s">
        <v>289</v>
      </c>
      <c r="AWO7" t="s">
        <v>289</v>
      </c>
      <c r="AWP7" t="s">
        <v>289</v>
      </c>
      <c r="AWQ7" t="s">
        <v>289</v>
      </c>
      <c r="AWR7" t="s">
        <v>289</v>
      </c>
      <c r="AWS7" t="s">
        <v>289</v>
      </c>
      <c r="AWT7" t="s">
        <v>289</v>
      </c>
      <c r="AWU7" t="s">
        <v>289</v>
      </c>
      <c r="AWV7" t="s">
        <v>289</v>
      </c>
      <c r="AWW7" t="s">
        <v>289</v>
      </c>
      <c r="AWX7" t="s">
        <v>289</v>
      </c>
      <c r="AWY7" t="s">
        <v>289</v>
      </c>
      <c r="AWZ7" t="s">
        <v>289</v>
      </c>
      <c r="AXA7" t="s">
        <v>289</v>
      </c>
      <c r="AXB7" t="s">
        <v>289</v>
      </c>
      <c r="AXC7" t="s">
        <v>289</v>
      </c>
      <c r="AXD7" t="s">
        <v>289</v>
      </c>
      <c r="AXE7" t="s">
        <v>289</v>
      </c>
      <c r="AXF7" t="s">
        <v>289</v>
      </c>
      <c r="AXG7" t="s">
        <v>289</v>
      </c>
      <c r="AXH7" t="s">
        <v>289</v>
      </c>
      <c r="AXI7" t="s">
        <v>289</v>
      </c>
      <c r="AXJ7" t="s">
        <v>289</v>
      </c>
      <c r="AXK7" t="s">
        <v>289</v>
      </c>
      <c r="AXL7" t="s">
        <v>289</v>
      </c>
      <c r="AXM7" t="s">
        <v>289</v>
      </c>
      <c r="AXN7" t="s">
        <v>289</v>
      </c>
      <c r="AXO7">
        <v>4998</v>
      </c>
      <c r="AXP7">
        <v>8455</v>
      </c>
      <c r="AXQ7">
        <v>8601</v>
      </c>
      <c r="AXR7">
        <v>10749</v>
      </c>
      <c r="AXS7">
        <v>11976</v>
      </c>
      <c r="AXT7">
        <v>11758</v>
      </c>
      <c r="AXU7" t="s">
        <v>289</v>
      </c>
      <c r="AXV7" t="s">
        <v>289</v>
      </c>
      <c r="AXW7" t="s">
        <v>289</v>
      </c>
      <c r="AXX7" t="s">
        <v>289</v>
      </c>
      <c r="AXY7" t="s">
        <v>289</v>
      </c>
      <c r="AXZ7" t="s">
        <v>289</v>
      </c>
      <c r="AYA7" t="s">
        <v>289</v>
      </c>
      <c r="AYB7" t="s">
        <v>289</v>
      </c>
      <c r="AYC7" t="s">
        <v>289</v>
      </c>
      <c r="AYD7" t="s">
        <v>289</v>
      </c>
      <c r="AYE7" t="s">
        <v>289</v>
      </c>
      <c r="AYF7" t="s">
        <v>289</v>
      </c>
      <c r="AYG7" t="s">
        <v>289</v>
      </c>
      <c r="AYH7" t="s">
        <v>289</v>
      </c>
      <c r="AYI7" t="s">
        <v>289</v>
      </c>
      <c r="AYJ7" t="s">
        <v>289</v>
      </c>
      <c r="AYK7" t="s">
        <v>289</v>
      </c>
      <c r="AYL7" t="s">
        <v>289</v>
      </c>
      <c r="AYM7" t="s">
        <v>289</v>
      </c>
      <c r="AYN7" t="s">
        <v>289</v>
      </c>
      <c r="AYO7" t="s">
        <v>289</v>
      </c>
      <c r="AYP7" t="s">
        <v>289</v>
      </c>
      <c r="AYQ7" t="s">
        <v>289</v>
      </c>
      <c r="AYR7" t="s">
        <v>289</v>
      </c>
      <c r="AYS7" t="s">
        <v>289</v>
      </c>
      <c r="AYT7" t="s">
        <v>289</v>
      </c>
      <c r="AYU7" t="s">
        <v>289</v>
      </c>
      <c r="AYV7" t="s">
        <v>289</v>
      </c>
      <c r="AYW7" t="s">
        <v>289</v>
      </c>
      <c r="AYX7" t="s">
        <v>289</v>
      </c>
      <c r="AYY7" t="s">
        <v>289</v>
      </c>
      <c r="AYZ7" t="s">
        <v>289</v>
      </c>
      <c r="AZA7" t="s">
        <v>289</v>
      </c>
      <c r="AZB7" t="s">
        <v>289</v>
      </c>
      <c r="AZC7" t="s">
        <v>289</v>
      </c>
      <c r="AZD7" t="s">
        <v>289</v>
      </c>
      <c r="AZE7" t="s">
        <v>289</v>
      </c>
      <c r="AZF7" t="s">
        <v>289</v>
      </c>
      <c r="AZG7" t="s">
        <v>289</v>
      </c>
      <c r="AZH7" t="s">
        <v>289</v>
      </c>
      <c r="AZI7" t="s">
        <v>289</v>
      </c>
      <c r="AZJ7" t="s">
        <v>289</v>
      </c>
      <c r="AZK7" t="s">
        <v>289</v>
      </c>
      <c r="AZL7">
        <v>5530</v>
      </c>
      <c r="AZM7">
        <v>294</v>
      </c>
      <c r="AZN7">
        <v>254</v>
      </c>
      <c r="AZO7">
        <v>438</v>
      </c>
      <c r="AZP7">
        <v>447</v>
      </c>
      <c r="AZQ7">
        <v>745</v>
      </c>
      <c r="AZR7">
        <v>636</v>
      </c>
      <c r="AZS7">
        <v>609</v>
      </c>
      <c r="AZT7">
        <v>530</v>
      </c>
      <c r="AZU7">
        <v>675</v>
      </c>
      <c r="AZV7">
        <v>615</v>
      </c>
      <c r="AZW7">
        <v>906</v>
      </c>
      <c r="AZX7">
        <v>956</v>
      </c>
      <c r="AZY7">
        <v>1027</v>
      </c>
      <c r="AZZ7" t="s">
        <v>289</v>
      </c>
      <c r="BAA7" t="s">
        <v>289</v>
      </c>
      <c r="BAB7" t="s">
        <v>289</v>
      </c>
      <c r="BAC7" t="s">
        <v>289</v>
      </c>
      <c r="BAD7" t="s">
        <v>289</v>
      </c>
      <c r="BAE7" t="s">
        <v>289</v>
      </c>
      <c r="BAF7" t="s">
        <v>289</v>
      </c>
      <c r="BAG7" t="s">
        <v>289</v>
      </c>
      <c r="BAH7" t="s">
        <v>289</v>
      </c>
      <c r="BAI7" t="s">
        <v>289</v>
      </c>
      <c r="BAJ7" t="s">
        <v>289</v>
      </c>
      <c r="BAK7" t="s">
        <v>289</v>
      </c>
      <c r="BAL7" t="s">
        <v>289</v>
      </c>
      <c r="BAM7" t="s">
        <v>289</v>
      </c>
      <c r="BAN7" t="s">
        <v>289</v>
      </c>
      <c r="BAO7" t="s">
        <v>289</v>
      </c>
      <c r="BAP7" t="s">
        <v>289</v>
      </c>
      <c r="BAQ7" t="s">
        <v>289</v>
      </c>
      <c r="BAR7" t="s">
        <v>289</v>
      </c>
      <c r="BAS7" t="s">
        <v>289</v>
      </c>
      <c r="BAT7" t="s">
        <v>289</v>
      </c>
      <c r="BAU7" t="s">
        <v>289</v>
      </c>
      <c r="BAV7" t="s">
        <v>289</v>
      </c>
      <c r="BAW7" t="s">
        <v>289</v>
      </c>
      <c r="BAX7" t="s">
        <v>289</v>
      </c>
      <c r="BAY7" t="s">
        <v>289</v>
      </c>
      <c r="BAZ7" t="s">
        <v>289</v>
      </c>
      <c r="BBA7" t="s">
        <v>289</v>
      </c>
      <c r="BBB7" t="s">
        <v>289</v>
      </c>
      <c r="BBC7" t="s">
        <v>289</v>
      </c>
      <c r="BBD7" t="s">
        <v>289</v>
      </c>
      <c r="BBE7" t="s">
        <v>289</v>
      </c>
      <c r="BBF7" t="s">
        <v>289</v>
      </c>
      <c r="BBG7" t="s">
        <v>289</v>
      </c>
      <c r="BBH7" t="s">
        <v>289</v>
      </c>
      <c r="BBI7" t="s">
        <v>289</v>
      </c>
      <c r="BBJ7" t="s">
        <v>289</v>
      </c>
      <c r="BBK7" t="s">
        <v>289</v>
      </c>
      <c r="BBL7" t="s">
        <v>289</v>
      </c>
      <c r="BBM7">
        <v>18226</v>
      </c>
      <c r="BBN7">
        <v>22462</v>
      </c>
      <c r="BBO7">
        <v>24927</v>
      </c>
      <c r="BBP7">
        <v>28121</v>
      </c>
      <c r="BBQ7">
        <v>30816</v>
      </c>
      <c r="BBR7">
        <v>29358</v>
      </c>
      <c r="BBS7">
        <v>30515</v>
      </c>
      <c r="BBT7">
        <v>34797</v>
      </c>
      <c r="BBU7">
        <v>37809</v>
      </c>
      <c r="BBV7">
        <v>41082</v>
      </c>
      <c r="BBW7">
        <v>47347</v>
      </c>
      <c r="BBX7">
        <v>52724</v>
      </c>
      <c r="BBY7">
        <v>55749</v>
      </c>
      <c r="BBZ7">
        <v>54728</v>
      </c>
      <c r="BCA7">
        <v>58060</v>
      </c>
      <c r="BCB7">
        <v>23245</v>
      </c>
      <c r="BCC7">
        <v>63845</v>
      </c>
      <c r="BCD7">
        <v>67090</v>
      </c>
      <c r="BCE7" t="s">
        <v>289</v>
      </c>
      <c r="BCF7">
        <v>2128</v>
      </c>
      <c r="BCG7">
        <v>1621</v>
      </c>
      <c r="BCH7">
        <v>1336</v>
      </c>
      <c r="BCI7">
        <v>2393</v>
      </c>
      <c r="BCJ7">
        <v>7454</v>
      </c>
      <c r="BCK7">
        <v>7767</v>
      </c>
      <c r="BCL7">
        <v>7432</v>
      </c>
      <c r="BCM7">
        <v>7776</v>
      </c>
      <c r="BCN7">
        <v>8370</v>
      </c>
      <c r="BCO7">
        <v>7671</v>
      </c>
      <c r="BCP7">
        <v>7688</v>
      </c>
      <c r="BCQ7">
        <v>6122</v>
      </c>
      <c r="BCR7">
        <v>7880</v>
      </c>
      <c r="BCS7">
        <v>9039</v>
      </c>
      <c r="BCT7">
        <v>10979</v>
      </c>
      <c r="BCU7">
        <v>12036</v>
      </c>
      <c r="BCV7">
        <v>13537</v>
      </c>
      <c r="BCW7">
        <v>16009</v>
      </c>
      <c r="BCX7" t="s">
        <v>289</v>
      </c>
      <c r="BCY7">
        <v>26812</v>
      </c>
      <c r="BCZ7">
        <v>27010</v>
      </c>
      <c r="BDA7">
        <v>28522</v>
      </c>
      <c r="BDB7">
        <v>32378</v>
      </c>
      <c r="BDC7">
        <v>38670</v>
      </c>
      <c r="BDD7">
        <v>39944</v>
      </c>
      <c r="BDE7">
        <v>43151</v>
      </c>
      <c r="BDF7">
        <v>49004</v>
      </c>
      <c r="BDG7">
        <v>50530</v>
      </c>
      <c r="BDH7">
        <v>52184</v>
      </c>
      <c r="BDI7">
        <v>56844</v>
      </c>
      <c r="BDJ7">
        <v>61831</v>
      </c>
      <c r="BDK7">
        <v>66864</v>
      </c>
      <c r="BDL7">
        <v>73542</v>
      </c>
      <c r="BDM7">
        <v>84736</v>
      </c>
      <c r="BDN7">
        <v>90630</v>
      </c>
      <c r="BDO7">
        <v>81807</v>
      </c>
      <c r="BDP7">
        <v>86173</v>
      </c>
      <c r="BDQ7" t="s">
        <v>289</v>
      </c>
      <c r="BDR7">
        <v>24583</v>
      </c>
      <c r="BDS7">
        <v>28084</v>
      </c>
      <c r="BDT7">
        <v>28442</v>
      </c>
      <c r="BDU7">
        <v>33749</v>
      </c>
      <c r="BDV7">
        <v>39287</v>
      </c>
      <c r="BDW7">
        <v>36919</v>
      </c>
      <c r="BDX7">
        <v>40134</v>
      </c>
      <c r="BDY7">
        <v>47213</v>
      </c>
      <c r="BDZ7">
        <v>48395</v>
      </c>
      <c r="BEA7">
        <v>51134</v>
      </c>
      <c r="BEB7">
        <v>59078</v>
      </c>
      <c r="BEC7">
        <v>65591</v>
      </c>
      <c r="BED7">
        <v>67989</v>
      </c>
      <c r="BEE7">
        <v>71765</v>
      </c>
      <c r="BEF7">
        <v>71411</v>
      </c>
      <c r="BEG7">
        <v>82625</v>
      </c>
      <c r="BEH7">
        <v>71963</v>
      </c>
      <c r="BEI7">
        <v>76466</v>
      </c>
      <c r="BEJ7" t="s">
        <v>289</v>
      </c>
      <c r="BEK7">
        <v>3758</v>
      </c>
      <c r="BEL7">
        <v>4593</v>
      </c>
      <c r="BEM7">
        <v>5312</v>
      </c>
      <c r="BEN7">
        <v>5670</v>
      </c>
      <c r="BEO7">
        <v>5641</v>
      </c>
      <c r="BEP7">
        <v>5379</v>
      </c>
      <c r="BEQ7">
        <v>5031</v>
      </c>
      <c r="BER7">
        <v>5238</v>
      </c>
      <c r="BES7">
        <v>5207</v>
      </c>
      <c r="BET7">
        <v>6179</v>
      </c>
      <c r="BEU7">
        <v>6499</v>
      </c>
      <c r="BEV7">
        <v>7372</v>
      </c>
      <c r="BEW7">
        <v>8157</v>
      </c>
      <c r="BEX7">
        <v>9464</v>
      </c>
      <c r="BEY7">
        <v>10971</v>
      </c>
      <c r="BEZ7">
        <v>11729</v>
      </c>
      <c r="BFA7">
        <v>12342</v>
      </c>
      <c r="BFB7">
        <v>12980</v>
      </c>
      <c r="BFC7" t="s">
        <v>289</v>
      </c>
      <c r="BFD7" t="s">
        <v>289</v>
      </c>
      <c r="BFE7">
        <v>91</v>
      </c>
      <c r="BFF7">
        <v>66</v>
      </c>
      <c r="BFG7">
        <v>163</v>
      </c>
      <c r="BFH7">
        <v>111</v>
      </c>
      <c r="BFI7">
        <v>111</v>
      </c>
      <c r="BFJ7">
        <v>111</v>
      </c>
      <c r="BFK7">
        <v>369</v>
      </c>
      <c r="BFL7">
        <v>369</v>
      </c>
      <c r="BFM7">
        <v>369</v>
      </c>
      <c r="BFN7">
        <v>364</v>
      </c>
      <c r="BFO7">
        <v>364</v>
      </c>
      <c r="BFP7">
        <v>364</v>
      </c>
      <c r="BFQ7">
        <v>380</v>
      </c>
      <c r="BFR7">
        <v>380</v>
      </c>
      <c r="BFS7">
        <v>380</v>
      </c>
      <c r="BFT7">
        <v>379</v>
      </c>
      <c r="BFU7">
        <v>380</v>
      </c>
      <c r="BFV7" t="s">
        <v>289</v>
      </c>
      <c r="BFW7">
        <v>18226</v>
      </c>
      <c r="BFX7">
        <v>22462</v>
      </c>
      <c r="BFY7">
        <v>24927</v>
      </c>
      <c r="BFZ7">
        <v>28121</v>
      </c>
      <c r="BGA7">
        <v>30816</v>
      </c>
      <c r="BGB7">
        <v>29358</v>
      </c>
      <c r="BGC7">
        <v>30515</v>
      </c>
      <c r="BGD7">
        <v>34797</v>
      </c>
      <c r="BGE7">
        <v>37809</v>
      </c>
      <c r="BGF7">
        <v>41082</v>
      </c>
      <c r="BGG7">
        <v>47347</v>
      </c>
      <c r="BGH7">
        <v>52724</v>
      </c>
      <c r="BGI7">
        <v>55749</v>
      </c>
      <c r="BGJ7">
        <v>54728</v>
      </c>
      <c r="BGK7">
        <v>58060</v>
      </c>
      <c r="BGL7">
        <v>65854</v>
      </c>
      <c r="BGM7">
        <v>63845</v>
      </c>
      <c r="BGN7">
        <v>67090</v>
      </c>
      <c r="BGO7" t="s">
        <v>289</v>
      </c>
      <c r="BGP7">
        <v>15264</v>
      </c>
      <c r="BGQ7">
        <v>17838</v>
      </c>
      <c r="BGR7">
        <v>17656</v>
      </c>
      <c r="BGS7">
        <v>22493</v>
      </c>
      <c r="BGT7">
        <v>29125</v>
      </c>
      <c r="BGU7">
        <v>26385</v>
      </c>
      <c r="BGV7">
        <v>25576</v>
      </c>
      <c r="BGW7">
        <v>29381</v>
      </c>
      <c r="BGX7">
        <v>29547</v>
      </c>
      <c r="BGY7">
        <v>30428</v>
      </c>
      <c r="BGZ7">
        <v>35552</v>
      </c>
      <c r="BHA7">
        <v>39962</v>
      </c>
      <c r="BHB7">
        <v>40670</v>
      </c>
      <c r="BHC7">
        <v>40727</v>
      </c>
      <c r="BHD7">
        <v>38179</v>
      </c>
      <c r="BHE7">
        <v>44944</v>
      </c>
      <c r="BHF7">
        <v>38393</v>
      </c>
      <c r="BHG7">
        <v>39975</v>
      </c>
      <c r="BHH7" t="s">
        <v>289</v>
      </c>
      <c r="BHI7" t="s">
        <v>289</v>
      </c>
      <c r="BHJ7" t="s">
        <v>289</v>
      </c>
      <c r="BHK7" t="s">
        <v>289</v>
      </c>
      <c r="BHL7" t="s">
        <v>289</v>
      </c>
      <c r="BHM7" t="s">
        <v>289</v>
      </c>
      <c r="BHN7">
        <v>26317</v>
      </c>
      <c r="BHO7">
        <v>25576</v>
      </c>
      <c r="BHP7">
        <v>29381</v>
      </c>
      <c r="BHQ7">
        <v>29547</v>
      </c>
      <c r="BHR7">
        <v>30428</v>
      </c>
      <c r="BHS7">
        <v>35552</v>
      </c>
      <c r="BHT7">
        <v>39962</v>
      </c>
      <c r="BHU7">
        <v>40670</v>
      </c>
      <c r="BHV7">
        <v>40727</v>
      </c>
      <c r="BHW7">
        <v>38170</v>
      </c>
      <c r="BHX7">
        <v>44400</v>
      </c>
      <c r="BHY7">
        <v>37901</v>
      </c>
      <c r="BHZ7">
        <v>39500</v>
      </c>
      <c r="BIA7" t="s">
        <v>289</v>
      </c>
      <c r="BIB7">
        <v>67634</v>
      </c>
      <c r="BIC7">
        <v>74566</v>
      </c>
      <c r="BID7">
        <v>79057</v>
      </c>
      <c r="BIE7">
        <v>88997</v>
      </c>
      <c r="BIF7">
        <v>101086</v>
      </c>
      <c r="BIG7">
        <v>101953</v>
      </c>
      <c r="BIH7">
        <v>110164</v>
      </c>
      <c r="BII7">
        <v>123429</v>
      </c>
      <c r="BIJ7">
        <v>131835</v>
      </c>
      <c r="BIK7">
        <v>138377</v>
      </c>
      <c r="BIL7">
        <v>154803</v>
      </c>
      <c r="BIM7">
        <v>172174</v>
      </c>
      <c r="BIN7">
        <v>188535</v>
      </c>
      <c r="BIO7">
        <v>195506</v>
      </c>
      <c r="BIP7">
        <v>208938</v>
      </c>
      <c r="BIQ7">
        <v>228034</v>
      </c>
      <c r="BIR7">
        <v>216658</v>
      </c>
      <c r="BIS7">
        <v>229527</v>
      </c>
      <c r="BIT7" t="s">
        <v>289</v>
      </c>
      <c r="BIU7" t="s">
        <v>289</v>
      </c>
      <c r="BIV7" t="s">
        <v>289</v>
      </c>
      <c r="BIW7" t="s">
        <v>289</v>
      </c>
      <c r="BIX7" t="s">
        <v>289</v>
      </c>
      <c r="BIY7" t="s">
        <v>289</v>
      </c>
      <c r="BIZ7" t="s">
        <v>289</v>
      </c>
      <c r="BJA7" t="s">
        <v>289</v>
      </c>
      <c r="BJB7" t="s">
        <v>289</v>
      </c>
      <c r="BJC7" t="s">
        <v>289</v>
      </c>
      <c r="BJD7" t="s">
        <v>289</v>
      </c>
      <c r="BJE7" t="s">
        <v>289</v>
      </c>
      <c r="BJF7" t="s">
        <v>289</v>
      </c>
      <c r="BJG7" t="s">
        <v>289</v>
      </c>
      <c r="BJH7" t="s">
        <v>289</v>
      </c>
      <c r="BJI7" t="s">
        <v>289</v>
      </c>
      <c r="BJJ7" t="s">
        <v>289</v>
      </c>
      <c r="BJK7" t="s">
        <v>289</v>
      </c>
      <c r="BJL7" t="s">
        <v>289</v>
      </c>
      <c r="BJM7" t="s">
        <v>289</v>
      </c>
      <c r="BJN7">
        <v>-4243</v>
      </c>
      <c r="BJO7">
        <v>-3875</v>
      </c>
      <c r="BJP7">
        <v>-4313</v>
      </c>
      <c r="BJQ7">
        <v>-4267</v>
      </c>
      <c r="BJR7">
        <v>-4204</v>
      </c>
      <c r="BJS7">
        <v>-3471</v>
      </c>
      <c r="BJT7">
        <v>-3263</v>
      </c>
      <c r="BJU7">
        <v>-3679</v>
      </c>
      <c r="BJV7">
        <v>-5236</v>
      </c>
      <c r="BJW7">
        <v>-6693</v>
      </c>
      <c r="BJX7">
        <v>-6099</v>
      </c>
      <c r="BJY7">
        <v>-5889</v>
      </c>
      <c r="BJZ7">
        <v>-5823</v>
      </c>
      <c r="BKA7">
        <v>-7112</v>
      </c>
      <c r="BKB7">
        <v>-7777</v>
      </c>
      <c r="BKC7">
        <v>-6902</v>
      </c>
      <c r="BKD7">
        <v>-6150</v>
      </c>
      <c r="BKE7">
        <v>-6619</v>
      </c>
      <c r="BKF7" t="s">
        <v>289</v>
      </c>
      <c r="BKG7">
        <v>5544</v>
      </c>
      <c r="BKH7">
        <v>6466</v>
      </c>
      <c r="BKI7">
        <v>3808</v>
      </c>
      <c r="BKJ7">
        <v>3689</v>
      </c>
      <c r="BKK7">
        <v>10439</v>
      </c>
      <c r="BKL7">
        <v>9079</v>
      </c>
      <c r="BKM7">
        <v>7679</v>
      </c>
      <c r="BKN7">
        <v>7424</v>
      </c>
      <c r="BKO7">
        <v>7955</v>
      </c>
      <c r="BKP7">
        <v>7047</v>
      </c>
      <c r="BKQ7">
        <v>7724</v>
      </c>
      <c r="BKR7">
        <v>8222</v>
      </c>
      <c r="BKS7">
        <v>8304</v>
      </c>
      <c r="BKT7">
        <v>8217</v>
      </c>
      <c r="BKU7">
        <v>8601</v>
      </c>
      <c r="BKV7">
        <v>10749</v>
      </c>
      <c r="BKW7">
        <v>11972</v>
      </c>
      <c r="BKX7">
        <v>6495</v>
      </c>
      <c r="BKY7" t="s">
        <v>289</v>
      </c>
      <c r="BKZ7">
        <v>3741</v>
      </c>
      <c r="BLA7">
        <v>3703</v>
      </c>
      <c r="BLB7">
        <v>3937</v>
      </c>
      <c r="BLC7">
        <v>4010</v>
      </c>
      <c r="BLD7">
        <v>1000</v>
      </c>
      <c r="BLE7">
        <v>316</v>
      </c>
      <c r="BLF7">
        <v>5241</v>
      </c>
      <c r="BLG7">
        <v>8020</v>
      </c>
      <c r="BLH7">
        <v>8276</v>
      </c>
      <c r="BLI7">
        <v>7956</v>
      </c>
      <c r="BLJ7">
        <v>9141</v>
      </c>
      <c r="BLK7">
        <v>9581</v>
      </c>
      <c r="BLL7">
        <v>9373</v>
      </c>
      <c r="BLM7">
        <v>9863</v>
      </c>
      <c r="BLN7">
        <v>8883</v>
      </c>
      <c r="BLO7">
        <v>7444</v>
      </c>
      <c r="BLP7">
        <v>4790</v>
      </c>
      <c r="BLQ7">
        <v>13372</v>
      </c>
      <c r="BLR7" t="s">
        <v>289</v>
      </c>
      <c r="BLS7">
        <v>9285</v>
      </c>
      <c r="BLT7">
        <v>10169</v>
      </c>
      <c r="BLU7">
        <v>7745</v>
      </c>
      <c r="BLV7">
        <v>7699</v>
      </c>
      <c r="BLW7">
        <v>11439</v>
      </c>
      <c r="BLX7">
        <v>9395</v>
      </c>
      <c r="BLY7">
        <v>12920</v>
      </c>
      <c r="BLZ7">
        <v>15444</v>
      </c>
      <c r="BMA7">
        <v>16231</v>
      </c>
      <c r="BMB7">
        <v>15003</v>
      </c>
      <c r="BMC7">
        <v>16865</v>
      </c>
      <c r="BMD7">
        <v>17803</v>
      </c>
      <c r="BME7">
        <v>17677</v>
      </c>
      <c r="BMF7">
        <v>18080</v>
      </c>
      <c r="BMG7">
        <v>17484</v>
      </c>
      <c r="BMH7">
        <v>18193</v>
      </c>
      <c r="BMI7">
        <v>16762</v>
      </c>
      <c r="BMJ7">
        <v>19867</v>
      </c>
      <c r="BMK7" t="s">
        <v>289</v>
      </c>
      <c r="BML7" t="s">
        <v>289</v>
      </c>
      <c r="BMM7" t="s">
        <v>289</v>
      </c>
      <c r="BMN7" t="s">
        <v>289</v>
      </c>
      <c r="BMO7" t="s">
        <v>289</v>
      </c>
      <c r="BMP7" t="s">
        <v>289</v>
      </c>
      <c r="BMQ7">
        <v>9380</v>
      </c>
      <c r="BMR7">
        <v>12907</v>
      </c>
      <c r="BMS7">
        <v>15469</v>
      </c>
      <c r="BMT7">
        <v>16246</v>
      </c>
      <c r="BMU7">
        <v>15001</v>
      </c>
      <c r="BMV7">
        <v>16845</v>
      </c>
      <c r="BMW7">
        <v>17702</v>
      </c>
      <c r="BMX7">
        <v>17608</v>
      </c>
      <c r="BMY7">
        <v>18021</v>
      </c>
      <c r="BMZ7">
        <v>17565</v>
      </c>
      <c r="BNA7">
        <v>18144</v>
      </c>
      <c r="BNB7">
        <v>15682</v>
      </c>
      <c r="BNC7">
        <v>19952</v>
      </c>
      <c r="BND7" t="s">
        <v>289</v>
      </c>
      <c r="BNE7">
        <v>44335</v>
      </c>
      <c r="BNF7">
        <v>46656</v>
      </c>
      <c r="BNG7">
        <v>48999</v>
      </c>
      <c r="BNH7">
        <v>56018</v>
      </c>
      <c r="BNI7">
        <v>53197</v>
      </c>
      <c r="BNJ7">
        <v>50681</v>
      </c>
      <c r="BNK7">
        <v>60477</v>
      </c>
      <c r="BNL7">
        <v>68821</v>
      </c>
      <c r="BNM7">
        <v>76848</v>
      </c>
      <c r="BNN7">
        <v>76058</v>
      </c>
      <c r="BNO7">
        <v>80401</v>
      </c>
      <c r="BNP7">
        <v>92175</v>
      </c>
      <c r="BNQ7">
        <v>94163</v>
      </c>
      <c r="BNR7">
        <v>98678</v>
      </c>
      <c r="BNS7">
        <v>97480</v>
      </c>
      <c r="BNT7">
        <v>104210</v>
      </c>
      <c r="BNU7">
        <v>98990</v>
      </c>
      <c r="BNV7">
        <v>111239</v>
      </c>
      <c r="BNW7" t="s">
        <v>289</v>
      </c>
      <c r="BNX7">
        <v>2878</v>
      </c>
      <c r="BNY7">
        <v>3394</v>
      </c>
      <c r="BNZ7">
        <v>3889</v>
      </c>
      <c r="BOA7">
        <v>4946</v>
      </c>
      <c r="BOB7">
        <v>6350</v>
      </c>
      <c r="BOC7">
        <v>5949</v>
      </c>
      <c r="BOD7">
        <v>6121</v>
      </c>
      <c r="BOE7">
        <v>6094</v>
      </c>
      <c r="BOF7">
        <v>6537</v>
      </c>
      <c r="BOG7">
        <v>5709</v>
      </c>
      <c r="BOH7">
        <v>6325</v>
      </c>
      <c r="BOI7">
        <v>6854</v>
      </c>
      <c r="BOJ7">
        <v>6709</v>
      </c>
      <c r="BOK7">
        <v>7028</v>
      </c>
      <c r="BOL7">
        <v>6992</v>
      </c>
      <c r="BOM7">
        <v>8934</v>
      </c>
      <c r="BON7">
        <v>10083</v>
      </c>
      <c r="BOO7">
        <v>4358</v>
      </c>
      <c r="BOP7" t="s">
        <v>289</v>
      </c>
      <c r="BOQ7">
        <v>3741</v>
      </c>
      <c r="BOR7">
        <v>3703</v>
      </c>
      <c r="BOS7">
        <v>3937</v>
      </c>
      <c r="BOT7">
        <v>4010</v>
      </c>
      <c r="BOU7">
        <v>1000</v>
      </c>
      <c r="BOV7">
        <v>316</v>
      </c>
      <c r="BOW7">
        <v>5241</v>
      </c>
      <c r="BOX7">
        <v>8020</v>
      </c>
      <c r="BOY7">
        <v>8276</v>
      </c>
      <c r="BOZ7">
        <v>7956</v>
      </c>
      <c r="BPA7">
        <v>9141</v>
      </c>
      <c r="BPB7">
        <v>9581</v>
      </c>
      <c r="BPC7">
        <v>9373</v>
      </c>
      <c r="BPD7">
        <v>9863</v>
      </c>
      <c r="BPE7">
        <v>8883</v>
      </c>
      <c r="BPF7">
        <v>7444</v>
      </c>
      <c r="BPG7">
        <v>4790</v>
      </c>
      <c r="BPH7">
        <v>13372</v>
      </c>
      <c r="BPI7" t="s">
        <v>289</v>
      </c>
      <c r="BPJ7">
        <v>24286</v>
      </c>
      <c r="BPK7">
        <v>30393</v>
      </c>
      <c r="BPL7">
        <v>31986</v>
      </c>
      <c r="BPM7">
        <v>37906</v>
      </c>
      <c r="BPN7">
        <v>48003</v>
      </c>
      <c r="BPO7">
        <v>29549</v>
      </c>
      <c r="BPP7">
        <v>27550</v>
      </c>
      <c r="BPQ7">
        <v>29434</v>
      </c>
      <c r="BPR7">
        <v>27131</v>
      </c>
      <c r="BPS7">
        <v>28397</v>
      </c>
      <c r="BPT7">
        <v>36591</v>
      </c>
      <c r="BPU7">
        <v>38021</v>
      </c>
      <c r="BPV7">
        <v>38919</v>
      </c>
      <c r="BPW7">
        <v>38359</v>
      </c>
      <c r="BPX7">
        <v>44378</v>
      </c>
      <c r="BPY7">
        <v>56725</v>
      </c>
      <c r="BPZ7">
        <v>48298</v>
      </c>
      <c r="BQA7">
        <v>51340</v>
      </c>
      <c r="BQB7" t="s">
        <v>289</v>
      </c>
      <c r="BQC7">
        <v>44335</v>
      </c>
      <c r="BQD7">
        <v>46656</v>
      </c>
      <c r="BQE7">
        <v>48999</v>
      </c>
      <c r="BQF7">
        <v>56018</v>
      </c>
      <c r="BQG7">
        <v>53197</v>
      </c>
      <c r="BQH7">
        <v>50681</v>
      </c>
      <c r="BQI7">
        <v>60477</v>
      </c>
      <c r="BQJ7">
        <v>68821</v>
      </c>
      <c r="BQK7">
        <v>76848</v>
      </c>
      <c r="BQL7">
        <v>76059</v>
      </c>
      <c r="BQM7">
        <v>80401</v>
      </c>
      <c r="BQN7">
        <v>92175</v>
      </c>
      <c r="BQO7">
        <v>94163</v>
      </c>
      <c r="BQP7">
        <v>98282</v>
      </c>
      <c r="BQQ7">
        <v>96855</v>
      </c>
      <c r="BQR7">
        <v>104210</v>
      </c>
      <c r="BQS7">
        <v>98990</v>
      </c>
      <c r="BQT7">
        <v>111239</v>
      </c>
      <c r="BQU7" t="s">
        <v>289</v>
      </c>
      <c r="BQV7">
        <v>4224</v>
      </c>
      <c r="BQW7">
        <v>5255</v>
      </c>
      <c r="BQX7">
        <v>5017</v>
      </c>
      <c r="BQY7">
        <v>4627</v>
      </c>
      <c r="BQZ7">
        <v>3314</v>
      </c>
      <c r="BRA7">
        <v>2972</v>
      </c>
      <c r="BRB7">
        <v>1563</v>
      </c>
      <c r="BRC7">
        <v>2183</v>
      </c>
      <c r="BRD7">
        <v>3813</v>
      </c>
      <c r="BRE7">
        <v>2303</v>
      </c>
      <c r="BRF7">
        <v>4604</v>
      </c>
      <c r="BRG7">
        <v>3000</v>
      </c>
      <c r="BRH7">
        <v>4587</v>
      </c>
      <c r="BRI7">
        <v>3252</v>
      </c>
      <c r="BRJ7">
        <v>2330</v>
      </c>
      <c r="BRK7">
        <v>3335</v>
      </c>
      <c r="BRL7">
        <v>3693</v>
      </c>
      <c r="BRM7">
        <v>1247</v>
      </c>
      <c r="BRN7" t="s">
        <v>289</v>
      </c>
      <c r="BRO7" t="s">
        <v>289</v>
      </c>
      <c r="BRP7" t="s">
        <v>289</v>
      </c>
      <c r="BRQ7" t="s">
        <v>289</v>
      </c>
      <c r="BRR7" t="s">
        <v>289</v>
      </c>
      <c r="BRS7" t="s">
        <v>289</v>
      </c>
      <c r="BRT7">
        <v>-3471</v>
      </c>
      <c r="BRU7">
        <v>-3263</v>
      </c>
      <c r="BRV7">
        <v>-3679</v>
      </c>
      <c r="BRW7">
        <v>-5236</v>
      </c>
      <c r="BRX7">
        <v>-6693</v>
      </c>
      <c r="BRY7">
        <v>-6099</v>
      </c>
      <c r="BRZ7">
        <v>-5889</v>
      </c>
      <c r="BSA7">
        <v>-5823</v>
      </c>
      <c r="BSB7">
        <v>-7112</v>
      </c>
      <c r="BSC7">
        <v>-7777</v>
      </c>
      <c r="BSD7">
        <v>-6902</v>
      </c>
      <c r="BSE7">
        <v>-6150</v>
      </c>
      <c r="BSF7">
        <v>-6619</v>
      </c>
      <c r="BSG7" t="s">
        <v>289</v>
      </c>
      <c r="BSH7" t="s">
        <v>289</v>
      </c>
      <c r="BSI7" t="s">
        <v>289</v>
      </c>
      <c r="BSJ7" t="s">
        <v>289</v>
      </c>
      <c r="BSK7" t="s">
        <v>289</v>
      </c>
      <c r="BSL7" t="s">
        <v>289</v>
      </c>
      <c r="BSM7" t="s">
        <v>289</v>
      </c>
      <c r="BSN7" t="s">
        <v>289</v>
      </c>
      <c r="BSO7" t="s">
        <v>289</v>
      </c>
      <c r="BSP7" t="s">
        <v>289</v>
      </c>
      <c r="BSQ7" t="s">
        <v>289</v>
      </c>
      <c r="BSR7" t="s">
        <v>289</v>
      </c>
      <c r="BSS7" t="s">
        <v>289</v>
      </c>
      <c r="BST7" t="s">
        <v>289</v>
      </c>
      <c r="BSU7" t="s">
        <v>289</v>
      </c>
      <c r="BSV7" t="s">
        <v>289</v>
      </c>
      <c r="BSW7" t="s">
        <v>289</v>
      </c>
      <c r="BSX7" t="s">
        <v>289</v>
      </c>
      <c r="BSY7" t="s">
        <v>289</v>
      </c>
      <c r="BSZ7" t="s">
        <v>289</v>
      </c>
      <c r="BTA7" t="s">
        <v>289</v>
      </c>
      <c r="BTB7" t="s">
        <v>289</v>
      </c>
      <c r="BTC7" t="s">
        <v>289</v>
      </c>
      <c r="BTD7" t="s">
        <v>289</v>
      </c>
      <c r="BTE7" t="s">
        <v>289</v>
      </c>
      <c r="BTF7" t="s">
        <v>289</v>
      </c>
      <c r="BTG7" t="s">
        <v>289</v>
      </c>
      <c r="BTH7" t="s">
        <v>289</v>
      </c>
      <c r="BTI7" t="s">
        <v>289</v>
      </c>
      <c r="BTJ7" t="s">
        <v>289</v>
      </c>
      <c r="BTK7" t="s">
        <v>289</v>
      </c>
      <c r="BTL7" t="s">
        <v>289</v>
      </c>
      <c r="BTM7" t="s">
        <v>289</v>
      </c>
      <c r="BTN7" t="s">
        <v>289</v>
      </c>
      <c r="BTO7" t="s">
        <v>289</v>
      </c>
      <c r="BTP7" t="s">
        <v>289</v>
      </c>
      <c r="BTQ7" t="s">
        <v>289</v>
      </c>
      <c r="BTR7" t="s">
        <v>289</v>
      </c>
      <c r="BTS7" t="s">
        <v>289</v>
      </c>
      <c r="BTT7" t="s">
        <v>289</v>
      </c>
      <c r="BTU7" t="s">
        <v>289</v>
      </c>
      <c r="BTV7" t="s">
        <v>289</v>
      </c>
      <c r="BTW7" t="s">
        <v>289</v>
      </c>
      <c r="BTX7" t="s">
        <v>289</v>
      </c>
      <c r="BTY7" t="s">
        <v>289</v>
      </c>
      <c r="BTZ7">
        <v>-951</v>
      </c>
      <c r="BUA7" t="s">
        <v>289</v>
      </c>
      <c r="BUB7" t="s">
        <v>289</v>
      </c>
      <c r="BUC7" t="s">
        <v>289</v>
      </c>
      <c r="BUD7" t="s">
        <v>289</v>
      </c>
      <c r="BUE7" t="s">
        <v>289</v>
      </c>
      <c r="BUF7" t="s">
        <v>289</v>
      </c>
      <c r="BUG7" t="s">
        <v>289</v>
      </c>
      <c r="BUH7" t="s">
        <v>289</v>
      </c>
      <c r="BUI7" t="s">
        <v>289</v>
      </c>
      <c r="BUJ7" t="s">
        <v>289</v>
      </c>
      <c r="BUK7" t="s">
        <v>289</v>
      </c>
      <c r="BUL7" t="s">
        <v>289</v>
      </c>
      <c r="BUM7">
        <v>-4243</v>
      </c>
      <c r="BUN7">
        <v>-3875</v>
      </c>
      <c r="BUO7">
        <v>-4313</v>
      </c>
      <c r="BUP7">
        <v>-4267</v>
      </c>
      <c r="BUQ7">
        <v>-4204</v>
      </c>
      <c r="BUR7">
        <v>-3471</v>
      </c>
      <c r="BUS7">
        <v>-3263</v>
      </c>
      <c r="BUT7">
        <v>-3679</v>
      </c>
      <c r="BUU7">
        <v>-5236</v>
      </c>
      <c r="BUV7">
        <v>-6693</v>
      </c>
      <c r="BUW7">
        <v>-6099</v>
      </c>
      <c r="BUX7">
        <v>-5889</v>
      </c>
      <c r="BUY7">
        <v>-5823</v>
      </c>
      <c r="BUZ7">
        <v>-7112</v>
      </c>
      <c r="BVA7">
        <v>-7777</v>
      </c>
      <c r="BVB7">
        <v>-6902</v>
      </c>
      <c r="BVC7">
        <v>-6150</v>
      </c>
      <c r="BVD7">
        <v>-6619</v>
      </c>
      <c r="BVE7" t="s">
        <v>289</v>
      </c>
      <c r="BVF7" t="s">
        <v>289</v>
      </c>
      <c r="BVG7" t="s">
        <v>289</v>
      </c>
      <c r="BVH7" t="s">
        <v>289</v>
      </c>
      <c r="BVI7" t="s">
        <v>289</v>
      </c>
      <c r="BVJ7" t="s">
        <v>289</v>
      </c>
      <c r="BVK7">
        <v>2587</v>
      </c>
      <c r="BVL7">
        <v>4033</v>
      </c>
      <c r="BVM7">
        <v>4582</v>
      </c>
      <c r="BVN7">
        <v>3993</v>
      </c>
      <c r="BVO7">
        <v>4118</v>
      </c>
      <c r="BVP7">
        <v>4135</v>
      </c>
      <c r="BVQ7">
        <v>4271</v>
      </c>
      <c r="BVR7">
        <v>4294</v>
      </c>
      <c r="BVS7">
        <v>4920</v>
      </c>
      <c r="BVT7">
        <v>5320</v>
      </c>
      <c r="BVU7">
        <v>5952</v>
      </c>
      <c r="BVV7">
        <v>5689</v>
      </c>
      <c r="BVW7">
        <v>6299</v>
      </c>
      <c r="BVX7" t="s">
        <v>289</v>
      </c>
      <c r="BVY7" t="s">
        <v>289</v>
      </c>
      <c r="BVZ7" t="s">
        <v>289</v>
      </c>
      <c r="BWA7" t="s">
        <v>289</v>
      </c>
      <c r="BWB7" t="s">
        <v>289</v>
      </c>
      <c r="BWC7" t="s">
        <v>289</v>
      </c>
      <c r="BWD7" t="s">
        <v>289</v>
      </c>
      <c r="BWE7" t="s">
        <v>289</v>
      </c>
      <c r="BWF7" t="s">
        <v>289</v>
      </c>
      <c r="BWG7" t="s">
        <v>289</v>
      </c>
      <c r="BWH7" t="s">
        <v>289</v>
      </c>
      <c r="BWI7" t="s">
        <v>289</v>
      </c>
      <c r="BWJ7" t="s">
        <v>289</v>
      </c>
      <c r="BWK7" t="s">
        <v>289</v>
      </c>
      <c r="BWL7">
        <v>0</v>
      </c>
      <c r="BWM7">
        <v>0</v>
      </c>
      <c r="BWN7">
        <v>0</v>
      </c>
      <c r="BWO7">
        <v>0</v>
      </c>
      <c r="BWP7">
        <v>6299</v>
      </c>
      <c r="BWQ7" t="s">
        <v>289</v>
      </c>
      <c r="BWR7">
        <v>2334</v>
      </c>
      <c r="BWS7">
        <v>2464</v>
      </c>
      <c r="BWT7">
        <v>2544</v>
      </c>
      <c r="BWU7">
        <v>2920</v>
      </c>
      <c r="BWV7" t="s">
        <v>289</v>
      </c>
      <c r="BWW7" t="s">
        <v>289</v>
      </c>
      <c r="BWX7" t="s">
        <v>289</v>
      </c>
      <c r="BWY7" t="s">
        <v>289</v>
      </c>
      <c r="BWZ7" t="s">
        <v>289</v>
      </c>
      <c r="BXA7" t="s">
        <v>289</v>
      </c>
      <c r="BXB7" t="s">
        <v>289</v>
      </c>
      <c r="BXC7" t="s">
        <v>289</v>
      </c>
      <c r="BXD7" t="s">
        <v>289</v>
      </c>
      <c r="BXE7" t="s">
        <v>289</v>
      </c>
      <c r="BXF7" t="s">
        <v>289</v>
      </c>
      <c r="BXG7" t="s">
        <v>289</v>
      </c>
      <c r="BXH7" t="s">
        <v>289</v>
      </c>
      <c r="BXI7" t="s">
        <v>289</v>
      </c>
      <c r="BXJ7" t="s">
        <v>289</v>
      </c>
      <c r="BXK7" t="s">
        <v>289</v>
      </c>
      <c r="BXL7" t="s">
        <v>289</v>
      </c>
      <c r="BXM7" t="s">
        <v>289</v>
      </c>
      <c r="BXN7" t="s">
        <v>289</v>
      </c>
      <c r="BXO7" t="s">
        <v>289</v>
      </c>
      <c r="BXP7">
        <v>0</v>
      </c>
      <c r="BXQ7">
        <v>0</v>
      </c>
      <c r="BXR7">
        <v>0</v>
      </c>
      <c r="BXS7">
        <v>0</v>
      </c>
      <c r="BXT7">
        <v>0</v>
      </c>
      <c r="BXU7">
        <v>0</v>
      </c>
      <c r="BXV7">
        <v>0</v>
      </c>
      <c r="BXW7">
        <v>0</v>
      </c>
      <c r="BXX7">
        <v>0</v>
      </c>
      <c r="BXY7">
        <v>0</v>
      </c>
      <c r="BXZ7">
        <v>0</v>
      </c>
      <c r="BYA7">
        <v>0</v>
      </c>
      <c r="BYB7">
        <v>0</v>
      </c>
      <c r="BYC7" t="s">
        <v>289</v>
      </c>
      <c r="BYD7" t="s">
        <v>289</v>
      </c>
      <c r="BYE7" t="s">
        <v>289</v>
      </c>
      <c r="BYF7" t="s">
        <v>289</v>
      </c>
      <c r="BYG7" t="s">
        <v>289</v>
      </c>
      <c r="BYH7" t="s">
        <v>289</v>
      </c>
      <c r="BYI7" t="s">
        <v>289</v>
      </c>
      <c r="BYJ7" t="s">
        <v>289</v>
      </c>
      <c r="BYK7" t="s">
        <v>289</v>
      </c>
      <c r="BYL7" t="s">
        <v>289</v>
      </c>
      <c r="BYM7" t="s">
        <v>289</v>
      </c>
      <c r="BYN7" t="s">
        <v>289</v>
      </c>
      <c r="BYO7" t="s">
        <v>289</v>
      </c>
      <c r="BYP7" t="s">
        <v>289</v>
      </c>
      <c r="BYQ7" t="s">
        <v>289</v>
      </c>
      <c r="BYR7" t="s">
        <v>289</v>
      </c>
      <c r="BYS7" t="s">
        <v>289</v>
      </c>
      <c r="BYT7" t="s">
        <v>289</v>
      </c>
      <c r="BYU7" t="s">
        <v>289</v>
      </c>
      <c r="BYV7" t="s">
        <v>289</v>
      </c>
      <c r="BYW7" t="s">
        <v>289</v>
      </c>
      <c r="BYX7" t="s">
        <v>289</v>
      </c>
      <c r="BYY7" t="s">
        <v>289</v>
      </c>
      <c r="BYZ7" t="s">
        <v>289</v>
      </c>
      <c r="BZA7" t="s">
        <v>289</v>
      </c>
      <c r="BZB7" t="s">
        <v>289</v>
      </c>
      <c r="BZC7" t="s">
        <v>289</v>
      </c>
      <c r="BZD7" t="s">
        <v>289</v>
      </c>
      <c r="BZE7" t="s">
        <v>289</v>
      </c>
      <c r="BZF7" t="s">
        <v>289</v>
      </c>
      <c r="BZG7" t="s">
        <v>289</v>
      </c>
      <c r="BZH7" t="s">
        <v>289</v>
      </c>
      <c r="BZI7" t="s">
        <v>289</v>
      </c>
      <c r="BZJ7" t="s">
        <v>289</v>
      </c>
      <c r="BZK7" t="s">
        <v>289</v>
      </c>
      <c r="BZL7" t="s">
        <v>289</v>
      </c>
      <c r="BZM7" t="s">
        <v>289</v>
      </c>
      <c r="BZN7" t="s">
        <v>289</v>
      </c>
      <c r="BZO7" t="s">
        <v>289</v>
      </c>
      <c r="BZP7" t="s">
        <v>289</v>
      </c>
      <c r="BZQ7" t="s">
        <v>289</v>
      </c>
      <c r="BZR7" t="s">
        <v>289</v>
      </c>
      <c r="BZS7" t="s">
        <v>289</v>
      </c>
      <c r="BZT7" t="s">
        <v>289</v>
      </c>
      <c r="BZU7" t="s">
        <v>289</v>
      </c>
      <c r="BZV7" t="s">
        <v>289</v>
      </c>
      <c r="BZW7" t="s">
        <v>289</v>
      </c>
      <c r="BZX7" t="s">
        <v>289</v>
      </c>
      <c r="BZY7" t="s">
        <v>289</v>
      </c>
      <c r="BZZ7" t="s">
        <v>289</v>
      </c>
      <c r="CAA7" t="s">
        <v>289</v>
      </c>
      <c r="CAB7" t="s">
        <v>289</v>
      </c>
      <c r="CAC7" t="s">
        <v>289</v>
      </c>
      <c r="CAD7" t="s">
        <v>289</v>
      </c>
      <c r="CAE7" t="s">
        <v>289</v>
      </c>
      <c r="CAF7" t="s">
        <v>289</v>
      </c>
      <c r="CAG7" t="s">
        <v>289</v>
      </c>
      <c r="CAH7" t="s">
        <v>289</v>
      </c>
      <c r="CAI7" t="s">
        <v>289</v>
      </c>
      <c r="CAJ7" t="s">
        <v>289</v>
      </c>
      <c r="CAK7" t="s">
        <v>289</v>
      </c>
      <c r="CAL7" t="s">
        <v>289</v>
      </c>
      <c r="CAM7" t="s">
        <v>289</v>
      </c>
      <c r="CAN7" t="s">
        <v>289</v>
      </c>
      <c r="CAO7" t="s">
        <v>289</v>
      </c>
      <c r="CAP7" t="s">
        <v>289</v>
      </c>
      <c r="CAQ7" t="s">
        <v>289</v>
      </c>
      <c r="CAR7" t="s">
        <v>289</v>
      </c>
      <c r="CAS7" t="s">
        <v>289</v>
      </c>
      <c r="CAT7" t="s">
        <v>289</v>
      </c>
      <c r="CAU7" t="s">
        <v>289</v>
      </c>
      <c r="CAV7" t="s">
        <v>289</v>
      </c>
      <c r="CAW7" t="s">
        <v>289</v>
      </c>
      <c r="CAX7" t="s">
        <v>289</v>
      </c>
      <c r="CAY7" t="s">
        <v>289</v>
      </c>
      <c r="CAZ7" t="s">
        <v>289</v>
      </c>
      <c r="CBA7" t="s">
        <v>289</v>
      </c>
      <c r="CBB7" t="s">
        <v>289</v>
      </c>
      <c r="CBC7" t="s">
        <v>289</v>
      </c>
      <c r="CBD7" t="s">
        <v>289</v>
      </c>
      <c r="CBE7" t="s">
        <v>289</v>
      </c>
      <c r="CBF7" t="s">
        <v>289</v>
      </c>
      <c r="CBG7" t="s">
        <v>289</v>
      </c>
      <c r="CBH7" t="s">
        <v>289</v>
      </c>
      <c r="CBI7" t="s">
        <v>289</v>
      </c>
      <c r="CBJ7" t="s">
        <v>289</v>
      </c>
      <c r="CBK7" t="s">
        <v>289</v>
      </c>
      <c r="CBL7" t="s">
        <v>289</v>
      </c>
      <c r="CBM7" t="s">
        <v>289</v>
      </c>
      <c r="CBN7" t="s">
        <v>289</v>
      </c>
      <c r="CBO7" t="s">
        <v>289</v>
      </c>
      <c r="CBP7" t="s">
        <v>289</v>
      </c>
      <c r="CBQ7" t="s">
        <v>289</v>
      </c>
      <c r="CBR7" t="s">
        <v>289</v>
      </c>
      <c r="CBS7">
        <v>6299</v>
      </c>
      <c r="CBT7" t="s">
        <v>289</v>
      </c>
      <c r="CBU7" t="s">
        <v>289</v>
      </c>
      <c r="CBV7" t="s">
        <v>289</v>
      </c>
      <c r="CBW7" t="s">
        <v>289</v>
      </c>
      <c r="CBX7" t="s">
        <v>289</v>
      </c>
      <c r="CBY7" t="s">
        <v>289</v>
      </c>
      <c r="CBZ7" t="s">
        <v>289</v>
      </c>
      <c r="CCA7" t="s">
        <v>289</v>
      </c>
      <c r="CCB7" t="s">
        <v>289</v>
      </c>
      <c r="CCC7" t="s">
        <v>289</v>
      </c>
      <c r="CCD7" t="s">
        <v>289</v>
      </c>
      <c r="CCE7" t="s">
        <v>289</v>
      </c>
      <c r="CCF7" t="s">
        <v>289</v>
      </c>
      <c r="CCG7" t="s">
        <v>289</v>
      </c>
      <c r="CCH7" t="s">
        <v>289</v>
      </c>
      <c r="CCI7" t="s">
        <v>289</v>
      </c>
      <c r="CCJ7" t="s">
        <v>289</v>
      </c>
      <c r="CCK7" t="s">
        <v>289</v>
      </c>
      <c r="CCL7" t="s">
        <v>289</v>
      </c>
      <c r="CCM7" t="s">
        <v>289</v>
      </c>
      <c r="CCN7" t="s">
        <v>289</v>
      </c>
      <c r="CCO7" t="s">
        <v>289</v>
      </c>
      <c r="CCP7" t="s">
        <v>289</v>
      </c>
      <c r="CCQ7" t="s">
        <v>289</v>
      </c>
      <c r="CCR7" t="s">
        <v>289</v>
      </c>
      <c r="CCS7" t="s">
        <v>289</v>
      </c>
      <c r="CCT7" t="s">
        <v>289</v>
      </c>
      <c r="CCU7" t="s">
        <v>289</v>
      </c>
      <c r="CCV7" t="s">
        <v>289</v>
      </c>
      <c r="CCW7" t="s">
        <v>289</v>
      </c>
      <c r="CCX7" t="s">
        <v>289</v>
      </c>
      <c r="CCY7" t="s">
        <v>289</v>
      </c>
      <c r="CCZ7" t="s">
        <v>289</v>
      </c>
      <c r="CDA7" t="s">
        <v>289</v>
      </c>
      <c r="CDB7" t="s">
        <v>289</v>
      </c>
      <c r="CDC7" t="s">
        <v>289</v>
      </c>
      <c r="CDD7" t="s">
        <v>289</v>
      </c>
      <c r="CDE7" t="s">
        <v>289</v>
      </c>
      <c r="CDF7" t="s">
        <v>289</v>
      </c>
      <c r="CDG7" t="s">
        <v>289</v>
      </c>
      <c r="CDH7" t="s">
        <v>289</v>
      </c>
      <c r="CDI7" t="s">
        <v>289</v>
      </c>
      <c r="CDJ7" t="s">
        <v>289</v>
      </c>
      <c r="CDK7">
        <v>2825</v>
      </c>
      <c r="CDL7">
        <v>2587</v>
      </c>
      <c r="CDM7">
        <v>4033</v>
      </c>
      <c r="CDN7">
        <v>4582</v>
      </c>
      <c r="CDO7">
        <v>3993</v>
      </c>
      <c r="CDP7">
        <v>4118</v>
      </c>
      <c r="CDQ7">
        <v>4135</v>
      </c>
      <c r="CDR7">
        <v>4271</v>
      </c>
      <c r="CDS7">
        <v>4294</v>
      </c>
      <c r="CDT7">
        <v>4920</v>
      </c>
      <c r="CDU7">
        <v>5320</v>
      </c>
      <c r="CDV7">
        <v>5952</v>
      </c>
      <c r="CDW7">
        <v>5689</v>
      </c>
      <c r="CDX7">
        <v>6299</v>
      </c>
      <c r="CDY7" t="s">
        <v>289</v>
      </c>
      <c r="CDZ7" t="s">
        <v>289</v>
      </c>
      <c r="CEA7" t="s">
        <v>289</v>
      </c>
      <c r="CEB7" t="s">
        <v>289</v>
      </c>
      <c r="CEC7" t="s">
        <v>289</v>
      </c>
      <c r="CED7" t="s">
        <v>289</v>
      </c>
      <c r="CEE7" t="s">
        <v>289</v>
      </c>
      <c r="CEF7" t="s">
        <v>289</v>
      </c>
      <c r="CEG7" t="s">
        <v>289</v>
      </c>
      <c r="CEH7" t="s">
        <v>289</v>
      </c>
      <c r="CEI7" t="s">
        <v>289</v>
      </c>
      <c r="CEJ7" t="s">
        <v>289</v>
      </c>
      <c r="CEK7" t="s">
        <v>289</v>
      </c>
      <c r="CEL7" t="s">
        <v>289</v>
      </c>
      <c r="CEM7" t="s">
        <v>289</v>
      </c>
      <c r="CEN7" t="s">
        <v>289</v>
      </c>
      <c r="CEO7" t="s">
        <v>289</v>
      </c>
      <c r="CEP7" t="s">
        <v>289</v>
      </c>
      <c r="CEQ7" t="s">
        <v>289</v>
      </c>
      <c r="CER7" t="s">
        <v>289</v>
      </c>
      <c r="CES7" t="s">
        <v>289</v>
      </c>
      <c r="CET7" t="s">
        <v>289</v>
      </c>
      <c r="CEU7" t="s">
        <v>289</v>
      </c>
      <c r="CEV7" t="s">
        <v>289</v>
      </c>
      <c r="CEW7" t="s">
        <v>289</v>
      </c>
      <c r="CEX7" t="s">
        <v>289</v>
      </c>
      <c r="CEY7" t="s">
        <v>289</v>
      </c>
      <c r="CEZ7" t="s">
        <v>289</v>
      </c>
      <c r="CFA7" t="s">
        <v>289</v>
      </c>
      <c r="CFB7" t="s">
        <v>289</v>
      </c>
      <c r="CFC7" t="s">
        <v>289</v>
      </c>
      <c r="CFD7" t="s">
        <v>289</v>
      </c>
      <c r="CFE7" t="s">
        <v>289</v>
      </c>
      <c r="CFF7" t="s">
        <v>289</v>
      </c>
      <c r="CFG7" t="s">
        <v>289</v>
      </c>
      <c r="CFH7" t="s">
        <v>289</v>
      </c>
      <c r="CFI7" t="s">
        <v>289</v>
      </c>
      <c r="CFJ7" t="s">
        <v>289</v>
      </c>
      <c r="CFK7" t="s">
        <v>289</v>
      </c>
      <c r="CFL7" t="s">
        <v>289</v>
      </c>
      <c r="CFM7" t="s">
        <v>289</v>
      </c>
      <c r="CFN7" t="s">
        <v>289</v>
      </c>
      <c r="CFO7" t="s">
        <v>289</v>
      </c>
      <c r="CFP7" t="s">
        <v>289</v>
      </c>
      <c r="CFQ7" t="s">
        <v>289</v>
      </c>
      <c r="CFR7" t="s">
        <v>289</v>
      </c>
      <c r="CFS7" t="s">
        <v>289</v>
      </c>
      <c r="CFT7" t="s">
        <v>289</v>
      </c>
      <c r="CFU7" t="s">
        <v>289</v>
      </c>
      <c r="CFV7" t="s">
        <v>289</v>
      </c>
      <c r="CFW7" t="s">
        <v>289</v>
      </c>
      <c r="CFX7" t="s">
        <v>289</v>
      </c>
      <c r="CFY7" t="s">
        <v>289</v>
      </c>
      <c r="CFZ7" t="s">
        <v>289</v>
      </c>
      <c r="CGA7" t="s">
        <v>289</v>
      </c>
      <c r="CGB7" t="s">
        <v>289</v>
      </c>
      <c r="CGC7" t="s">
        <v>289</v>
      </c>
      <c r="CGD7" t="s">
        <v>289</v>
      </c>
      <c r="CGE7">
        <v>-70</v>
      </c>
      <c r="CGF7">
        <v>72</v>
      </c>
      <c r="CGG7">
        <v>-480</v>
      </c>
      <c r="CGH7">
        <v>-787</v>
      </c>
      <c r="CGI7">
        <v>409</v>
      </c>
      <c r="CGJ7">
        <v>-488</v>
      </c>
      <c r="CGK7">
        <v>7</v>
      </c>
      <c r="CGL7">
        <v>400</v>
      </c>
      <c r="CGM7">
        <v>261</v>
      </c>
      <c r="CGN7">
        <v>-245</v>
      </c>
      <c r="CGO7">
        <v>85</v>
      </c>
      <c r="CGP7">
        <v>-54</v>
      </c>
      <c r="CGQ7">
        <v>-606</v>
      </c>
      <c r="CGR7">
        <v>-1188</v>
      </c>
      <c r="CGS7">
        <v>-1018</v>
      </c>
      <c r="CGT7">
        <v>-165</v>
      </c>
      <c r="CGU7">
        <v>-816</v>
      </c>
      <c r="CGV7">
        <v>-2945</v>
      </c>
      <c r="CGW7" t="s">
        <v>289</v>
      </c>
      <c r="CGX7">
        <v>11</v>
      </c>
      <c r="CGY7">
        <v>14</v>
      </c>
      <c r="CGZ7">
        <v>-25</v>
      </c>
      <c r="CHA7">
        <v>11</v>
      </c>
      <c r="CHB7">
        <v>26</v>
      </c>
      <c r="CHC7">
        <v>36</v>
      </c>
      <c r="CHD7">
        <v>98</v>
      </c>
      <c r="CHE7">
        <v>162</v>
      </c>
      <c r="CHF7">
        <v>271</v>
      </c>
      <c r="CHG7">
        <v>407</v>
      </c>
      <c r="CHH7">
        <v>655</v>
      </c>
      <c r="CHI7">
        <v>518</v>
      </c>
      <c r="CHJ7">
        <v>441</v>
      </c>
      <c r="CHK7">
        <v>739</v>
      </c>
      <c r="CHL7">
        <v>632</v>
      </c>
      <c r="CHM7">
        <v>136</v>
      </c>
      <c r="CHN7">
        <v>920</v>
      </c>
      <c r="CHO7">
        <v>1520</v>
      </c>
      <c r="CHP7" t="s">
        <v>289</v>
      </c>
      <c r="CHQ7">
        <v>17677</v>
      </c>
      <c r="CHR7">
        <v>19022</v>
      </c>
      <c r="CHS7">
        <v>19103</v>
      </c>
      <c r="CHT7">
        <v>21630</v>
      </c>
      <c r="CHU7">
        <v>24322</v>
      </c>
      <c r="CHV7">
        <v>25229</v>
      </c>
      <c r="CHW7">
        <v>29170</v>
      </c>
      <c r="CHX7">
        <v>31594</v>
      </c>
      <c r="CHY7">
        <v>35005</v>
      </c>
      <c r="CHZ7">
        <v>35762</v>
      </c>
      <c r="CIA7">
        <v>39870</v>
      </c>
      <c r="CIB7">
        <v>44501</v>
      </c>
      <c r="CIC7">
        <v>51297</v>
      </c>
      <c r="CID7">
        <v>51380</v>
      </c>
      <c r="CIE7">
        <v>50062</v>
      </c>
      <c r="CIF7">
        <v>53103</v>
      </c>
      <c r="CIG7">
        <v>51404</v>
      </c>
      <c r="CIH7">
        <v>54668</v>
      </c>
      <c r="CII7" t="s">
        <v>289</v>
      </c>
      <c r="CIJ7" t="s">
        <v>289</v>
      </c>
      <c r="CIK7" t="s">
        <v>289</v>
      </c>
      <c r="CIL7" t="s">
        <v>289</v>
      </c>
      <c r="CIM7" t="s">
        <v>289</v>
      </c>
      <c r="CIN7" t="s">
        <v>289</v>
      </c>
      <c r="CIO7" t="s">
        <v>289</v>
      </c>
      <c r="CIP7" t="s">
        <v>289</v>
      </c>
      <c r="CIQ7" t="s">
        <v>289</v>
      </c>
      <c r="CIR7" t="s">
        <v>289</v>
      </c>
      <c r="CIS7" t="s">
        <v>289</v>
      </c>
      <c r="CIT7" t="s">
        <v>289</v>
      </c>
      <c r="CIU7" t="s">
        <v>289</v>
      </c>
      <c r="CIV7" t="s">
        <v>289</v>
      </c>
      <c r="CIW7" t="s">
        <v>289</v>
      </c>
      <c r="CIX7" t="s">
        <v>289</v>
      </c>
      <c r="CIY7" t="s">
        <v>289</v>
      </c>
      <c r="CIZ7" t="s">
        <v>289</v>
      </c>
      <c r="CJA7" t="s">
        <v>289</v>
      </c>
      <c r="CJB7" t="s">
        <v>289</v>
      </c>
      <c r="CJC7" t="s">
        <v>289</v>
      </c>
      <c r="CJD7" t="s">
        <v>289</v>
      </c>
      <c r="CJE7" t="s">
        <v>289</v>
      </c>
      <c r="CJF7" t="s">
        <v>289</v>
      </c>
      <c r="CJG7" t="s">
        <v>289</v>
      </c>
      <c r="CJH7" t="s">
        <v>289</v>
      </c>
      <c r="CJI7" t="s">
        <v>289</v>
      </c>
      <c r="CJJ7" t="s">
        <v>289</v>
      </c>
      <c r="CJK7" t="s">
        <v>289</v>
      </c>
      <c r="CJL7" t="s">
        <v>289</v>
      </c>
      <c r="CJM7" t="s">
        <v>289</v>
      </c>
      <c r="CJN7" t="s">
        <v>289</v>
      </c>
      <c r="CJO7" t="s">
        <v>289</v>
      </c>
      <c r="CJP7" t="s">
        <v>289</v>
      </c>
      <c r="CJQ7" t="s">
        <v>289</v>
      </c>
      <c r="CJR7" t="s">
        <v>289</v>
      </c>
      <c r="CJS7" t="s">
        <v>289</v>
      </c>
      <c r="CJT7" t="s">
        <v>289</v>
      </c>
      <c r="CJU7" t="s">
        <v>289</v>
      </c>
      <c r="CJV7" t="s">
        <v>289</v>
      </c>
      <c r="CJW7" t="s">
        <v>289</v>
      </c>
      <c r="CJX7" t="s">
        <v>289</v>
      </c>
      <c r="CJY7" t="s">
        <v>289</v>
      </c>
      <c r="CJZ7" t="s">
        <v>289</v>
      </c>
      <c r="CKA7" t="s">
        <v>289</v>
      </c>
      <c r="CKB7" t="s">
        <v>289</v>
      </c>
      <c r="CKC7" t="s">
        <v>289</v>
      </c>
      <c r="CKD7" t="s">
        <v>289</v>
      </c>
      <c r="CKE7" t="s">
        <v>289</v>
      </c>
      <c r="CKF7" t="s">
        <v>289</v>
      </c>
      <c r="CKG7" t="s">
        <v>289</v>
      </c>
      <c r="CKH7" t="s">
        <v>289</v>
      </c>
      <c r="CKI7" t="s">
        <v>289</v>
      </c>
      <c r="CKJ7" t="s">
        <v>289</v>
      </c>
      <c r="CKK7" t="s">
        <v>289</v>
      </c>
      <c r="CKL7" t="s">
        <v>289</v>
      </c>
      <c r="CKM7" t="s">
        <v>289</v>
      </c>
      <c r="CKN7" t="s">
        <v>289</v>
      </c>
      <c r="CKO7" t="s">
        <v>289</v>
      </c>
      <c r="CKP7" t="s">
        <v>289</v>
      </c>
      <c r="CKQ7" t="s">
        <v>289</v>
      </c>
      <c r="CKR7" t="s">
        <v>289</v>
      </c>
      <c r="CKS7" t="s">
        <v>289</v>
      </c>
      <c r="CKT7" t="s">
        <v>289</v>
      </c>
      <c r="CKU7" t="s">
        <v>289</v>
      </c>
      <c r="CKV7" t="s">
        <v>289</v>
      </c>
      <c r="CKW7" t="s">
        <v>289</v>
      </c>
      <c r="CKX7" t="s">
        <v>289</v>
      </c>
      <c r="CKY7" t="s">
        <v>289</v>
      </c>
      <c r="CKZ7" t="s">
        <v>289</v>
      </c>
      <c r="CLA7" t="s">
        <v>289</v>
      </c>
      <c r="CLB7" t="s">
        <v>289</v>
      </c>
      <c r="CLC7" t="s">
        <v>289</v>
      </c>
      <c r="CLD7" t="s">
        <v>289</v>
      </c>
      <c r="CLE7" t="s">
        <v>289</v>
      </c>
      <c r="CLF7" t="s">
        <v>289</v>
      </c>
      <c r="CLG7" t="s">
        <v>289</v>
      </c>
      <c r="CLH7" t="s">
        <v>289</v>
      </c>
      <c r="CLI7" t="s">
        <v>289</v>
      </c>
      <c r="CLJ7" t="s">
        <v>289</v>
      </c>
      <c r="CLK7" t="s">
        <v>289</v>
      </c>
      <c r="CLL7" t="s">
        <v>289</v>
      </c>
      <c r="CLM7" t="s">
        <v>289</v>
      </c>
      <c r="CLN7" t="s">
        <v>289</v>
      </c>
      <c r="CLO7" t="s">
        <v>289</v>
      </c>
      <c r="CLP7" t="s">
        <v>289</v>
      </c>
      <c r="CLQ7" t="s">
        <v>289</v>
      </c>
      <c r="CLR7" t="s">
        <v>289</v>
      </c>
      <c r="CLS7" t="s">
        <v>289</v>
      </c>
      <c r="CLT7" t="s">
        <v>289</v>
      </c>
      <c r="CLU7" t="s">
        <v>289</v>
      </c>
      <c r="CLV7" t="s">
        <v>289</v>
      </c>
      <c r="CLW7" t="s">
        <v>289</v>
      </c>
      <c r="CLX7" t="s">
        <v>289</v>
      </c>
      <c r="CLY7" t="s">
        <v>289</v>
      </c>
      <c r="CLZ7" t="s">
        <v>289</v>
      </c>
      <c r="CMA7" t="s">
        <v>289</v>
      </c>
      <c r="CMB7" t="s">
        <v>289</v>
      </c>
      <c r="CMC7" t="s">
        <v>289</v>
      </c>
      <c r="CMD7" t="s">
        <v>289</v>
      </c>
      <c r="CME7" t="s">
        <v>289</v>
      </c>
      <c r="CMF7" t="s">
        <v>289</v>
      </c>
      <c r="CMG7" t="s">
        <v>289</v>
      </c>
      <c r="CMH7" t="s">
        <v>289</v>
      </c>
      <c r="CMI7" t="s">
        <v>289</v>
      </c>
      <c r="CMJ7" t="s">
        <v>289</v>
      </c>
      <c r="CMK7" t="s">
        <v>289</v>
      </c>
      <c r="CML7" t="s">
        <v>289</v>
      </c>
      <c r="CMM7" t="s">
        <v>289</v>
      </c>
      <c r="CMN7" t="s">
        <v>289</v>
      </c>
      <c r="CMO7" t="s">
        <v>289</v>
      </c>
      <c r="CMP7" t="s">
        <v>289</v>
      </c>
      <c r="CMQ7" t="s">
        <v>289</v>
      </c>
      <c r="CMR7" t="s">
        <v>289</v>
      </c>
      <c r="CMS7" t="s">
        <v>289</v>
      </c>
      <c r="CMT7" t="s">
        <v>289</v>
      </c>
      <c r="CMU7" t="s">
        <v>289</v>
      </c>
      <c r="CMV7" t="s">
        <v>289</v>
      </c>
      <c r="CMW7" t="s">
        <v>289</v>
      </c>
      <c r="CMX7" t="s">
        <v>289</v>
      </c>
      <c r="CMY7" t="s">
        <v>289</v>
      </c>
      <c r="CMZ7" t="s">
        <v>289</v>
      </c>
      <c r="CNA7" t="s">
        <v>289</v>
      </c>
      <c r="CNB7" t="s">
        <v>289</v>
      </c>
      <c r="CNC7" t="s">
        <v>289</v>
      </c>
      <c r="CND7" t="s">
        <v>289</v>
      </c>
      <c r="CNE7" t="s">
        <v>289</v>
      </c>
      <c r="CNF7" t="s">
        <v>289</v>
      </c>
      <c r="CNG7" t="s">
        <v>289</v>
      </c>
      <c r="CNH7" t="s">
        <v>289</v>
      </c>
      <c r="CNI7" t="s">
        <v>289</v>
      </c>
      <c r="CNJ7" t="s">
        <v>289</v>
      </c>
      <c r="CNK7" t="s">
        <v>289</v>
      </c>
      <c r="CNL7" t="s">
        <v>289</v>
      </c>
      <c r="CNM7">
        <v>9311</v>
      </c>
      <c r="CNN7">
        <v>10691</v>
      </c>
      <c r="CNO7">
        <v>6640</v>
      </c>
      <c r="CNP7">
        <v>7096</v>
      </c>
      <c r="CNQ7">
        <v>10560</v>
      </c>
      <c r="CNR7">
        <v>10047</v>
      </c>
      <c r="CNS7">
        <v>4096</v>
      </c>
      <c r="CNT7">
        <v>5631</v>
      </c>
      <c r="CNU7">
        <v>4974</v>
      </c>
      <c r="CNV7">
        <v>4005</v>
      </c>
      <c r="CNW7">
        <v>2779</v>
      </c>
      <c r="CNX7">
        <v>696</v>
      </c>
      <c r="CNY7">
        <v>3055</v>
      </c>
      <c r="CNZ7">
        <v>5744</v>
      </c>
      <c r="COA7">
        <v>4915</v>
      </c>
      <c r="COB7">
        <v>3463</v>
      </c>
      <c r="COC7">
        <v>13683</v>
      </c>
      <c r="COD7">
        <v>15686</v>
      </c>
      <c r="COE7" t="s">
        <v>289</v>
      </c>
      <c r="COF7">
        <v>5221.9301999999998</v>
      </c>
      <c r="COG7">
        <v>7032.6115</v>
      </c>
      <c r="COH7">
        <v>2549.3099000000002</v>
      </c>
      <c r="COI7">
        <v>3554.8451</v>
      </c>
      <c r="COJ7">
        <v>6507.3675000000003</v>
      </c>
      <c r="COK7">
        <v>6761.0847000000003</v>
      </c>
      <c r="COL7">
        <v>1000.7299</v>
      </c>
      <c r="COM7">
        <v>2108.1891999999998</v>
      </c>
      <c r="CON7">
        <v>-123.7941</v>
      </c>
      <c r="COO7">
        <v>-2465.1988000000001</v>
      </c>
      <c r="COP7">
        <v>-3102.2049000000002</v>
      </c>
      <c r="COQ7">
        <v>-4899.6881999999996</v>
      </c>
      <c r="COR7">
        <v>-2534.2111</v>
      </c>
      <c r="COS7">
        <v>-1033.1896999999999</v>
      </c>
      <c r="COT7">
        <v>-2623.1480000000001</v>
      </c>
      <c r="COU7">
        <v>-3118.6959999999999</v>
      </c>
      <c r="COV7">
        <v>7846.1688999999997</v>
      </c>
      <c r="COW7">
        <v>9288.1677999999993</v>
      </c>
      <c r="COX7" t="s">
        <v>289</v>
      </c>
      <c r="COY7">
        <v>836</v>
      </c>
      <c r="COZ7">
        <v>827</v>
      </c>
      <c r="CPA7">
        <v>-229</v>
      </c>
      <c r="CPB7">
        <v>333</v>
      </c>
      <c r="CPC7">
        <v>-563</v>
      </c>
      <c r="CPD7">
        <v>-1072</v>
      </c>
      <c r="CPE7">
        <v>-6755</v>
      </c>
      <c r="CPF7">
        <v>-4721</v>
      </c>
      <c r="CPG7">
        <v>-9605</v>
      </c>
      <c r="CPH7">
        <v>-9314</v>
      </c>
      <c r="CPI7">
        <v>-10308</v>
      </c>
      <c r="CPJ7">
        <v>-13602</v>
      </c>
      <c r="CPK7">
        <v>-12008</v>
      </c>
      <c r="CPL7">
        <v>-11228</v>
      </c>
      <c r="CPM7">
        <v>-10041</v>
      </c>
      <c r="CPN7">
        <v>-11084</v>
      </c>
      <c r="CPO7">
        <v>-410</v>
      </c>
      <c r="CPP7">
        <v>-4546</v>
      </c>
      <c r="CPQ7" t="s">
        <v>289</v>
      </c>
      <c r="CPR7" t="s">
        <v>289</v>
      </c>
      <c r="CPS7" t="s">
        <v>289</v>
      </c>
      <c r="CPT7" t="s">
        <v>289</v>
      </c>
      <c r="CPU7" t="s">
        <v>289</v>
      </c>
      <c r="CPV7" t="s">
        <v>289</v>
      </c>
      <c r="CPW7" t="s">
        <v>289</v>
      </c>
      <c r="CPX7" t="s">
        <v>289</v>
      </c>
      <c r="CPY7" t="s">
        <v>289</v>
      </c>
      <c r="CPZ7" t="s">
        <v>289</v>
      </c>
      <c r="CQA7" t="s">
        <v>289</v>
      </c>
      <c r="CQB7" t="s">
        <v>289</v>
      </c>
      <c r="CQC7" t="s">
        <v>289</v>
      </c>
      <c r="CQD7" t="s">
        <v>289</v>
      </c>
      <c r="CQE7" t="s">
        <v>289</v>
      </c>
      <c r="CQF7" t="s">
        <v>289</v>
      </c>
      <c r="CQG7" t="s">
        <v>289</v>
      </c>
      <c r="CQH7" t="s">
        <v>289</v>
      </c>
      <c r="CQI7" t="s">
        <v>289</v>
      </c>
      <c r="CQJ7" t="s">
        <v>289</v>
      </c>
      <c r="CQK7" t="s">
        <v>289</v>
      </c>
      <c r="CQL7" t="s">
        <v>289</v>
      </c>
      <c r="CQM7" t="s">
        <v>289</v>
      </c>
      <c r="CQN7" t="s">
        <v>289</v>
      </c>
      <c r="CQO7" t="s">
        <v>289</v>
      </c>
      <c r="CQP7" t="s">
        <v>289</v>
      </c>
      <c r="CQQ7" t="s">
        <v>289</v>
      </c>
      <c r="CQR7" t="s">
        <v>289</v>
      </c>
      <c r="CQS7" t="s">
        <v>289</v>
      </c>
      <c r="CQT7" t="s">
        <v>289</v>
      </c>
      <c r="CQU7" t="s">
        <v>289</v>
      </c>
      <c r="CQV7" t="s">
        <v>289</v>
      </c>
      <c r="CQW7" t="s">
        <v>289</v>
      </c>
      <c r="CQX7" t="s">
        <v>289</v>
      </c>
      <c r="CQY7" t="s">
        <v>289</v>
      </c>
      <c r="CQZ7" t="s">
        <v>289</v>
      </c>
      <c r="CRA7" t="s">
        <v>289</v>
      </c>
      <c r="CRB7" t="s">
        <v>289</v>
      </c>
      <c r="CRC7" t="s">
        <v>289</v>
      </c>
      <c r="CRD7" t="s">
        <v>289</v>
      </c>
      <c r="CRE7" t="s">
        <v>289</v>
      </c>
      <c r="CRF7" t="s">
        <v>289</v>
      </c>
      <c r="CRG7" t="s">
        <v>289</v>
      </c>
      <c r="CRH7" t="s">
        <v>289</v>
      </c>
      <c r="CRI7" t="s">
        <v>289</v>
      </c>
      <c r="CRJ7" t="s">
        <v>289</v>
      </c>
      <c r="CRK7" t="s">
        <v>289</v>
      </c>
      <c r="CRL7" t="s">
        <v>289</v>
      </c>
      <c r="CRM7" t="s">
        <v>289</v>
      </c>
      <c r="CRN7" t="s">
        <v>289</v>
      </c>
      <c r="CRO7" t="s">
        <v>289</v>
      </c>
      <c r="CRP7" t="s">
        <v>289</v>
      </c>
      <c r="CRQ7" t="s">
        <v>289</v>
      </c>
      <c r="CRR7" t="s">
        <v>289</v>
      </c>
      <c r="CRS7" t="s">
        <v>289</v>
      </c>
      <c r="CRT7" t="s">
        <v>289</v>
      </c>
      <c r="CRU7" t="s">
        <v>289</v>
      </c>
      <c r="CRV7" t="s">
        <v>289</v>
      </c>
      <c r="CRW7" t="s">
        <v>289</v>
      </c>
      <c r="CRX7" t="s">
        <v>289</v>
      </c>
      <c r="CRY7" t="s">
        <v>289</v>
      </c>
      <c r="CRZ7" t="s">
        <v>289</v>
      </c>
      <c r="CSA7" t="s">
        <v>289</v>
      </c>
      <c r="CSB7" t="s">
        <v>289</v>
      </c>
      <c r="CSC7" t="s">
        <v>289</v>
      </c>
      <c r="CSD7" t="s">
        <v>289</v>
      </c>
      <c r="CSE7" t="s">
        <v>289</v>
      </c>
      <c r="CSF7" t="s">
        <v>289</v>
      </c>
      <c r="CSG7" t="s">
        <v>289</v>
      </c>
      <c r="CSH7" t="s">
        <v>289</v>
      </c>
      <c r="CSI7" t="s">
        <v>289</v>
      </c>
      <c r="CSJ7" t="s">
        <v>289</v>
      </c>
      <c r="CSK7" t="s">
        <v>289</v>
      </c>
      <c r="CSL7" t="s">
        <v>289</v>
      </c>
      <c r="CSM7" t="s">
        <v>289</v>
      </c>
      <c r="CSN7" t="s">
        <v>289</v>
      </c>
      <c r="CSO7" t="s">
        <v>289</v>
      </c>
      <c r="CSP7" t="s">
        <v>289</v>
      </c>
      <c r="CSQ7" t="s">
        <v>289</v>
      </c>
      <c r="CSR7" t="s">
        <v>289</v>
      </c>
      <c r="CSS7" t="s">
        <v>289</v>
      </c>
      <c r="CST7" t="s">
        <v>289</v>
      </c>
      <c r="CSU7" t="s">
        <v>289</v>
      </c>
      <c r="CSV7" t="s">
        <v>289</v>
      </c>
      <c r="CSW7" t="s">
        <v>289</v>
      </c>
      <c r="CSX7" t="s">
        <v>289</v>
      </c>
      <c r="CSY7" t="s">
        <v>289</v>
      </c>
      <c r="CSZ7" t="s">
        <v>289</v>
      </c>
      <c r="CTA7" t="s">
        <v>289</v>
      </c>
      <c r="CTB7" t="s">
        <v>289</v>
      </c>
      <c r="CTC7" t="s">
        <v>289</v>
      </c>
      <c r="CTD7" t="s">
        <v>289</v>
      </c>
      <c r="CTE7" t="s">
        <v>289</v>
      </c>
      <c r="CTF7" t="s">
        <v>289</v>
      </c>
      <c r="CTG7" t="s">
        <v>289</v>
      </c>
      <c r="CTH7" t="s">
        <v>289</v>
      </c>
      <c r="CTI7" t="s">
        <v>289</v>
      </c>
      <c r="CTJ7" t="s">
        <v>289</v>
      </c>
      <c r="CTK7" t="s">
        <v>289</v>
      </c>
      <c r="CTL7" t="s">
        <v>289</v>
      </c>
      <c r="CTM7">
        <v>-312</v>
      </c>
      <c r="CTN7">
        <v>-224</v>
      </c>
      <c r="CTO7">
        <v>-223</v>
      </c>
      <c r="CTP7">
        <v>-82</v>
      </c>
      <c r="CTQ7">
        <v>-102</v>
      </c>
      <c r="CTR7">
        <v>-122</v>
      </c>
      <c r="CTS7">
        <v>-133</v>
      </c>
      <c r="CTT7" t="s">
        <v>289</v>
      </c>
      <c r="CTU7" t="s">
        <v>289</v>
      </c>
      <c r="CTV7" t="s">
        <v>289</v>
      </c>
      <c r="CTW7" t="s">
        <v>289</v>
      </c>
      <c r="CTX7" t="s">
        <v>289</v>
      </c>
      <c r="CTY7" t="s">
        <v>289</v>
      </c>
      <c r="CTZ7" t="s">
        <v>289</v>
      </c>
      <c r="CUA7" t="s">
        <v>289</v>
      </c>
      <c r="CUB7" t="s">
        <v>289</v>
      </c>
      <c r="CUC7" t="s">
        <v>289</v>
      </c>
      <c r="CUD7" t="s">
        <v>289</v>
      </c>
      <c r="CUE7">
        <v>-817</v>
      </c>
      <c r="CUF7">
        <v>-448</v>
      </c>
      <c r="CUG7">
        <v>-349</v>
      </c>
      <c r="CUH7">
        <v>-1318</v>
      </c>
      <c r="CUI7">
        <v>-2701</v>
      </c>
      <c r="CUJ7">
        <v>-2462</v>
      </c>
      <c r="CUK7">
        <v>-2787</v>
      </c>
      <c r="CUL7">
        <v>-4252</v>
      </c>
      <c r="CUM7">
        <v>-3323</v>
      </c>
      <c r="CUN7">
        <v>-2417</v>
      </c>
      <c r="CUO7">
        <v>-2301</v>
      </c>
      <c r="CUP7">
        <v>-1972</v>
      </c>
      <c r="CUQ7">
        <v>-3389</v>
      </c>
      <c r="CUR7">
        <v>-1605</v>
      </c>
      <c r="CUS7">
        <v>-3217</v>
      </c>
      <c r="CUT7" t="s">
        <v>289</v>
      </c>
      <c r="CUU7">
        <v>7433.9440000000004</v>
      </c>
      <c r="CUV7">
        <v>12774.429</v>
      </c>
      <c r="CUW7">
        <v>762.5</v>
      </c>
      <c r="CUX7">
        <v>7387.8</v>
      </c>
      <c r="CUY7">
        <v>101353.647</v>
      </c>
      <c r="CUZ7">
        <v>-7507.6360000000004</v>
      </c>
      <c r="CVA7">
        <v>4712.6959999999999</v>
      </c>
      <c r="CVB7">
        <v>10557.388999999999</v>
      </c>
      <c r="CVC7">
        <v>16098</v>
      </c>
      <c r="CVD7">
        <v>4705.5450000000001</v>
      </c>
      <c r="CVE7">
        <v>97830.75</v>
      </c>
      <c r="CVF7">
        <v>-5723.2139999999999</v>
      </c>
      <c r="CVG7">
        <v>13049.789000000001</v>
      </c>
      <c r="CVH7">
        <v>19381.75</v>
      </c>
      <c r="CVI7">
        <v>25887.667000000001</v>
      </c>
      <c r="CVJ7">
        <v>13049.789000000001</v>
      </c>
      <c r="CVK7">
        <v>111236.273</v>
      </c>
      <c r="CVL7">
        <v>-6646.5450000000001</v>
      </c>
      <c r="CVM7">
        <v>13114.296</v>
      </c>
      <c r="CVN7">
        <v>20668.3</v>
      </c>
      <c r="CVO7">
        <v>32128.75</v>
      </c>
      <c r="CVP7">
        <v>13157.923000000001</v>
      </c>
      <c r="CVQ7">
        <v>132967.429</v>
      </c>
      <c r="CVR7">
        <v>-8364</v>
      </c>
      <c r="CVS7">
        <v>13597.429</v>
      </c>
      <c r="CVT7">
        <v>21306.95</v>
      </c>
      <c r="CVU7">
        <v>41440.199999999997</v>
      </c>
      <c r="CVV7">
        <v>13597.429</v>
      </c>
      <c r="CVW7">
        <v>139471.571</v>
      </c>
      <c r="CVX7">
        <v>-8461.357</v>
      </c>
      <c r="CVY7">
        <v>14182.217000000001</v>
      </c>
      <c r="CVZ7">
        <v>21919.332999999999</v>
      </c>
      <c r="CWA7">
        <v>40470.5</v>
      </c>
      <c r="CWB7">
        <v>14182.217000000001</v>
      </c>
      <c r="CWC7">
        <v>145688.435</v>
      </c>
      <c r="CWD7">
        <v>-8323.7999999999993</v>
      </c>
      <c r="CWE7">
        <v>14958.125</v>
      </c>
      <c r="CWF7">
        <v>23927.832999999999</v>
      </c>
      <c r="CWG7">
        <v>43739.667000000001</v>
      </c>
      <c r="CWH7">
        <v>14958.125</v>
      </c>
      <c r="CWI7">
        <v>149019.9</v>
      </c>
      <c r="CWJ7">
        <v>-9983.4</v>
      </c>
      <c r="CWK7">
        <v>9311</v>
      </c>
      <c r="CWL7">
        <v>10691</v>
      </c>
      <c r="CWM7">
        <v>9980</v>
      </c>
      <c r="CWN7">
        <v>11794</v>
      </c>
      <c r="CWO7">
        <v>10872</v>
      </c>
      <c r="CWP7">
        <v>10271</v>
      </c>
      <c r="CWQ7">
        <v>4319</v>
      </c>
      <c r="CWR7">
        <v>5713</v>
      </c>
      <c r="CWS7">
        <v>5076</v>
      </c>
      <c r="CWT7">
        <v>4127</v>
      </c>
      <c r="CWU7">
        <v>2912</v>
      </c>
      <c r="CWV7">
        <v>960</v>
      </c>
      <c r="CWW7">
        <v>3173</v>
      </c>
      <c r="CWX7">
        <v>5909</v>
      </c>
      <c r="CWY7">
        <v>5051</v>
      </c>
      <c r="CWZ7">
        <v>3662</v>
      </c>
      <c r="CXA7" t="s">
        <v>289</v>
      </c>
      <c r="CXB7">
        <v>15903</v>
      </c>
      <c r="CXC7" t="s">
        <v>289</v>
      </c>
      <c r="CXD7" t="s">
        <v>289</v>
      </c>
      <c r="CXE7" t="s">
        <v>289</v>
      </c>
      <c r="CXF7" t="s">
        <v>289</v>
      </c>
      <c r="CXG7" t="s">
        <v>289</v>
      </c>
      <c r="CXH7" t="s">
        <v>289</v>
      </c>
      <c r="CXI7" t="s">
        <v>289</v>
      </c>
      <c r="CXJ7" t="s">
        <v>289</v>
      </c>
      <c r="CXK7" t="s">
        <v>289</v>
      </c>
      <c r="CXL7" t="s">
        <v>289</v>
      </c>
      <c r="CXM7" t="s">
        <v>289</v>
      </c>
      <c r="CXN7" t="s">
        <v>289</v>
      </c>
      <c r="CXO7" t="s">
        <v>289</v>
      </c>
      <c r="CXP7" t="s">
        <v>289</v>
      </c>
      <c r="CXQ7" t="s">
        <v>289</v>
      </c>
      <c r="CXR7" t="s">
        <v>289</v>
      </c>
      <c r="CXS7" t="s">
        <v>289</v>
      </c>
      <c r="CXT7" t="s">
        <v>289</v>
      </c>
      <c r="CXU7" t="s">
        <v>289</v>
      </c>
      <c r="CXV7" t="s">
        <v>289</v>
      </c>
      <c r="CXW7" t="s">
        <v>289</v>
      </c>
      <c r="CXX7" t="s">
        <v>289</v>
      </c>
      <c r="CXY7" t="s">
        <v>289</v>
      </c>
      <c r="CXZ7" t="s">
        <v>289</v>
      </c>
      <c r="CYA7" t="s">
        <v>289</v>
      </c>
      <c r="CYB7">
        <v>441</v>
      </c>
      <c r="CYC7">
        <v>1194</v>
      </c>
      <c r="CYD7">
        <v>900</v>
      </c>
      <c r="CYE7">
        <v>1119</v>
      </c>
      <c r="CYF7">
        <v>1159</v>
      </c>
      <c r="CYG7">
        <v>41</v>
      </c>
      <c r="CYH7">
        <v>-25</v>
      </c>
      <c r="CYI7">
        <v>738</v>
      </c>
      <c r="CYJ7">
        <v>1414</v>
      </c>
      <c r="CYK7">
        <v>-328</v>
      </c>
      <c r="CYL7">
        <v>429</v>
      </c>
      <c r="CYM7">
        <v>-1526</v>
      </c>
      <c r="CYN7">
        <v>1799</v>
      </c>
      <c r="CYO7" t="s">
        <v>289</v>
      </c>
      <c r="CYP7">
        <v>-865</v>
      </c>
      <c r="CYQ7">
        <v>187</v>
      </c>
      <c r="CYR7">
        <v>-265</v>
      </c>
      <c r="CYS7">
        <v>-700</v>
      </c>
      <c r="CYT7">
        <v>37</v>
      </c>
      <c r="CYU7">
        <v>855</v>
      </c>
      <c r="CYV7">
        <v>-1170</v>
      </c>
      <c r="CYW7">
        <v>-1715</v>
      </c>
      <c r="CYX7">
        <v>-108</v>
      </c>
      <c r="CYY7">
        <v>-195</v>
      </c>
      <c r="CYZ7">
        <v>-971</v>
      </c>
      <c r="CZA7">
        <v>298</v>
      </c>
      <c r="CZB7">
        <v>-749</v>
      </c>
      <c r="CZC7">
        <v>-1293</v>
      </c>
      <c r="CZD7">
        <v>-403</v>
      </c>
      <c r="CZE7">
        <v>-1560</v>
      </c>
      <c r="CZF7">
        <v>370</v>
      </c>
      <c r="CZG7">
        <v>-563</v>
      </c>
      <c r="CZH7" t="s">
        <v>289</v>
      </c>
      <c r="CZI7" t="s">
        <v>289</v>
      </c>
      <c r="CZJ7" t="s">
        <v>289</v>
      </c>
      <c r="CZK7" t="s">
        <v>289</v>
      </c>
      <c r="CZL7" t="s">
        <v>289</v>
      </c>
      <c r="CZM7" t="s">
        <v>289</v>
      </c>
      <c r="CZN7" t="s">
        <v>289</v>
      </c>
      <c r="CZO7" t="s">
        <v>289</v>
      </c>
      <c r="CZP7" t="s">
        <v>289</v>
      </c>
      <c r="CZQ7" t="s">
        <v>289</v>
      </c>
      <c r="CZR7" t="s">
        <v>289</v>
      </c>
      <c r="CZS7" t="s">
        <v>289</v>
      </c>
      <c r="CZT7" t="s">
        <v>289</v>
      </c>
      <c r="CZU7" t="s">
        <v>289</v>
      </c>
      <c r="CZV7" t="s">
        <v>289</v>
      </c>
      <c r="CZW7" t="s">
        <v>289</v>
      </c>
      <c r="CZX7" t="s">
        <v>289</v>
      </c>
      <c r="CZY7" t="s">
        <v>289</v>
      </c>
      <c r="CZZ7" t="s">
        <v>289</v>
      </c>
      <c r="DAA7" t="s">
        <v>289</v>
      </c>
      <c r="DAB7" t="s">
        <v>289</v>
      </c>
      <c r="DAC7" t="s">
        <v>289</v>
      </c>
      <c r="DAD7" t="s">
        <v>289</v>
      </c>
      <c r="DAE7" t="s">
        <v>289</v>
      </c>
      <c r="DAF7" t="s">
        <v>289</v>
      </c>
      <c r="DAG7" t="s">
        <v>289</v>
      </c>
      <c r="DAH7" t="s">
        <v>289</v>
      </c>
      <c r="DAI7" t="s">
        <v>289</v>
      </c>
      <c r="DAJ7" t="s">
        <v>289</v>
      </c>
      <c r="DAK7" t="s">
        <v>289</v>
      </c>
      <c r="DAL7" t="s">
        <v>289</v>
      </c>
      <c r="DAM7" t="s">
        <v>289</v>
      </c>
      <c r="DAN7" t="s">
        <v>289</v>
      </c>
      <c r="DAO7" t="s">
        <v>289</v>
      </c>
      <c r="DAP7" t="s">
        <v>289</v>
      </c>
      <c r="DAQ7" t="s">
        <v>289</v>
      </c>
      <c r="DAR7" t="s">
        <v>289</v>
      </c>
      <c r="DAS7" t="s">
        <v>289</v>
      </c>
      <c r="DAT7" t="s">
        <v>289</v>
      </c>
      <c r="DAU7" t="s">
        <v>289</v>
      </c>
      <c r="DAV7" t="s">
        <v>289</v>
      </c>
      <c r="DAW7" t="s">
        <v>289</v>
      </c>
      <c r="DAX7" t="s">
        <v>289</v>
      </c>
      <c r="DAY7" t="s">
        <v>289</v>
      </c>
      <c r="DAZ7" t="s">
        <v>289</v>
      </c>
      <c r="DBA7" t="s">
        <v>289</v>
      </c>
      <c r="DBB7" t="s">
        <v>289</v>
      </c>
      <c r="DBC7" t="s">
        <v>289</v>
      </c>
      <c r="DBD7" t="s">
        <v>289</v>
      </c>
      <c r="DBE7" t="s">
        <v>289</v>
      </c>
      <c r="DBF7" t="s">
        <v>289</v>
      </c>
      <c r="DBG7" t="s">
        <v>289</v>
      </c>
      <c r="DBH7" t="s">
        <v>289</v>
      </c>
      <c r="DBI7" t="s">
        <v>289</v>
      </c>
      <c r="DBJ7" t="s">
        <v>289</v>
      </c>
      <c r="DBK7" t="s">
        <v>289</v>
      </c>
      <c r="DBL7" t="s">
        <v>289</v>
      </c>
      <c r="DBM7" t="s">
        <v>289</v>
      </c>
      <c r="DBN7">
        <v>218</v>
      </c>
      <c r="DBO7">
        <v>-239</v>
      </c>
      <c r="DBP7">
        <v>-566</v>
      </c>
      <c r="DBQ7">
        <v>10</v>
      </c>
      <c r="DBR7">
        <v>859</v>
      </c>
      <c r="DBS7">
        <v>506</v>
      </c>
      <c r="DBT7">
        <v>-427</v>
      </c>
      <c r="DBU7">
        <v>-800</v>
      </c>
      <c r="DBV7">
        <v>744</v>
      </c>
      <c r="DBW7">
        <v>22</v>
      </c>
      <c r="DBX7">
        <v>379</v>
      </c>
      <c r="DBY7">
        <v>-566</v>
      </c>
      <c r="DBZ7">
        <v>-93</v>
      </c>
      <c r="DCA7">
        <v>45</v>
      </c>
      <c r="DCB7">
        <v>112</v>
      </c>
      <c r="DCC7">
        <v>14</v>
      </c>
      <c r="DCD7">
        <v>160</v>
      </c>
      <c r="DCE7">
        <v>119</v>
      </c>
      <c r="DCF7" t="s">
        <v>289</v>
      </c>
      <c r="DCG7">
        <v>869</v>
      </c>
      <c r="DCH7">
        <v>975</v>
      </c>
      <c r="DCI7">
        <v>782</v>
      </c>
      <c r="DCJ7">
        <v>894</v>
      </c>
      <c r="DCK7">
        <v>-485</v>
      </c>
      <c r="DCL7" t="s">
        <v>289</v>
      </c>
      <c r="DCM7" t="s">
        <v>289</v>
      </c>
      <c r="DCN7" t="s">
        <v>289</v>
      </c>
      <c r="DCO7" t="s">
        <v>289</v>
      </c>
      <c r="DCP7" t="s">
        <v>289</v>
      </c>
      <c r="DCQ7" t="s">
        <v>289</v>
      </c>
      <c r="DCR7" t="s">
        <v>289</v>
      </c>
      <c r="DCS7" t="s">
        <v>289</v>
      </c>
      <c r="DCT7" t="s">
        <v>289</v>
      </c>
      <c r="DCU7" t="s">
        <v>289</v>
      </c>
      <c r="DCV7" t="s">
        <v>289</v>
      </c>
      <c r="DCW7" t="s">
        <v>289</v>
      </c>
      <c r="DCX7" t="s">
        <v>289</v>
      </c>
      <c r="DCY7" t="s">
        <v>289</v>
      </c>
      <c r="DCZ7" t="s">
        <v>289</v>
      </c>
      <c r="DDA7" t="s">
        <v>289</v>
      </c>
      <c r="DDB7" t="s">
        <v>289</v>
      </c>
      <c r="DDC7" t="s">
        <v>289</v>
      </c>
      <c r="DDD7" t="s">
        <v>289</v>
      </c>
      <c r="DDE7" t="s">
        <v>289</v>
      </c>
      <c r="DDF7" t="s">
        <v>289</v>
      </c>
      <c r="DDG7" t="s">
        <v>289</v>
      </c>
      <c r="DDH7" t="s">
        <v>289</v>
      </c>
      <c r="DDI7" t="s">
        <v>289</v>
      </c>
      <c r="DDJ7" t="s">
        <v>289</v>
      </c>
      <c r="DDK7" t="s">
        <v>289</v>
      </c>
      <c r="DDL7" t="s">
        <v>289</v>
      </c>
      <c r="DDM7" t="s">
        <v>289</v>
      </c>
      <c r="DDN7" t="s">
        <v>289</v>
      </c>
      <c r="DDO7" t="s">
        <v>289</v>
      </c>
      <c r="DDP7" t="s">
        <v>289</v>
      </c>
      <c r="DDQ7" t="s">
        <v>289</v>
      </c>
      <c r="DDR7" t="s">
        <v>289</v>
      </c>
      <c r="DDS7" t="s">
        <v>289</v>
      </c>
      <c r="DDT7" t="s">
        <v>289</v>
      </c>
      <c r="DDU7" t="s">
        <v>289</v>
      </c>
      <c r="DDV7" t="s">
        <v>289</v>
      </c>
      <c r="DDW7" t="s">
        <v>289</v>
      </c>
      <c r="DDX7" t="s">
        <v>289</v>
      </c>
      <c r="DDY7" t="s">
        <v>289</v>
      </c>
      <c r="DDZ7" t="s">
        <v>289</v>
      </c>
      <c r="DEA7" t="s">
        <v>289</v>
      </c>
      <c r="DEB7" t="s">
        <v>289</v>
      </c>
      <c r="DEC7" t="s">
        <v>289</v>
      </c>
      <c r="DED7" t="s">
        <v>289</v>
      </c>
      <c r="DEE7" t="s">
        <v>289</v>
      </c>
      <c r="DEF7" t="s">
        <v>289</v>
      </c>
      <c r="DEG7" t="s">
        <v>289</v>
      </c>
      <c r="DEH7" t="s">
        <v>289</v>
      </c>
      <c r="DEI7" t="s">
        <v>289</v>
      </c>
      <c r="DEJ7" t="s">
        <v>289</v>
      </c>
      <c r="DEK7" t="s">
        <v>289</v>
      </c>
      <c r="DEL7" t="s">
        <v>289</v>
      </c>
      <c r="DEM7" t="s">
        <v>289</v>
      </c>
      <c r="DEN7" t="s">
        <v>289</v>
      </c>
      <c r="DEO7" t="s">
        <v>289</v>
      </c>
      <c r="DEP7" t="s">
        <v>289</v>
      </c>
      <c r="DEQ7" t="s">
        <v>289</v>
      </c>
      <c r="DER7" t="s">
        <v>289</v>
      </c>
      <c r="DES7" t="s">
        <v>289</v>
      </c>
      <c r="DET7" t="s">
        <v>289</v>
      </c>
      <c r="DEU7" t="s">
        <v>289</v>
      </c>
      <c r="DEV7" t="s">
        <v>289</v>
      </c>
      <c r="DEW7" t="s">
        <v>289</v>
      </c>
      <c r="DEX7" t="s">
        <v>289</v>
      </c>
      <c r="DEY7" t="s">
        <v>289</v>
      </c>
      <c r="DEZ7" t="s">
        <v>289</v>
      </c>
      <c r="DFA7" t="s">
        <v>289</v>
      </c>
      <c r="DFB7" t="s">
        <v>289</v>
      </c>
      <c r="DFC7" t="s">
        <v>289</v>
      </c>
      <c r="DFD7" t="s">
        <v>289</v>
      </c>
      <c r="DFE7" t="s">
        <v>289</v>
      </c>
      <c r="DFF7" t="s">
        <v>289</v>
      </c>
      <c r="DFG7" t="s">
        <v>289</v>
      </c>
      <c r="DFH7" t="s">
        <v>289</v>
      </c>
      <c r="DFI7" t="s">
        <v>289</v>
      </c>
      <c r="DFJ7" t="s">
        <v>289</v>
      </c>
      <c r="DFK7" t="s">
        <v>289</v>
      </c>
      <c r="DFL7" t="s">
        <v>289</v>
      </c>
      <c r="DFM7" t="s">
        <v>289</v>
      </c>
      <c r="DFN7" t="s">
        <v>289</v>
      </c>
      <c r="DFO7" t="s">
        <v>289</v>
      </c>
      <c r="DFP7" t="s">
        <v>289</v>
      </c>
      <c r="DFQ7" t="s">
        <v>289</v>
      </c>
      <c r="DFR7" t="s">
        <v>289</v>
      </c>
      <c r="DFS7" t="s">
        <v>289</v>
      </c>
      <c r="DFT7" t="s">
        <v>289</v>
      </c>
      <c r="DFU7" t="s">
        <v>289</v>
      </c>
      <c r="DFV7" t="s">
        <v>289</v>
      </c>
      <c r="DFW7" t="s">
        <v>289</v>
      </c>
      <c r="DFX7" t="s">
        <v>289</v>
      </c>
      <c r="DFY7" t="s">
        <v>289</v>
      </c>
      <c r="DFZ7" t="s">
        <v>289</v>
      </c>
      <c r="DGA7" t="s">
        <v>289</v>
      </c>
      <c r="DGB7" t="s">
        <v>289</v>
      </c>
      <c r="DGC7" t="s">
        <v>289</v>
      </c>
      <c r="DGD7" t="s">
        <v>289</v>
      </c>
      <c r="DGE7" t="s">
        <v>289</v>
      </c>
      <c r="DGF7" t="s">
        <v>289</v>
      </c>
      <c r="DGG7" t="s">
        <v>289</v>
      </c>
      <c r="DGH7" t="s">
        <v>289</v>
      </c>
      <c r="DGI7" t="s">
        <v>289</v>
      </c>
      <c r="DGJ7" t="s">
        <v>289</v>
      </c>
      <c r="DGK7" t="s">
        <v>289</v>
      </c>
      <c r="DGL7" t="s">
        <v>289</v>
      </c>
      <c r="DGM7" t="s">
        <v>289</v>
      </c>
      <c r="DGN7" t="s">
        <v>289</v>
      </c>
      <c r="DGO7" t="s">
        <v>289</v>
      </c>
      <c r="DGP7" t="s">
        <v>289</v>
      </c>
      <c r="DGQ7" t="s">
        <v>289</v>
      </c>
      <c r="DGR7" t="s">
        <v>289</v>
      </c>
      <c r="DGS7" t="s">
        <v>289</v>
      </c>
      <c r="DGT7" t="s">
        <v>289</v>
      </c>
      <c r="DGU7" t="s">
        <v>289</v>
      </c>
      <c r="DGV7" t="s">
        <v>289</v>
      </c>
      <c r="DGW7" t="s">
        <v>289</v>
      </c>
      <c r="DGX7" t="s">
        <v>289</v>
      </c>
      <c r="DGY7" t="s">
        <v>289</v>
      </c>
      <c r="DGZ7" t="s">
        <v>289</v>
      </c>
      <c r="DHA7" t="s">
        <v>289</v>
      </c>
      <c r="DHB7" t="s">
        <v>289</v>
      </c>
      <c r="DHC7" t="s">
        <v>289</v>
      </c>
      <c r="DHD7" t="s">
        <v>289</v>
      </c>
      <c r="DHE7" t="s">
        <v>289</v>
      </c>
      <c r="DHF7" t="s">
        <v>289</v>
      </c>
      <c r="DHG7" t="s">
        <v>289</v>
      </c>
      <c r="DHH7" t="s">
        <v>289</v>
      </c>
      <c r="DHI7" t="s">
        <v>289</v>
      </c>
      <c r="DHJ7" t="s">
        <v>289</v>
      </c>
      <c r="DHK7" t="s">
        <v>289</v>
      </c>
      <c r="DHL7" t="s">
        <v>289</v>
      </c>
      <c r="DHM7" t="s">
        <v>289</v>
      </c>
      <c r="DHN7" t="s">
        <v>289</v>
      </c>
      <c r="DHO7" t="s">
        <v>289</v>
      </c>
      <c r="DHP7" t="s">
        <v>289</v>
      </c>
      <c r="DHQ7" t="s">
        <v>289</v>
      </c>
      <c r="DHR7" t="s">
        <v>289</v>
      </c>
      <c r="DHS7" t="s">
        <v>289</v>
      </c>
      <c r="DHT7" t="s">
        <v>289</v>
      </c>
      <c r="DHU7" t="s">
        <v>289</v>
      </c>
      <c r="DHV7" t="s">
        <v>289</v>
      </c>
      <c r="DHW7" t="s">
        <v>289</v>
      </c>
      <c r="DHX7" t="s">
        <v>289</v>
      </c>
      <c r="DHY7" t="s">
        <v>289</v>
      </c>
      <c r="DHZ7" t="s">
        <v>289</v>
      </c>
      <c r="DIA7" t="s">
        <v>289</v>
      </c>
      <c r="DIB7" t="s">
        <v>289</v>
      </c>
      <c r="DIC7">
        <v>218</v>
      </c>
      <c r="DID7">
        <v>-239</v>
      </c>
      <c r="DIE7">
        <v>-566</v>
      </c>
      <c r="DIF7">
        <v>10</v>
      </c>
      <c r="DIG7">
        <v>859</v>
      </c>
      <c r="DIH7">
        <v>506</v>
      </c>
      <c r="DII7">
        <v>-427</v>
      </c>
      <c r="DIJ7">
        <v>-800</v>
      </c>
      <c r="DIK7">
        <v>744</v>
      </c>
      <c r="DIL7">
        <v>22</v>
      </c>
      <c r="DIM7">
        <v>379</v>
      </c>
      <c r="DIN7">
        <v>-566</v>
      </c>
      <c r="DIO7">
        <v>-93</v>
      </c>
      <c r="DIP7">
        <v>45</v>
      </c>
      <c r="DIQ7">
        <v>112</v>
      </c>
      <c r="DIR7">
        <v>14</v>
      </c>
      <c r="DIS7">
        <v>160</v>
      </c>
      <c r="DIT7">
        <v>119</v>
      </c>
      <c r="DIU7" t="s">
        <v>289</v>
      </c>
      <c r="DIV7">
        <v>-865</v>
      </c>
      <c r="DIW7">
        <v>187</v>
      </c>
      <c r="DIX7">
        <v>-265</v>
      </c>
      <c r="DIY7">
        <v>-700</v>
      </c>
      <c r="DIZ7">
        <v>37</v>
      </c>
      <c r="DJA7">
        <v>855</v>
      </c>
      <c r="DJB7">
        <v>-1170</v>
      </c>
      <c r="DJC7">
        <v>-1715</v>
      </c>
      <c r="DJD7">
        <v>-108</v>
      </c>
      <c r="DJE7">
        <v>-195</v>
      </c>
      <c r="DJF7">
        <v>-971</v>
      </c>
      <c r="DJG7">
        <v>298</v>
      </c>
      <c r="DJH7">
        <v>-749</v>
      </c>
      <c r="DJI7">
        <v>-1293</v>
      </c>
      <c r="DJJ7">
        <v>-403</v>
      </c>
      <c r="DJK7">
        <v>-1560</v>
      </c>
      <c r="DJL7">
        <v>370</v>
      </c>
      <c r="DJM7">
        <v>-563</v>
      </c>
      <c r="DJN7" t="s">
        <v>289</v>
      </c>
      <c r="DJO7" t="s">
        <v>289</v>
      </c>
      <c r="DJP7" t="s">
        <v>289</v>
      </c>
      <c r="DJQ7" t="s">
        <v>289</v>
      </c>
      <c r="DJR7" t="s">
        <v>289</v>
      </c>
      <c r="DJS7" t="s">
        <v>289</v>
      </c>
      <c r="DJT7">
        <v>129</v>
      </c>
      <c r="DJU7" t="s">
        <v>289</v>
      </c>
      <c r="DJV7">
        <v>0</v>
      </c>
      <c r="DJW7" t="s">
        <v>289</v>
      </c>
      <c r="DJX7" t="s">
        <v>289</v>
      </c>
      <c r="DJY7">
        <v>0</v>
      </c>
      <c r="DJZ7">
        <v>0</v>
      </c>
      <c r="DKA7">
        <v>0</v>
      </c>
      <c r="DKB7">
        <v>0</v>
      </c>
      <c r="DKC7">
        <v>0</v>
      </c>
      <c r="DKD7">
        <v>0</v>
      </c>
      <c r="DKE7" t="s">
        <v>289</v>
      </c>
      <c r="DKF7" t="s">
        <v>289</v>
      </c>
      <c r="DKG7" t="s">
        <v>289</v>
      </c>
      <c r="DKH7">
        <v>869</v>
      </c>
      <c r="DKI7">
        <v>975</v>
      </c>
      <c r="DKJ7">
        <v>782</v>
      </c>
      <c r="DKK7">
        <v>894</v>
      </c>
      <c r="DKL7">
        <v>-485</v>
      </c>
      <c r="DKM7">
        <v>129</v>
      </c>
      <c r="DKN7">
        <v>0</v>
      </c>
      <c r="DKO7">
        <v>0</v>
      </c>
      <c r="DKP7">
        <v>0</v>
      </c>
      <c r="DKQ7">
        <v>0</v>
      </c>
      <c r="DKR7">
        <v>0</v>
      </c>
      <c r="DKS7">
        <v>0</v>
      </c>
      <c r="DKT7">
        <v>0</v>
      </c>
      <c r="DKU7">
        <v>0</v>
      </c>
      <c r="DKV7">
        <v>0</v>
      </c>
      <c r="DKW7">
        <v>0</v>
      </c>
      <c r="DKX7">
        <v>0</v>
      </c>
      <c r="DKY7">
        <v>0</v>
      </c>
      <c r="DKZ7" t="s">
        <v>289</v>
      </c>
      <c r="DLA7" t="s">
        <v>289</v>
      </c>
      <c r="DLB7" t="s">
        <v>289</v>
      </c>
      <c r="DLC7" t="s">
        <v>289</v>
      </c>
      <c r="DLD7" t="s">
        <v>289</v>
      </c>
      <c r="DLE7" t="s">
        <v>289</v>
      </c>
      <c r="DLF7">
        <v>441</v>
      </c>
      <c r="DLG7">
        <v>1194</v>
      </c>
      <c r="DLH7">
        <v>900</v>
      </c>
      <c r="DLI7">
        <v>1119</v>
      </c>
      <c r="DLJ7">
        <v>1159</v>
      </c>
      <c r="DLK7">
        <v>41</v>
      </c>
      <c r="DLL7">
        <v>-25</v>
      </c>
      <c r="DLM7">
        <v>738</v>
      </c>
      <c r="DLN7">
        <v>1414</v>
      </c>
      <c r="DLO7">
        <v>-328</v>
      </c>
      <c r="DLP7">
        <v>429</v>
      </c>
      <c r="DLQ7">
        <v>-1526</v>
      </c>
      <c r="DLR7">
        <v>1799</v>
      </c>
      <c r="DLS7" t="s">
        <v>289</v>
      </c>
      <c r="DLT7">
        <v>222</v>
      </c>
      <c r="DLU7">
        <v>923</v>
      </c>
      <c r="DLV7">
        <v>-49</v>
      </c>
      <c r="DLW7">
        <v>204</v>
      </c>
      <c r="DLX7">
        <v>411</v>
      </c>
      <c r="DLY7">
        <v>1931</v>
      </c>
      <c r="DLZ7">
        <v>-403</v>
      </c>
      <c r="DMA7">
        <v>-1615</v>
      </c>
      <c r="DMB7">
        <v>1755</v>
      </c>
      <c r="DMC7">
        <v>986</v>
      </c>
      <c r="DMD7">
        <v>-551</v>
      </c>
      <c r="DME7">
        <v>-293</v>
      </c>
      <c r="DMF7">
        <v>-104</v>
      </c>
      <c r="DMG7">
        <v>166</v>
      </c>
      <c r="DMH7">
        <v>-619</v>
      </c>
      <c r="DMI7">
        <v>-1117</v>
      </c>
      <c r="DMJ7">
        <v>-996</v>
      </c>
      <c r="DMK7">
        <v>1355</v>
      </c>
      <c r="DML7" t="s">
        <v>289</v>
      </c>
      <c r="DMM7" t="s">
        <v>289</v>
      </c>
      <c r="DMN7" t="s">
        <v>289</v>
      </c>
      <c r="DMO7" t="s">
        <v>289</v>
      </c>
      <c r="DMP7" t="s">
        <v>289</v>
      </c>
      <c r="DMQ7" t="s">
        <v>289</v>
      </c>
      <c r="DMR7" t="s">
        <v>289</v>
      </c>
      <c r="DMS7" t="s">
        <v>289</v>
      </c>
      <c r="DMT7" t="s">
        <v>289</v>
      </c>
      <c r="DMU7" t="s">
        <v>289</v>
      </c>
      <c r="DMV7" t="s">
        <v>289</v>
      </c>
      <c r="DMW7" t="s">
        <v>289</v>
      </c>
      <c r="DMX7" t="s">
        <v>289</v>
      </c>
      <c r="DMY7" t="s">
        <v>289</v>
      </c>
      <c r="DMZ7" t="s">
        <v>289</v>
      </c>
      <c r="DNA7">
        <v>-619</v>
      </c>
      <c r="DNB7">
        <v>-1117</v>
      </c>
      <c r="DNC7">
        <v>-996</v>
      </c>
      <c r="DND7">
        <v>1355</v>
      </c>
      <c r="DNE7" t="s">
        <v>289</v>
      </c>
      <c r="DNF7" t="s">
        <v>289</v>
      </c>
      <c r="DNG7" t="s">
        <v>289</v>
      </c>
      <c r="DNH7" t="s">
        <v>289</v>
      </c>
      <c r="DNI7" t="s">
        <v>289</v>
      </c>
      <c r="DNJ7" t="s">
        <v>289</v>
      </c>
      <c r="DNK7" t="s">
        <v>289</v>
      </c>
      <c r="DNL7" t="s">
        <v>289</v>
      </c>
      <c r="DNM7" t="s">
        <v>289</v>
      </c>
      <c r="DNN7" t="s">
        <v>289</v>
      </c>
      <c r="DNO7" t="s">
        <v>289</v>
      </c>
      <c r="DNP7" t="s">
        <v>289</v>
      </c>
      <c r="DNQ7" t="s">
        <v>289</v>
      </c>
      <c r="DNR7" t="s">
        <v>289</v>
      </c>
      <c r="DNS7" t="s">
        <v>289</v>
      </c>
      <c r="DNT7" t="s">
        <v>289</v>
      </c>
      <c r="DNU7" t="s">
        <v>289</v>
      </c>
      <c r="DNV7" t="s">
        <v>289</v>
      </c>
      <c r="DNW7" t="s">
        <v>289</v>
      </c>
      <c r="DNX7" t="s">
        <v>289</v>
      </c>
      <c r="DNY7">
        <v>736</v>
      </c>
      <c r="DNZ7">
        <v>604</v>
      </c>
      <c r="DOA7">
        <v>733</v>
      </c>
      <c r="DOB7">
        <v>817</v>
      </c>
      <c r="DOC7">
        <v>448</v>
      </c>
      <c r="DOD7">
        <v>349</v>
      </c>
      <c r="DOE7">
        <v>1318</v>
      </c>
      <c r="DOF7">
        <v>2701</v>
      </c>
      <c r="DOG7">
        <v>2462</v>
      </c>
      <c r="DOH7">
        <v>2787</v>
      </c>
      <c r="DOI7">
        <v>4252</v>
      </c>
      <c r="DOJ7">
        <v>3323</v>
      </c>
      <c r="DOK7">
        <v>2417</v>
      </c>
      <c r="DOL7">
        <v>2301</v>
      </c>
      <c r="DOM7">
        <v>1972</v>
      </c>
      <c r="DON7">
        <v>3389</v>
      </c>
      <c r="DOO7">
        <v>1605</v>
      </c>
      <c r="DOP7">
        <v>3217</v>
      </c>
      <c r="DOQ7" t="s">
        <v>289</v>
      </c>
      <c r="DOR7">
        <v>267</v>
      </c>
      <c r="DOS7">
        <v>240</v>
      </c>
      <c r="DOT7">
        <v>328</v>
      </c>
      <c r="DOU7">
        <v>389</v>
      </c>
      <c r="DOV7">
        <v>312</v>
      </c>
      <c r="DOW7">
        <v>224</v>
      </c>
      <c r="DOX7">
        <v>223</v>
      </c>
      <c r="DOY7">
        <v>82</v>
      </c>
      <c r="DOZ7">
        <v>102</v>
      </c>
      <c r="DPA7">
        <v>122</v>
      </c>
      <c r="DPB7">
        <v>133</v>
      </c>
      <c r="DPC7">
        <v>264</v>
      </c>
      <c r="DPD7">
        <v>118</v>
      </c>
      <c r="DPE7">
        <v>165</v>
      </c>
      <c r="DPF7">
        <v>136</v>
      </c>
      <c r="DPG7">
        <v>199</v>
      </c>
      <c r="DPH7">
        <v>275</v>
      </c>
      <c r="DPI7">
        <v>217</v>
      </c>
      <c r="DPJ7" t="s">
        <v>289</v>
      </c>
      <c r="DPK7" t="s">
        <v>289</v>
      </c>
      <c r="DPL7" t="s">
        <v>289</v>
      </c>
      <c r="DPM7" t="s">
        <v>289</v>
      </c>
      <c r="DPN7" t="s">
        <v>289</v>
      </c>
      <c r="DPO7" t="s">
        <v>289</v>
      </c>
      <c r="DPP7" t="s">
        <v>289</v>
      </c>
      <c r="DPQ7" t="s">
        <v>289</v>
      </c>
      <c r="DPR7" t="s">
        <v>289</v>
      </c>
      <c r="DPS7" t="s">
        <v>289</v>
      </c>
      <c r="DPT7" t="s">
        <v>289</v>
      </c>
      <c r="DPU7" t="s">
        <v>289</v>
      </c>
      <c r="DPV7" t="s">
        <v>289</v>
      </c>
      <c r="DPW7" t="s">
        <v>289</v>
      </c>
      <c r="DPX7" t="s">
        <v>289</v>
      </c>
      <c r="DPY7" t="s">
        <v>289</v>
      </c>
      <c r="DPZ7" t="s">
        <v>289</v>
      </c>
      <c r="DQA7" t="s">
        <v>289</v>
      </c>
      <c r="DQB7" t="s">
        <v>289</v>
      </c>
      <c r="DQC7" t="s">
        <v>289</v>
      </c>
    </row>
    <row r="8" spans="2:3149">
      <c r="B8" t="s">
        <v>3799</v>
      </c>
      <c r="C8" t="s">
        <v>3807</v>
      </c>
      <c r="D8" t="s">
        <v>3811</v>
      </c>
      <c r="E8" s="100">
        <v>44531</v>
      </c>
      <c r="F8" t="s">
        <v>3629</v>
      </c>
      <c r="G8">
        <v>14.01</v>
      </c>
      <c r="H8">
        <v>14.039479999999999</v>
      </c>
      <c r="I8">
        <v>43888.442199999998</v>
      </c>
      <c r="J8">
        <v>43980.801099999997</v>
      </c>
      <c r="K8" t="s">
        <v>289</v>
      </c>
      <c r="L8" t="s">
        <v>289</v>
      </c>
      <c r="M8" t="s">
        <v>289</v>
      </c>
      <c r="N8" t="s">
        <v>289</v>
      </c>
      <c r="O8" t="s">
        <v>289</v>
      </c>
      <c r="P8" t="s">
        <v>289</v>
      </c>
      <c r="Q8" t="s">
        <v>289</v>
      </c>
      <c r="R8" t="s">
        <v>289</v>
      </c>
      <c r="S8" t="s">
        <v>289</v>
      </c>
      <c r="T8" t="s">
        <v>289</v>
      </c>
      <c r="U8" t="s">
        <v>289</v>
      </c>
      <c r="V8" t="s">
        <v>289</v>
      </c>
      <c r="W8" t="s">
        <v>289</v>
      </c>
      <c r="X8" t="s">
        <v>289</v>
      </c>
      <c r="Y8" t="s">
        <v>289</v>
      </c>
      <c r="Z8" t="s">
        <v>289</v>
      </c>
      <c r="AA8" t="s">
        <v>289</v>
      </c>
      <c r="AB8" t="s">
        <v>289</v>
      </c>
      <c r="AC8" t="s">
        <v>289</v>
      </c>
      <c r="AD8" t="s">
        <v>289</v>
      </c>
      <c r="AE8" t="s">
        <v>289</v>
      </c>
      <c r="AF8" t="s">
        <v>289</v>
      </c>
      <c r="AG8" t="s">
        <v>289</v>
      </c>
      <c r="AH8" t="s">
        <v>289</v>
      </c>
      <c r="AI8" t="s">
        <v>289</v>
      </c>
      <c r="AJ8" t="s">
        <v>289</v>
      </c>
      <c r="AK8" t="s">
        <v>289</v>
      </c>
      <c r="AL8" t="s">
        <v>289</v>
      </c>
      <c r="AM8" t="s">
        <v>289</v>
      </c>
      <c r="AN8" t="s">
        <v>289</v>
      </c>
      <c r="AO8" t="s">
        <v>289</v>
      </c>
      <c r="AP8" t="s">
        <v>289</v>
      </c>
      <c r="AQ8" t="s">
        <v>289</v>
      </c>
      <c r="AR8" t="s">
        <v>289</v>
      </c>
      <c r="AS8" t="s">
        <v>289</v>
      </c>
      <c r="AT8" t="s">
        <v>289</v>
      </c>
      <c r="AU8" t="s">
        <v>289</v>
      </c>
      <c r="AV8" t="s">
        <v>289</v>
      </c>
      <c r="AW8" t="s">
        <v>289</v>
      </c>
      <c r="AX8" t="s">
        <v>289</v>
      </c>
      <c r="AY8" t="s">
        <v>289</v>
      </c>
      <c r="AZ8" t="s">
        <v>289</v>
      </c>
      <c r="BA8" t="s">
        <v>289</v>
      </c>
      <c r="BB8" t="s">
        <v>289</v>
      </c>
      <c r="BC8" t="s">
        <v>289</v>
      </c>
      <c r="BD8" t="s">
        <v>289</v>
      </c>
      <c r="BE8" t="s">
        <v>289</v>
      </c>
      <c r="BF8" t="s">
        <v>289</v>
      </c>
      <c r="BG8" t="s">
        <v>289</v>
      </c>
      <c r="BH8" t="s">
        <v>289</v>
      </c>
      <c r="BI8" t="s">
        <v>289</v>
      </c>
      <c r="BJ8" t="s">
        <v>289</v>
      </c>
      <c r="BK8" t="s">
        <v>289</v>
      </c>
      <c r="BL8" t="s">
        <v>289</v>
      </c>
      <c r="BM8" t="s">
        <v>289</v>
      </c>
      <c r="BN8" t="s">
        <v>289</v>
      </c>
      <c r="BO8" t="s">
        <v>289</v>
      </c>
      <c r="BP8" t="s">
        <v>289</v>
      </c>
      <c r="BQ8" t="s">
        <v>289</v>
      </c>
      <c r="BR8" t="s">
        <v>289</v>
      </c>
      <c r="BS8" t="s">
        <v>289</v>
      </c>
      <c r="BT8" t="s">
        <v>289</v>
      </c>
      <c r="BU8" t="s">
        <v>289</v>
      </c>
      <c r="BV8" t="s">
        <v>289</v>
      </c>
      <c r="BW8" t="s">
        <v>289</v>
      </c>
      <c r="BX8" t="s">
        <v>289</v>
      </c>
      <c r="BY8" t="s">
        <v>289</v>
      </c>
      <c r="BZ8" t="s">
        <v>289</v>
      </c>
      <c r="CA8" t="s">
        <v>289</v>
      </c>
      <c r="CB8" t="s">
        <v>289</v>
      </c>
      <c r="CC8" t="s">
        <v>289</v>
      </c>
      <c r="CD8" t="s">
        <v>289</v>
      </c>
      <c r="CE8" t="s">
        <v>289</v>
      </c>
      <c r="CF8" t="s">
        <v>289</v>
      </c>
      <c r="CG8" t="s">
        <v>289</v>
      </c>
      <c r="CH8" t="s">
        <v>289</v>
      </c>
      <c r="CI8" t="s">
        <v>289</v>
      </c>
      <c r="CJ8" t="s">
        <v>289</v>
      </c>
      <c r="CK8" t="s">
        <v>289</v>
      </c>
      <c r="CL8" t="s">
        <v>289</v>
      </c>
      <c r="CM8" t="s">
        <v>289</v>
      </c>
      <c r="CN8" t="s">
        <v>289</v>
      </c>
      <c r="CO8" t="s">
        <v>289</v>
      </c>
      <c r="CP8" t="s">
        <v>289</v>
      </c>
      <c r="CQ8" t="s">
        <v>289</v>
      </c>
      <c r="CR8" t="s">
        <v>289</v>
      </c>
      <c r="CS8" t="s">
        <v>289</v>
      </c>
      <c r="CT8" t="s">
        <v>289</v>
      </c>
      <c r="CU8" t="s">
        <v>289</v>
      </c>
      <c r="CV8" t="s">
        <v>289</v>
      </c>
      <c r="CW8" t="s">
        <v>289</v>
      </c>
      <c r="CX8" t="s">
        <v>289</v>
      </c>
      <c r="CY8" t="s">
        <v>289</v>
      </c>
      <c r="CZ8" t="s">
        <v>289</v>
      </c>
      <c r="DA8" t="s">
        <v>289</v>
      </c>
      <c r="DB8" t="s">
        <v>289</v>
      </c>
      <c r="DC8" t="s">
        <v>289</v>
      </c>
      <c r="DD8" t="s">
        <v>289</v>
      </c>
      <c r="DE8" t="s">
        <v>289</v>
      </c>
      <c r="DF8" t="s">
        <v>289</v>
      </c>
      <c r="DG8" t="s">
        <v>289</v>
      </c>
      <c r="DH8" t="s">
        <v>289</v>
      </c>
      <c r="DI8" t="s">
        <v>289</v>
      </c>
      <c r="DJ8" t="s">
        <v>289</v>
      </c>
      <c r="DK8" t="s">
        <v>289</v>
      </c>
      <c r="DL8" t="s">
        <v>289</v>
      </c>
      <c r="DM8" t="s">
        <v>289</v>
      </c>
      <c r="DN8" t="s">
        <v>289</v>
      </c>
      <c r="DO8" t="s">
        <v>289</v>
      </c>
      <c r="DP8" t="s">
        <v>289</v>
      </c>
      <c r="DQ8" t="s">
        <v>289</v>
      </c>
      <c r="DR8" t="s">
        <v>289</v>
      </c>
      <c r="DS8" t="s">
        <v>289</v>
      </c>
      <c r="DT8" t="s">
        <v>289</v>
      </c>
      <c r="DU8" t="s">
        <v>289</v>
      </c>
      <c r="DV8" t="s">
        <v>289</v>
      </c>
      <c r="DW8" t="s">
        <v>289</v>
      </c>
      <c r="DX8" t="s">
        <v>289</v>
      </c>
      <c r="DY8" t="s">
        <v>289</v>
      </c>
      <c r="DZ8" t="s">
        <v>289</v>
      </c>
      <c r="EA8" t="s">
        <v>289</v>
      </c>
      <c r="EB8" t="s">
        <v>289</v>
      </c>
      <c r="EC8" t="s">
        <v>289</v>
      </c>
      <c r="ED8" t="s">
        <v>289</v>
      </c>
      <c r="EE8" t="s">
        <v>289</v>
      </c>
      <c r="EF8" t="s">
        <v>289</v>
      </c>
      <c r="EG8" t="s">
        <v>289</v>
      </c>
      <c r="EH8" t="s">
        <v>289</v>
      </c>
      <c r="EI8" t="s">
        <v>289</v>
      </c>
      <c r="EJ8" t="s">
        <v>289</v>
      </c>
      <c r="EK8" t="s">
        <v>289</v>
      </c>
      <c r="EL8" t="s">
        <v>289</v>
      </c>
      <c r="EM8" t="s">
        <v>289</v>
      </c>
      <c r="EN8" t="s">
        <v>289</v>
      </c>
      <c r="EO8" t="s">
        <v>289</v>
      </c>
      <c r="EP8" t="s">
        <v>289</v>
      </c>
      <c r="EQ8" t="s">
        <v>289</v>
      </c>
      <c r="ER8" t="s">
        <v>289</v>
      </c>
      <c r="ES8" t="s">
        <v>289</v>
      </c>
      <c r="ET8" t="s">
        <v>289</v>
      </c>
      <c r="EU8" t="s">
        <v>289</v>
      </c>
      <c r="EV8" t="s">
        <v>289</v>
      </c>
      <c r="EW8" t="s">
        <v>289</v>
      </c>
      <c r="EX8" t="s">
        <v>289</v>
      </c>
      <c r="EY8" t="s">
        <v>289</v>
      </c>
      <c r="EZ8" t="s">
        <v>289</v>
      </c>
      <c r="FA8" t="s">
        <v>289</v>
      </c>
      <c r="FB8" t="s">
        <v>289</v>
      </c>
      <c r="FC8" t="s">
        <v>289</v>
      </c>
      <c r="FD8" t="s">
        <v>289</v>
      </c>
      <c r="FE8" t="s">
        <v>289</v>
      </c>
      <c r="FF8" t="s">
        <v>289</v>
      </c>
      <c r="FG8" t="s">
        <v>289</v>
      </c>
      <c r="FH8" t="s">
        <v>289</v>
      </c>
      <c r="FI8" t="s">
        <v>289</v>
      </c>
      <c r="FJ8" t="s">
        <v>289</v>
      </c>
      <c r="FK8" t="s">
        <v>289</v>
      </c>
      <c r="FL8" t="s">
        <v>289</v>
      </c>
      <c r="FM8" t="s">
        <v>289</v>
      </c>
      <c r="FN8" t="s">
        <v>289</v>
      </c>
      <c r="FO8" t="s">
        <v>289</v>
      </c>
      <c r="FP8" t="s">
        <v>289</v>
      </c>
      <c r="FQ8" t="s">
        <v>289</v>
      </c>
      <c r="FR8" t="s">
        <v>289</v>
      </c>
      <c r="FS8" t="s">
        <v>289</v>
      </c>
      <c r="FT8" t="s">
        <v>289</v>
      </c>
      <c r="FU8" t="s">
        <v>289</v>
      </c>
      <c r="FV8" t="s">
        <v>289</v>
      </c>
      <c r="FW8" t="s">
        <v>289</v>
      </c>
      <c r="FX8" t="s">
        <v>289</v>
      </c>
      <c r="FY8" t="s">
        <v>289</v>
      </c>
      <c r="FZ8" t="s">
        <v>289</v>
      </c>
      <c r="GA8" t="s">
        <v>289</v>
      </c>
      <c r="GB8" t="s">
        <v>289</v>
      </c>
      <c r="GC8" t="s">
        <v>289</v>
      </c>
      <c r="GD8" t="s">
        <v>289</v>
      </c>
      <c r="GE8" t="s">
        <v>289</v>
      </c>
      <c r="GF8" t="s">
        <v>289</v>
      </c>
      <c r="GG8" t="s">
        <v>289</v>
      </c>
      <c r="GH8" t="s">
        <v>289</v>
      </c>
      <c r="GI8" t="s">
        <v>289</v>
      </c>
      <c r="GJ8" t="s">
        <v>289</v>
      </c>
      <c r="GK8" t="s">
        <v>289</v>
      </c>
      <c r="GL8" t="s">
        <v>289</v>
      </c>
      <c r="GM8" t="s">
        <v>289</v>
      </c>
      <c r="GN8" t="s">
        <v>289</v>
      </c>
      <c r="GO8" t="s">
        <v>289</v>
      </c>
      <c r="GP8" t="s">
        <v>289</v>
      </c>
      <c r="GQ8" t="s">
        <v>289</v>
      </c>
      <c r="GR8" t="s">
        <v>289</v>
      </c>
      <c r="GS8" t="s">
        <v>289</v>
      </c>
      <c r="GT8" t="s">
        <v>289</v>
      </c>
      <c r="GU8" t="s">
        <v>289</v>
      </c>
      <c r="GV8" t="s">
        <v>289</v>
      </c>
      <c r="GW8" t="s">
        <v>289</v>
      </c>
      <c r="GX8" t="s">
        <v>289</v>
      </c>
      <c r="GY8" t="s">
        <v>289</v>
      </c>
      <c r="GZ8" t="s">
        <v>289</v>
      </c>
      <c r="HA8" t="s">
        <v>289</v>
      </c>
      <c r="HB8" t="s">
        <v>289</v>
      </c>
      <c r="HC8" t="s">
        <v>289</v>
      </c>
      <c r="HD8" t="s">
        <v>289</v>
      </c>
      <c r="HE8" t="s">
        <v>289</v>
      </c>
      <c r="HF8" t="s">
        <v>289</v>
      </c>
      <c r="HG8" t="s">
        <v>289</v>
      </c>
      <c r="HH8" t="s">
        <v>289</v>
      </c>
      <c r="HI8" t="s">
        <v>289</v>
      </c>
      <c r="HJ8" t="s">
        <v>289</v>
      </c>
      <c r="HK8" t="s">
        <v>289</v>
      </c>
      <c r="HL8" t="s">
        <v>289</v>
      </c>
      <c r="HM8" t="s">
        <v>289</v>
      </c>
      <c r="HN8" t="s">
        <v>289</v>
      </c>
      <c r="HO8" t="s">
        <v>289</v>
      </c>
      <c r="HP8" t="s">
        <v>289</v>
      </c>
      <c r="HQ8" t="s">
        <v>289</v>
      </c>
      <c r="HR8" t="s">
        <v>289</v>
      </c>
      <c r="HS8" t="s">
        <v>289</v>
      </c>
      <c r="HT8" t="s">
        <v>289</v>
      </c>
      <c r="HU8" t="s">
        <v>289</v>
      </c>
      <c r="HV8" t="s">
        <v>289</v>
      </c>
      <c r="HW8" t="s">
        <v>289</v>
      </c>
      <c r="HX8" t="s">
        <v>289</v>
      </c>
      <c r="HY8" t="s">
        <v>289</v>
      </c>
      <c r="HZ8" t="s">
        <v>289</v>
      </c>
      <c r="IA8" t="s">
        <v>289</v>
      </c>
      <c r="IB8" t="s">
        <v>289</v>
      </c>
      <c r="IC8" t="s">
        <v>289</v>
      </c>
      <c r="ID8" t="s">
        <v>289</v>
      </c>
      <c r="IE8" t="s">
        <v>289</v>
      </c>
      <c r="IF8" t="s">
        <v>289</v>
      </c>
      <c r="IG8" t="s">
        <v>289</v>
      </c>
      <c r="IH8" t="s">
        <v>289</v>
      </c>
      <c r="II8" t="s">
        <v>289</v>
      </c>
      <c r="IJ8" t="s">
        <v>289</v>
      </c>
      <c r="IK8" t="s">
        <v>289</v>
      </c>
      <c r="IL8" t="s">
        <v>289</v>
      </c>
      <c r="IM8" t="s">
        <v>289</v>
      </c>
      <c r="IN8" t="s">
        <v>289</v>
      </c>
      <c r="IO8" t="s">
        <v>289</v>
      </c>
      <c r="IP8" t="s">
        <v>289</v>
      </c>
      <c r="IQ8" t="s">
        <v>289</v>
      </c>
      <c r="IR8" t="s">
        <v>289</v>
      </c>
      <c r="IS8" t="s">
        <v>289</v>
      </c>
      <c r="IT8" t="s">
        <v>289</v>
      </c>
      <c r="IU8" t="s">
        <v>289</v>
      </c>
      <c r="IV8" t="s">
        <v>289</v>
      </c>
      <c r="IW8" t="s">
        <v>289</v>
      </c>
      <c r="IX8" t="s">
        <v>289</v>
      </c>
      <c r="IY8" t="s">
        <v>289</v>
      </c>
      <c r="IZ8" t="s">
        <v>289</v>
      </c>
      <c r="JA8" t="s">
        <v>289</v>
      </c>
      <c r="JB8" t="s">
        <v>289</v>
      </c>
      <c r="JC8" t="s">
        <v>289</v>
      </c>
      <c r="JD8" t="s">
        <v>289</v>
      </c>
      <c r="JE8" t="s">
        <v>289</v>
      </c>
      <c r="JF8" t="s">
        <v>289</v>
      </c>
      <c r="JG8" t="s">
        <v>289</v>
      </c>
      <c r="JH8" t="s">
        <v>289</v>
      </c>
      <c r="JI8" t="s">
        <v>289</v>
      </c>
      <c r="JJ8" t="s">
        <v>289</v>
      </c>
      <c r="JK8" t="s">
        <v>289</v>
      </c>
      <c r="JL8" t="s">
        <v>289</v>
      </c>
      <c r="JM8" t="s">
        <v>289</v>
      </c>
      <c r="JN8" t="s">
        <v>289</v>
      </c>
      <c r="JO8" t="s">
        <v>289</v>
      </c>
      <c r="JP8" t="s">
        <v>289</v>
      </c>
      <c r="JQ8" t="s">
        <v>289</v>
      </c>
      <c r="JR8" t="s">
        <v>289</v>
      </c>
      <c r="JS8" t="s">
        <v>289</v>
      </c>
      <c r="JT8" t="s">
        <v>289</v>
      </c>
      <c r="JU8" t="s">
        <v>289</v>
      </c>
      <c r="JV8" t="s">
        <v>289</v>
      </c>
      <c r="JW8" t="s">
        <v>289</v>
      </c>
      <c r="JX8" t="s">
        <v>289</v>
      </c>
      <c r="JY8" t="s">
        <v>289</v>
      </c>
      <c r="JZ8">
        <v>19455</v>
      </c>
      <c r="KA8">
        <v>22840</v>
      </c>
      <c r="KB8">
        <v>20662</v>
      </c>
      <c r="KC8">
        <v>17318</v>
      </c>
      <c r="KD8">
        <v>12638</v>
      </c>
      <c r="KE8">
        <v>12450</v>
      </c>
      <c r="KF8">
        <v>15014</v>
      </c>
      <c r="KG8">
        <v>23846</v>
      </c>
      <c r="KH8">
        <v>49629</v>
      </c>
      <c r="KI8" t="s">
        <v>289</v>
      </c>
      <c r="KJ8" t="s">
        <v>289</v>
      </c>
      <c r="KK8" t="s">
        <v>289</v>
      </c>
      <c r="KL8" t="s">
        <v>289</v>
      </c>
      <c r="KM8" t="s">
        <v>289</v>
      </c>
      <c r="KN8" t="s">
        <v>289</v>
      </c>
      <c r="KO8" t="s">
        <v>289</v>
      </c>
      <c r="KP8" t="s">
        <v>289</v>
      </c>
      <c r="KQ8" t="s">
        <v>289</v>
      </c>
      <c r="KR8" t="s">
        <v>289</v>
      </c>
      <c r="KS8" t="s">
        <v>289</v>
      </c>
      <c r="KT8" t="s">
        <v>289</v>
      </c>
      <c r="KU8" t="s">
        <v>289</v>
      </c>
      <c r="KV8" t="s">
        <v>289</v>
      </c>
      <c r="KW8" t="s">
        <v>289</v>
      </c>
      <c r="KX8" t="s">
        <v>289</v>
      </c>
      <c r="KY8" t="s">
        <v>289</v>
      </c>
      <c r="KZ8" t="s">
        <v>289</v>
      </c>
      <c r="LA8" t="s">
        <v>289</v>
      </c>
      <c r="LB8" t="s">
        <v>289</v>
      </c>
      <c r="LC8" t="s">
        <v>289</v>
      </c>
      <c r="LD8" t="s">
        <v>289</v>
      </c>
      <c r="LE8" t="s">
        <v>289</v>
      </c>
      <c r="LF8" t="s">
        <v>289</v>
      </c>
      <c r="LG8" t="s">
        <v>289</v>
      </c>
      <c r="LH8" t="s">
        <v>289</v>
      </c>
      <c r="LI8" t="s">
        <v>289</v>
      </c>
      <c r="LJ8" t="s">
        <v>289</v>
      </c>
      <c r="LK8" t="s">
        <v>289</v>
      </c>
      <c r="LL8" t="s">
        <v>289</v>
      </c>
      <c r="LM8" t="s">
        <v>289</v>
      </c>
      <c r="LN8" t="s">
        <v>289</v>
      </c>
      <c r="LO8" t="s">
        <v>289</v>
      </c>
      <c r="LP8" t="s">
        <v>289</v>
      </c>
      <c r="LQ8" t="s">
        <v>289</v>
      </c>
      <c r="LR8" t="s">
        <v>289</v>
      </c>
      <c r="LS8" t="s">
        <v>289</v>
      </c>
      <c r="LT8" t="s">
        <v>289</v>
      </c>
      <c r="LU8" t="s">
        <v>289</v>
      </c>
      <c r="LV8" t="s">
        <v>289</v>
      </c>
      <c r="LW8" t="s">
        <v>289</v>
      </c>
      <c r="LX8" t="s">
        <v>289</v>
      </c>
      <c r="LY8" t="s">
        <v>289</v>
      </c>
      <c r="LZ8" t="s">
        <v>289</v>
      </c>
      <c r="MA8" t="s">
        <v>289</v>
      </c>
      <c r="MB8" t="s">
        <v>289</v>
      </c>
      <c r="MC8" t="s">
        <v>289</v>
      </c>
      <c r="MD8" t="s">
        <v>289</v>
      </c>
      <c r="ME8">
        <v>2903</v>
      </c>
      <c r="MF8">
        <v>4186</v>
      </c>
      <c r="MG8">
        <v>4056</v>
      </c>
      <c r="MH8">
        <v>3699</v>
      </c>
      <c r="MI8">
        <v>2004</v>
      </c>
      <c r="MJ8">
        <v>1814</v>
      </c>
      <c r="MK8">
        <v>1689</v>
      </c>
      <c r="ML8">
        <v>1096</v>
      </c>
      <c r="MM8">
        <v>1927</v>
      </c>
      <c r="MN8" t="s">
        <v>289</v>
      </c>
      <c r="MO8" t="s">
        <v>289</v>
      </c>
      <c r="MP8" t="s">
        <v>289</v>
      </c>
      <c r="MQ8" t="s">
        <v>289</v>
      </c>
      <c r="MR8" t="s">
        <v>289</v>
      </c>
      <c r="MS8" t="s">
        <v>289</v>
      </c>
      <c r="MT8" t="s">
        <v>289</v>
      </c>
      <c r="MU8" t="s">
        <v>289</v>
      </c>
      <c r="MV8" t="s">
        <v>289</v>
      </c>
      <c r="MW8" t="s">
        <v>289</v>
      </c>
      <c r="MX8" t="s">
        <v>289</v>
      </c>
      <c r="MY8" t="s">
        <v>289</v>
      </c>
      <c r="MZ8" t="s">
        <v>289</v>
      </c>
      <c r="NA8" t="s">
        <v>289</v>
      </c>
      <c r="NB8" t="s">
        <v>289</v>
      </c>
      <c r="NC8" t="s">
        <v>289</v>
      </c>
      <c r="ND8" t="s">
        <v>289</v>
      </c>
      <c r="NE8" t="s">
        <v>289</v>
      </c>
      <c r="NF8" t="s">
        <v>289</v>
      </c>
      <c r="NG8" t="s">
        <v>289</v>
      </c>
      <c r="NH8" t="s">
        <v>289</v>
      </c>
      <c r="NI8" t="s">
        <v>289</v>
      </c>
      <c r="NJ8" t="s">
        <v>289</v>
      </c>
      <c r="NK8" t="s">
        <v>289</v>
      </c>
      <c r="NL8" t="s">
        <v>289</v>
      </c>
      <c r="NM8" t="s">
        <v>289</v>
      </c>
      <c r="NN8" t="s">
        <v>289</v>
      </c>
      <c r="NO8" t="s">
        <v>289</v>
      </c>
      <c r="NP8" t="s">
        <v>289</v>
      </c>
      <c r="NQ8" t="s">
        <v>289</v>
      </c>
      <c r="NR8" t="s">
        <v>289</v>
      </c>
      <c r="NS8" t="s">
        <v>289</v>
      </c>
      <c r="NT8" t="s">
        <v>289</v>
      </c>
      <c r="NU8" t="s">
        <v>289</v>
      </c>
      <c r="NV8" t="s">
        <v>289</v>
      </c>
      <c r="NW8" t="s">
        <v>289</v>
      </c>
      <c r="NX8" t="s">
        <v>289</v>
      </c>
      <c r="NY8" t="s">
        <v>289</v>
      </c>
      <c r="NZ8" t="s">
        <v>289</v>
      </c>
      <c r="OA8" t="s">
        <v>289</v>
      </c>
      <c r="OB8" t="s">
        <v>289</v>
      </c>
      <c r="OC8" t="s">
        <v>289</v>
      </c>
      <c r="OD8" t="s">
        <v>289</v>
      </c>
      <c r="OE8" t="s">
        <v>289</v>
      </c>
      <c r="OF8" t="s">
        <v>289</v>
      </c>
      <c r="OG8" t="s">
        <v>289</v>
      </c>
      <c r="OH8" t="s">
        <v>289</v>
      </c>
      <c r="OI8" t="s">
        <v>289</v>
      </c>
      <c r="OJ8" t="s">
        <v>289</v>
      </c>
      <c r="OK8" t="s">
        <v>289</v>
      </c>
      <c r="OL8" t="s">
        <v>289</v>
      </c>
      <c r="OM8" t="s">
        <v>289</v>
      </c>
      <c r="ON8" t="s">
        <v>289</v>
      </c>
      <c r="OO8" t="s">
        <v>289</v>
      </c>
      <c r="OP8" t="s">
        <v>289</v>
      </c>
      <c r="OQ8" t="s">
        <v>289</v>
      </c>
      <c r="OR8" t="s">
        <v>289</v>
      </c>
      <c r="OS8" t="s">
        <v>289</v>
      </c>
      <c r="OT8" t="s">
        <v>289</v>
      </c>
      <c r="OU8" t="s">
        <v>289</v>
      </c>
      <c r="OV8" t="s">
        <v>289</v>
      </c>
      <c r="OW8" t="s">
        <v>289</v>
      </c>
      <c r="OX8" t="s">
        <v>289</v>
      </c>
      <c r="OY8" t="s">
        <v>289</v>
      </c>
      <c r="OZ8" t="s">
        <v>289</v>
      </c>
      <c r="PA8" t="s">
        <v>289</v>
      </c>
      <c r="PB8" t="s">
        <v>289</v>
      </c>
      <c r="PC8" t="s">
        <v>289</v>
      </c>
      <c r="PD8" t="s">
        <v>289</v>
      </c>
      <c r="PE8" t="s">
        <v>289</v>
      </c>
      <c r="PF8" t="s">
        <v>289</v>
      </c>
      <c r="PG8" t="s">
        <v>289</v>
      </c>
      <c r="PH8" t="s">
        <v>289</v>
      </c>
      <c r="PI8" t="s">
        <v>289</v>
      </c>
      <c r="PJ8" t="s">
        <v>289</v>
      </c>
      <c r="PK8" t="s">
        <v>289</v>
      </c>
      <c r="PL8" t="s">
        <v>289</v>
      </c>
      <c r="PM8" t="s">
        <v>289</v>
      </c>
      <c r="PN8" t="s">
        <v>289</v>
      </c>
      <c r="PO8" t="s">
        <v>289</v>
      </c>
      <c r="PP8" t="s">
        <v>289</v>
      </c>
      <c r="PQ8" t="s">
        <v>289</v>
      </c>
      <c r="PR8" t="s">
        <v>289</v>
      </c>
      <c r="PS8" t="s">
        <v>289</v>
      </c>
      <c r="PT8" t="s">
        <v>289</v>
      </c>
      <c r="PU8" t="s">
        <v>289</v>
      </c>
      <c r="PV8" t="s">
        <v>289</v>
      </c>
      <c r="PW8" t="s">
        <v>289</v>
      </c>
      <c r="PX8" t="s">
        <v>289</v>
      </c>
      <c r="PY8" t="s">
        <v>289</v>
      </c>
      <c r="PZ8" t="s">
        <v>289</v>
      </c>
      <c r="QA8" t="s">
        <v>289</v>
      </c>
      <c r="QB8" t="s">
        <v>289</v>
      </c>
      <c r="QC8" t="s">
        <v>289</v>
      </c>
      <c r="QD8" t="s">
        <v>289</v>
      </c>
      <c r="QE8" t="s">
        <v>289</v>
      </c>
      <c r="QF8" t="s">
        <v>289</v>
      </c>
      <c r="QG8" t="s">
        <v>289</v>
      </c>
      <c r="QH8" t="s">
        <v>289</v>
      </c>
      <c r="QI8" t="s">
        <v>289</v>
      </c>
      <c r="QJ8" t="s">
        <v>289</v>
      </c>
      <c r="QK8" t="s">
        <v>289</v>
      </c>
      <c r="QL8" t="s">
        <v>289</v>
      </c>
      <c r="QM8" t="s">
        <v>289</v>
      </c>
      <c r="QN8" t="s">
        <v>289</v>
      </c>
      <c r="QO8" t="s">
        <v>289</v>
      </c>
      <c r="QP8" t="s">
        <v>289</v>
      </c>
      <c r="QQ8" t="s">
        <v>289</v>
      </c>
      <c r="QR8" t="s">
        <v>289</v>
      </c>
      <c r="QS8" t="s">
        <v>289</v>
      </c>
      <c r="QT8" t="s">
        <v>289</v>
      </c>
      <c r="QU8" t="s">
        <v>289</v>
      </c>
      <c r="QV8" t="s">
        <v>289</v>
      </c>
      <c r="QW8" t="s">
        <v>289</v>
      </c>
      <c r="QX8" t="s">
        <v>289</v>
      </c>
      <c r="QY8" t="s">
        <v>289</v>
      </c>
      <c r="QZ8" t="s">
        <v>289</v>
      </c>
      <c r="RA8" t="s">
        <v>289</v>
      </c>
      <c r="RB8" t="s">
        <v>289</v>
      </c>
      <c r="RC8" t="s">
        <v>289</v>
      </c>
      <c r="RD8" t="s">
        <v>289</v>
      </c>
      <c r="RE8" t="s">
        <v>289</v>
      </c>
      <c r="RF8" t="s">
        <v>289</v>
      </c>
      <c r="RG8" t="s">
        <v>289</v>
      </c>
      <c r="RH8">
        <v>4635</v>
      </c>
      <c r="RI8">
        <v>4607</v>
      </c>
      <c r="RJ8">
        <v>5414</v>
      </c>
      <c r="RK8">
        <v>5956</v>
      </c>
      <c r="RL8">
        <v>5474</v>
      </c>
      <c r="RM8">
        <v>5507</v>
      </c>
      <c r="RN8">
        <v>5445</v>
      </c>
      <c r="RO8">
        <v>5143</v>
      </c>
      <c r="RP8">
        <v>5871</v>
      </c>
      <c r="RQ8" t="s">
        <v>289</v>
      </c>
      <c r="RR8" t="s">
        <v>289</v>
      </c>
      <c r="RS8" t="s">
        <v>289</v>
      </c>
      <c r="RT8" t="s">
        <v>289</v>
      </c>
      <c r="RU8" t="s">
        <v>289</v>
      </c>
      <c r="RV8" t="s">
        <v>289</v>
      </c>
      <c r="RW8" t="s">
        <v>289</v>
      </c>
      <c r="RX8" t="s">
        <v>289</v>
      </c>
      <c r="RY8" t="s">
        <v>289</v>
      </c>
      <c r="RZ8" t="s">
        <v>289</v>
      </c>
      <c r="SA8" t="s">
        <v>289</v>
      </c>
      <c r="SB8" t="s">
        <v>289</v>
      </c>
      <c r="SC8" t="s">
        <v>289</v>
      </c>
      <c r="SD8" t="s">
        <v>289</v>
      </c>
      <c r="SE8" t="s">
        <v>289</v>
      </c>
      <c r="SF8" t="s">
        <v>289</v>
      </c>
      <c r="SG8" t="s">
        <v>289</v>
      </c>
      <c r="SH8" t="s">
        <v>289</v>
      </c>
      <c r="SI8" t="s">
        <v>289</v>
      </c>
      <c r="SJ8" t="s">
        <v>289</v>
      </c>
      <c r="SK8" t="s">
        <v>289</v>
      </c>
      <c r="SL8" t="s">
        <v>289</v>
      </c>
      <c r="SM8" t="s">
        <v>289</v>
      </c>
      <c r="SN8" t="s">
        <v>289</v>
      </c>
      <c r="SO8" t="s">
        <v>289</v>
      </c>
      <c r="SP8" t="s">
        <v>289</v>
      </c>
      <c r="SQ8" t="s">
        <v>289</v>
      </c>
      <c r="SR8" t="s">
        <v>289</v>
      </c>
      <c r="SS8" t="s">
        <v>289</v>
      </c>
      <c r="ST8" t="s">
        <v>289</v>
      </c>
      <c r="SU8" t="s">
        <v>289</v>
      </c>
      <c r="SV8" t="s">
        <v>289</v>
      </c>
      <c r="SW8" t="s">
        <v>289</v>
      </c>
      <c r="SX8" t="s">
        <v>289</v>
      </c>
      <c r="SY8" t="s">
        <v>289</v>
      </c>
      <c r="SZ8" t="s">
        <v>289</v>
      </c>
      <c r="TA8" t="s">
        <v>289</v>
      </c>
      <c r="TB8" t="s">
        <v>289</v>
      </c>
      <c r="TC8" t="s">
        <v>289</v>
      </c>
      <c r="TD8" t="s">
        <v>289</v>
      </c>
      <c r="TE8" t="s">
        <v>289</v>
      </c>
      <c r="TF8" t="s">
        <v>289</v>
      </c>
      <c r="TG8" t="s">
        <v>289</v>
      </c>
      <c r="TH8" t="s">
        <v>289</v>
      </c>
      <c r="TI8" t="s">
        <v>289</v>
      </c>
      <c r="TJ8" t="s">
        <v>289</v>
      </c>
      <c r="TK8" t="s">
        <v>289</v>
      </c>
      <c r="TL8" t="s">
        <v>289</v>
      </c>
      <c r="TM8" t="s">
        <v>289</v>
      </c>
      <c r="TN8" t="s">
        <v>289</v>
      </c>
      <c r="TO8" t="s">
        <v>289</v>
      </c>
      <c r="TP8" t="s">
        <v>289</v>
      </c>
      <c r="TQ8" t="s">
        <v>289</v>
      </c>
      <c r="TR8" t="s">
        <v>289</v>
      </c>
      <c r="TS8" t="s">
        <v>289</v>
      </c>
      <c r="TT8" t="s">
        <v>289</v>
      </c>
      <c r="TU8" t="s">
        <v>289</v>
      </c>
      <c r="TV8" t="s">
        <v>289</v>
      </c>
      <c r="TW8" t="s">
        <v>289</v>
      </c>
      <c r="TX8" t="s">
        <v>289</v>
      </c>
      <c r="TY8" t="s">
        <v>289</v>
      </c>
      <c r="TZ8" t="s">
        <v>289</v>
      </c>
      <c r="UA8" t="s">
        <v>289</v>
      </c>
      <c r="UB8" t="s">
        <v>289</v>
      </c>
      <c r="UC8" t="s">
        <v>289</v>
      </c>
      <c r="UD8" t="s">
        <v>289</v>
      </c>
      <c r="UE8" t="s">
        <v>289</v>
      </c>
      <c r="UF8" t="s">
        <v>289</v>
      </c>
      <c r="UG8" t="s">
        <v>289</v>
      </c>
      <c r="UH8" t="s">
        <v>289</v>
      </c>
      <c r="UI8" t="s">
        <v>289</v>
      </c>
      <c r="UJ8" t="s">
        <v>289</v>
      </c>
      <c r="UK8" t="s">
        <v>289</v>
      </c>
      <c r="UL8" t="s">
        <v>289</v>
      </c>
      <c r="UM8" t="s">
        <v>289</v>
      </c>
      <c r="UN8" t="s">
        <v>289</v>
      </c>
      <c r="UO8" t="s">
        <v>289</v>
      </c>
      <c r="UP8" t="s">
        <v>289</v>
      </c>
      <c r="UQ8" t="s">
        <v>289</v>
      </c>
      <c r="UR8" t="s">
        <v>289</v>
      </c>
      <c r="US8" t="s">
        <v>289</v>
      </c>
      <c r="UT8" t="s">
        <v>289</v>
      </c>
      <c r="UU8" t="s">
        <v>289</v>
      </c>
      <c r="UV8" t="s">
        <v>289</v>
      </c>
      <c r="UW8" t="s">
        <v>289</v>
      </c>
      <c r="UX8" t="s">
        <v>289</v>
      </c>
      <c r="UY8">
        <v>12440</v>
      </c>
      <c r="UZ8">
        <v>14012</v>
      </c>
      <c r="VA8">
        <v>14790</v>
      </c>
      <c r="VB8">
        <v>15222</v>
      </c>
      <c r="VC8">
        <v>13390</v>
      </c>
      <c r="VD8">
        <v>13970</v>
      </c>
      <c r="VE8">
        <v>14257</v>
      </c>
      <c r="VF8">
        <v>13055</v>
      </c>
      <c r="VG8">
        <v>29921</v>
      </c>
      <c r="VH8" t="s">
        <v>289</v>
      </c>
      <c r="VI8" t="s">
        <v>289</v>
      </c>
      <c r="VJ8" t="s">
        <v>289</v>
      </c>
      <c r="VK8" t="s">
        <v>289</v>
      </c>
      <c r="VL8" t="s">
        <v>289</v>
      </c>
      <c r="VM8" t="s">
        <v>289</v>
      </c>
      <c r="VN8" t="s">
        <v>289</v>
      </c>
      <c r="VO8" t="s">
        <v>289</v>
      </c>
      <c r="VP8" t="s">
        <v>289</v>
      </c>
      <c r="VQ8" t="s">
        <v>289</v>
      </c>
      <c r="VR8" t="s">
        <v>289</v>
      </c>
      <c r="VS8" t="s">
        <v>289</v>
      </c>
      <c r="VT8" t="s">
        <v>289</v>
      </c>
      <c r="VU8" t="s">
        <v>289</v>
      </c>
      <c r="VV8" t="s">
        <v>289</v>
      </c>
      <c r="VW8" t="s">
        <v>289</v>
      </c>
      <c r="VX8" t="s">
        <v>289</v>
      </c>
      <c r="VY8" t="s">
        <v>289</v>
      </c>
      <c r="VZ8" t="s">
        <v>289</v>
      </c>
      <c r="WA8" t="s">
        <v>289</v>
      </c>
      <c r="WB8" t="s">
        <v>289</v>
      </c>
      <c r="WC8" t="s">
        <v>289</v>
      </c>
      <c r="WD8" t="s">
        <v>289</v>
      </c>
      <c r="WE8" t="s">
        <v>289</v>
      </c>
      <c r="WF8" t="s">
        <v>289</v>
      </c>
      <c r="WG8" t="s">
        <v>289</v>
      </c>
      <c r="WH8" t="s">
        <v>289</v>
      </c>
      <c r="WI8" t="s">
        <v>289</v>
      </c>
      <c r="WJ8" t="s">
        <v>289</v>
      </c>
      <c r="WK8">
        <v>1388</v>
      </c>
      <c r="WL8">
        <v>1471</v>
      </c>
      <c r="WM8">
        <v>1658</v>
      </c>
      <c r="WN8">
        <v>1793</v>
      </c>
      <c r="WO8">
        <v>2008</v>
      </c>
      <c r="WP8">
        <v>2002</v>
      </c>
      <c r="WQ8">
        <v>2009</v>
      </c>
      <c r="WR8">
        <v>2086</v>
      </c>
      <c r="WS8">
        <v>6022</v>
      </c>
      <c r="WT8" t="s">
        <v>289</v>
      </c>
      <c r="WU8" t="s">
        <v>289</v>
      </c>
      <c r="WV8" t="s">
        <v>289</v>
      </c>
      <c r="WW8" t="s">
        <v>289</v>
      </c>
      <c r="WX8" t="s">
        <v>289</v>
      </c>
      <c r="WY8" t="s">
        <v>289</v>
      </c>
      <c r="WZ8" t="s">
        <v>289</v>
      </c>
      <c r="XA8" t="s">
        <v>289</v>
      </c>
      <c r="XB8" t="s">
        <v>289</v>
      </c>
      <c r="XC8" t="s">
        <v>289</v>
      </c>
      <c r="XD8" t="s">
        <v>289</v>
      </c>
      <c r="XE8" t="s">
        <v>289</v>
      </c>
      <c r="XF8" t="s">
        <v>289</v>
      </c>
      <c r="XG8" t="s">
        <v>289</v>
      </c>
      <c r="XH8" t="s">
        <v>289</v>
      </c>
      <c r="XI8" t="s">
        <v>289</v>
      </c>
      <c r="XJ8" t="s">
        <v>289</v>
      </c>
      <c r="XK8" t="s">
        <v>289</v>
      </c>
      <c r="XL8" t="s">
        <v>289</v>
      </c>
      <c r="XM8" t="s">
        <v>289</v>
      </c>
      <c r="XN8" t="s">
        <v>289</v>
      </c>
      <c r="XO8" t="s">
        <v>289</v>
      </c>
      <c r="XP8" t="s">
        <v>289</v>
      </c>
      <c r="XQ8" t="s">
        <v>289</v>
      </c>
      <c r="XR8" t="s">
        <v>289</v>
      </c>
      <c r="XS8" t="s">
        <v>289</v>
      </c>
      <c r="XT8" t="s">
        <v>289</v>
      </c>
      <c r="XU8" t="s">
        <v>289</v>
      </c>
      <c r="XV8" t="s">
        <v>289</v>
      </c>
      <c r="XW8" t="s">
        <v>289</v>
      </c>
      <c r="XX8" t="s">
        <v>289</v>
      </c>
      <c r="XY8" t="s">
        <v>289</v>
      </c>
      <c r="XZ8" t="s">
        <v>289</v>
      </c>
      <c r="YA8" t="s">
        <v>289</v>
      </c>
      <c r="YB8" t="s">
        <v>289</v>
      </c>
      <c r="YC8" t="s">
        <v>289</v>
      </c>
      <c r="YD8" t="s">
        <v>289</v>
      </c>
      <c r="YE8" t="s">
        <v>289</v>
      </c>
      <c r="YF8" t="s">
        <v>289</v>
      </c>
      <c r="YG8" t="s">
        <v>289</v>
      </c>
      <c r="YH8" t="s">
        <v>289</v>
      </c>
      <c r="YI8" t="s">
        <v>289</v>
      </c>
      <c r="YJ8" t="s">
        <v>289</v>
      </c>
      <c r="YK8" t="s">
        <v>289</v>
      </c>
      <c r="YL8" t="s">
        <v>289</v>
      </c>
      <c r="YM8" t="s">
        <v>289</v>
      </c>
      <c r="YN8" t="s">
        <v>289</v>
      </c>
      <c r="YO8" t="s">
        <v>289</v>
      </c>
      <c r="YP8" t="s">
        <v>289</v>
      </c>
      <c r="YQ8" t="s">
        <v>289</v>
      </c>
      <c r="YR8" t="s">
        <v>289</v>
      </c>
      <c r="YS8" t="s">
        <v>289</v>
      </c>
      <c r="YT8" t="s">
        <v>289</v>
      </c>
      <c r="YU8" t="s">
        <v>289</v>
      </c>
      <c r="YV8" t="s">
        <v>289</v>
      </c>
      <c r="YW8" t="s">
        <v>289</v>
      </c>
      <c r="YX8" t="s">
        <v>289</v>
      </c>
      <c r="YY8" t="s">
        <v>289</v>
      </c>
      <c r="YZ8" t="s">
        <v>289</v>
      </c>
      <c r="ZA8" t="s">
        <v>289</v>
      </c>
      <c r="ZB8" t="s">
        <v>289</v>
      </c>
      <c r="ZC8" t="s">
        <v>289</v>
      </c>
      <c r="ZD8" t="s">
        <v>289</v>
      </c>
      <c r="ZE8" t="s">
        <v>289</v>
      </c>
      <c r="ZF8" t="s">
        <v>289</v>
      </c>
      <c r="ZG8" t="s">
        <v>289</v>
      </c>
      <c r="ZH8" t="s">
        <v>289</v>
      </c>
      <c r="ZI8">
        <v>664</v>
      </c>
      <c r="ZJ8">
        <v>700</v>
      </c>
      <c r="ZK8">
        <v>724</v>
      </c>
      <c r="ZL8">
        <v>649</v>
      </c>
      <c r="ZM8">
        <v>482</v>
      </c>
      <c r="ZN8">
        <v>362</v>
      </c>
      <c r="ZO8">
        <v>340</v>
      </c>
      <c r="ZP8">
        <v>331</v>
      </c>
      <c r="ZQ8" t="s">
        <v>289</v>
      </c>
      <c r="ZR8" t="s">
        <v>289</v>
      </c>
      <c r="ZS8" t="s">
        <v>289</v>
      </c>
      <c r="ZT8" t="s">
        <v>289</v>
      </c>
      <c r="ZU8" t="s">
        <v>289</v>
      </c>
      <c r="ZV8" t="s">
        <v>289</v>
      </c>
      <c r="ZW8" t="s">
        <v>289</v>
      </c>
      <c r="ZX8" t="s">
        <v>289</v>
      </c>
      <c r="ZY8" t="s">
        <v>289</v>
      </c>
      <c r="ZZ8" t="s">
        <v>289</v>
      </c>
      <c r="AAA8" t="s">
        <v>289</v>
      </c>
      <c r="AAB8" t="s">
        <v>289</v>
      </c>
      <c r="AAC8" t="s">
        <v>289</v>
      </c>
      <c r="AAD8" t="s">
        <v>289</v>
      </c>
      <c r="AAE8" t="s">
        <v>289</v>
      </c>
      <c r="AAF8" t="s">
        <v>289</v>
      </c>
      <c r="AAG8" t="s">
        <v>289</v>
      </c>
      <c r="AAH8" t="s">
        <v>289</v>
      </c>
      <c r="AAI8" t="s">
        <v>289</v>
      </c>
      <c r="AAJ8" t="s">
        <v>289</v>
      </c>
      <c r="AAK8" t="s">
        <v>289</v>
      </c>
      <c r="AAL8" t="s">
        <v>289</v>
      </c>
      <c r="AAM8" t="s">
        <v>289</v>
      </c>
      <c r="AAN8" t="s">
        <v>289</v>
      </c>
      <c r="AAO8" t="s">
        <v>289</v>
      </c>
      <c r="AAP8" t="s">
        <v>289</v>
      </c>
      <c r="AAQ8" t="s">
        <v>289</v>
      </c>
      <c r="AAR8" t="s">
        <v>289</v>
      </c>
      <c r="AAS8" t="s">
        <v>289</v>
      </c>
      <c r="AAT8" t="s">
        <v>289</v>
      </c>
      <c r="AAU8">
        <v>247</v>
      </c>
      <c r="AAV8" t="s">
        <v>289</v>
      </c>
      <c r="AAW8" t="s">
        <v>289</v>
      </c>
      <c r="AAX8" t="s">
        <v>289</v>
      </c>
      <c r="AAY8" t="s">
        <v>289</v>
      </c>
      <c r="AAZ8" t="s">
        <v>289</v>
      </c>
      <c r="ABA8" t="s">
        <v>289</v>
      </c>
      <c r="ABB8" t="s">
        <v>289</v>
      </c>
      <c r="ABC8" t="s">
        <v>289</v>
      </c>
      <c r="ABD8" t="s">
        <v>289</v>
      </c>
      <c r="ABE8" t="s">
        <v>289</v>
      </c>
      <c r="ABF8" t="s">
        <v>289</v>
      </c>
      <c r="ABG8" t="s">
        <v>289</v>
      </c>
      <c r="ABH8" t="s">
        <v>289</v>
      </c>
      <c r="ABI8" t="s">
        <v>289</v>
      </c>
      <c r="ABJ8" t="s">
        <v>289</v>
      </c>
      <c r="ABK8" t="s">
        <v>289</v>
      </c>
      <c r="ABL8" t="s">
        <v>289</v>
      </c>
      <c r="ABM8" t="s">
        <v>289</v>
      </c>
      <c r="ABN8" t="s">
        <v>289</v>
      </c>
      <c r="ABO8" t="s">
        <v>289</v>
      </c>
      <c r="ABP8" t="s">
        <v>289</v>
      </c>
      <c r="ABQ8" t="s">
        <v>289</v>
      </c>
      <c r="ABR8" t="s">
        <v>289</v>
      </c>
      <c r="ABS8" t="s">
        <v>289</v>
      </c>
      <c r="ABT8" t="s">
        <v>289</v>
      </c>
      <c r="ABU8" t="s">
        <v>289</v>
      </c>
      <c r="ABV8" t="s">
        <v>289</v>
      </c>
      <c r="ABW8" t="s">
        <v>289</v>
      </c>
      <c r="ABX8" t="s">
        <v>289</v>
      </c>
      <c r="ABY8" t="s">
        <v>289</v>
      </c>
      <c r="ABZ8" t="s">
        <v>289</v>
      </c>
      <c r="ACA8" t="s">
        <v>289</v>
      </c>
      <c r="ACB8" t="s">
        <v>289</v>
      </c>
      <c r="ACC8" t="s">
        <v>289</v>
      </c>
      <c r="ACD8" t="s">
        <v>289</v>
      </c>
      <c r="ACE8" t="s">
        <v>289</v>
      </c>
      <c r="ACF8" t="s">
        <v>289</v>
      </c>
      <c r="ACG8" t="s">
        <v>289</v>
      </c>
      <c r="ACH8" t="s">
        <v>289</v>
      </c>
      <c r="ACI8" t="s">
        <v>289</v>
      </c>
      <c r="ACJ8" t="s">
        <v>289</v>
      </c>
      <c r="ACK8" t="s">
        <v>289</v>
      </c>
      <c r="ACL8" t="s">
        <v>289</v>
      </c>
      <c r="ACM8" t="s">
        <v>289</v>
      </c>
      <c r="ACN8" t="s">
        <v>289</v>
      </c>
      <c r="ACO8" t="s">
        <v>289</v>
      </c>
      <c r="ACP8" t="s">
        <v>289</v>
      </c>
      <c r="ACQ8" t="s">
        <v>289</v>
      </c>
      <c r="ACR8" t="s">
        <v>289</v>
      </c>
      <c r="ACS8" t="s">
        <v>289</v>
      </c>
      <c r="ACT8" t="s">
        <v>289</v>
      </c>
      <c r="ACU8" t="s">
        <v>289</v>
      </c>
      <c r="ACV8" t="s">
        <v>289</v>
      </c>
      <c r="ACW8" t="s">
        <v>289</v>
      </c>
      <c r="ACX8" t="s">
        <v>289</v>
      </c>
      <c r="ACY8" t="s">
        <v>289</v>
      </c>
      <c r="ACZ8" t="s">
        <v>289</v>
      </c>
      <c r="ADA8" t="s">
        <v>289</v>
      </c>
      <c r="ADB8" t="s">
        <v>289</v>
      </c>
      <c r="ADC8" t="s">
        <v>289</v>
      </c>
      <c r="ADD8" t="s">
        <v>289</v>
      </c>
      <c r="ADE8" t="s">
        <v>289</v>
      </c>
      <c r="ADF8" t="s">
        <v>289</v>
      </c>
      <c r="ADG8" t="s">
        <v>289</v>
      </c>
      <c r="ADH8" t="s">
        <v>289</v>
      </c>
      <c r="ADI8" t="s">
        <v>289</v>
      </c>
      <c r="ADJ8" t="s">
        <v>289</v>
      </c>
      <c r="ADK8" t="s">
        <v>289</v>
      </c>
      <c r="ADL8" t="s">
        <v>289</v>
      </c>
      <c r="ADM8" t="s">
        <v>289</v>
      </c>
      <c r="ADN8" t="s">
        <v>289</v>
      </c>
      <c r="ADO8" t="s">
        <v>289</v>
      </c>
      <c r="ADP8" t="s">
        <v>289</v>
      </c>
      <c r="ADQ8" t="s">
        <v>289</v>
      </c>
      <c r="ADR8" t="s">
        <v>289</v>
      </c>
      <c r="ADS8" t="s">
        <v>289</v>
      </c>
      <c r="ADT8" t="s">
        <v>289</v>
      </c>
      <c r="ADU8" t="s">
        <v>289</v>
      </c>
      <c r="ADV8" t="s">
        <v>289</v>
      </c>
      <c r="ADW8" t="s">
        <v>289</v>
      </c>
      <c r="ADX8" t="s">
        <v>289</v>
      </c>
      <c r="ADY8" t="s">
        <v>289</v>
      </c>
      <c r="ADZ8" t="s">
        <v>289</v>
      </c>
      <c r="AEA8" t="s">
        <v>289</v>
      </c>
      <c r="AEB8" t="s">
        <v>289</v>
      </c>
      <c r="AEC8" t="s">
        <v>289</v>
      </c>
      <c r="AED8" t="s">
        <v>289</v>
      </c>
      <c r="AEE8" t="s">
        <v>289</v>
      </c>
      <c r="AEF8" t="s">
        <v>289</v>
      </c>
      <c r="AEG8" t="s">
        <v>289</v>
      </c>
      <c r="AEH8" t="s">
        <v>289</v>
      </c>
      <c r="AEI8" t="s">
        <v>289</v>
      </c>
      <c r="AEJ8" t="s">
        <v>289</v>
      </c>
      <c r="AEK8" t="s">
        <v>289</v>
      </c>
      <c r="AEL8">
        <v>7074</v>
      </c>
      <c r="AEM8">
        <v>8835</v>
      </c>
      <c r="AEN8">
        <v>9946</v>
      </c>
      <c r="AEO8">
        <v>11422</v>
      </c>
      <c r="AEP8">
        <v>11542</v>
      </c>
      <c r="AEQ8">
        <v>11749</v>
      </c>
      <c r="AER8">
        <v>12447</v>
      </c>
      <c r="AES8">
        <v>12519</v>
      </c>
      <c r="AET8">
        <v>16635</v>
      </c>
      <c r="AEU8" t="s">
        <v>289</v>
      </c>
      <c r="AEV8" t="s">
        <v>289</v>
      </c>
      <c r="AEW8" t="s">
        <v>289</v>
      </c>
      <c r="AEX8" t="s">
        <v>289</v>
      </c>
      <c r="AEY8" t="s">
        <v>289</v>
      </c>
      <c r="AEZ8" t="s">
        <v>289</v>
      </c>
      <c r="AFA8" t="s">
        <v>289</v>
      </c>
      <c r="AFB8" t="s">
        <v>289</v>
      </c>
      <c r="AFC8" t="s">
        <v>289</v>
      </c>
      <c r="AFD8" t="s">
        <v>289</v>
      </c>
      <c r="AFE8" t="s">
        <v>289</v>
      </c>
      <c r="AFF8" t="s">
        <v>289</v>
      </c>
      <c r="AFG8" t="s">
        <v>289</v>
      </c>
      <c r="AFH8" t="s">
        <v>289</v>
      </c>
      <c r="AFI8" t="s">
        <v>289</v>
      </c>
      <c r="AFJ8" t="s">
        <v>289</v>
      </c>
      <c r="AFK8" t="s">
        <v>289</v>
      </c>
      <c r="AFL8" t="s">
        <v>289</v>
      </c>
      <c r="AFM8" t="s">
        <v>289</v>
      </c>
      <c r="AFN8" t="s">
        <v>289</v>
      </c>
      <c r="AFO8" t="s">
        <v>289</v>
      </c>
      <c r="AFP8" t="s">
        <v>289</v>
      </c>
      <c r="AFQ8" t="s">
        <v>289</v>
      </c>
      <c r="AFR8" t="s">
        <v>289</v>
      </c>
      <c r="AFS8" t="s">
        <v>289</v>
      </c>
      <c r="AFT8" t="s">
        <v>289</v>
      </c>
      <c r="AFU8" t="s">
        <v>289</v>
      </c>
      <c r="AFV8" t="s">
        <v>289</v>
      </c>
      <c r="AFW8" t="s">
        <v>289</v>
      </c>
      <c r="AFX8" t="s">
        <v>289</v>
      </c>
      <c r="AFY8">
        <v>114</v>
      </c>
      <c r="AFZ8">
        <v>176</v>
      </c>
      <c r="AGA8">
        <v>359</v>
      </c>
      <c r="AGB8">
        <v>508</v>
      </c>
      <c r="AGC8">
        <v>556</v>
      </c>
      <c r="AGD8">
        <v>757</v>
      </c>
      <c r="AGE8">
        <v>798</v>
      </c>
      <c r="AGF8">
        <v>607</v>
      </c>
      <c r="AGG8" t="s">
        <v>289</v>
      </c>
      <c r="AGH8" t="s">
        <v>289</v>
      </c>
      <c r="AGI8" t="s">
        <v>289</v>
      </c>
      <c r="AGJ8" t="s">
        <v>289</v>
      </c>
      <c r="AGK8" t="s">
        <v>289</v>
      </c>
      <c r="AGL8" t="s">
        <v>289</v>
      </c>
      <c r="AGM8" t="s">
        <v>289</v>
      </c>
      <c r="AGN8" t="s">
        <v>289</v>
      </c>
      <c r="AGO8" t="s">
        <v>289</v>
      </c>
      <c r="AGP8" t="s">
        <v>289</v>
      </c>
      <c r="AGQ8" t="s">
        <v>289</v>
      </c>
      <c r="AGR8">
        <v>1044</v>
      </c>
      <c r="AGS8">
        <v>583</v>
      </c>
      <c r="AGT8">
        <v>674</v>
      </c>
      <c r="AGU8">
        <v>749</v>
      </c>
      <c r="AGV8">
        <v>1555</v>
      </c>
      <c r="AGW8">
        <v>2470</v>
      </c>
      <c r="AGX8">
        <v>1816</v>
      </c>
      <c r="AGY8">
        <v>105</v>
      </c>
      <c r="AGZ8" t="s">
        <v>289</v>
      </c>
      <c r="AHA8" t="s">
        <v>289</v>
      </c>
      <c r="AHB8" t="s">
        <v>289</v>
      </c>
      <c r="AHC8" t="s">
        <v>289</v>
      </c>
      <c r="AHD8" t="s">
        <v>289</v>
      </c>
      <c r="AHE8" t="s">
        <v>289</v>
      </c>
      <c r="AHF8" t="s">
        <v>289</v>
      </c>
      <c r="AHG8" t="s">
        <v>289</v>
      </c>
      <c r="AHH8" t="s">
        <v>289</v>
      </c>
      <c r="AHI8" t="s">
        <v>289</v>
      </c>
      <c r="AHJ8" t="s">
        <v>289</v>
      </c>
      <c r="AHK8" t="s">
        <v>289</v>
      </c>
      <c r="AHL8" t="s">
        <v>289</v>
      </c>
      <c r="AHM8" t="s">
        <v>289</v>
      </c>
      <c r="AHN8" t="s">
        <v>289</v>
      </c>
      <c r="AHO8" t="s">
        <v>289</v>
      </c>
      <c r="AHP8" t="s">
        <v>289</v>
      </c>
      <c r="AHQ8" t="s">
        <v>289</v>
      </c>
      <c r="AHR8" t="s">
        <v>289</v>
      </c>
      <c r="AHS8" t="s">
        <v>289</v>
      </c>
      <c r="AHT8" t="s">
        <v>289</v>
      </c>
      <c r="AHU8" t="s">
        <v>289</v>
      </c>
      <c r="AHV8" t="s">
        <v>289</v>
      </c>
      <c r="AHW8" t="s">
        <v>289</v>
      </c>
      <c r="AHX8" t="s">
        <v>289</v>
      </c>
      <c r="AHY8" t="s">
        <v>289</v>
      </c>
      <c r="AHZ8" t="s">
        <v>289</v>
      </c>
      <c r="AIA8" t="s">
        <v>289</v>
      </c>
      <c r="AIB8" t="s">
        <v>289</v>
      </c>
      <c r="AIC8">
        <v>105</v>
      </c>
      <c r="AID8" t="s">
        <v>289</v>
      </c>
      <c r="AIE8" t="s">
        <v>289</v>
      </c>
      <c r="AIF8" t="s">
        <v>289</v>
      </c>
      <c r="AIG8" t="s">
        <v>289</v>
      </c>
      <c r="AIH8" t="s">
        <v>289</v>
      </c>
      <c r="AII8" t="s">
        <v>289</v>
      </c>
      <c r="AIJ8" t="s">
        <v>289</v>
      </c>
      <c r="AIK8" t="s">
        <v>289</v>
      </c>
      <c r="AIL8" t="s">
        <v>289</v>
      </c>
      <c r="AIM8" t="s">
        <v>289</v>
      </c>
      <c r="AIN8" t="s">
        <v>289</v>
      </c>
      <c r="AIO8" t="s">
        <v>289</v>
      </c>
      <c r="AIP8" t="s">
        <v>289</v>
      </c>
      <c r="AIQ8" t="s">
        <v>289</v>
      </c>
      <c r="AIR8" t="s">
        <v>289</v>
      </c>
      <c r="AIS8" t="s">
        <v>289</v>
      </c>
      <c r="AIT8" t="s">
        <v>289</v>
      </c>
      <c r="AIU8" t="s">
        <v>289</v>
      </c>
      <c r="AIV8">
        <v>23233</v>
      </c>
      <c r="AIW8">
        <v>26408</v>
      </c>
      <c r="AIX8">
        <v>27454</v>
      </c>
      <c r="AIY8">
        <v>30431</v>
      </c>
      <c r="AIZ8">
        <v>29014</v>
      </c>
      <c r="AJA8">
        <v>26307</v>
      </c>
      <c r="AJB8">
        <v>28608</v>
      </c>
      <c r="AJC8">
        <v>27582</v>
      </c>
      <c r="AJD8">
        <v>35488</v>
      </c>
      <c r="AJE8" t="s">
        <v>289</v>
      </c>
      <c r="AJF8" t="s">
        <v>289</v>
      </c>
      <c r="AJG8" t="s">
        <v>289</v>
      </c>
      <c r="AJH8" t="s">
        <v>289</v>
      </c>
      <c r="AJI8" t="s">
        <v>289</v>
      </c>
      <c r="AJJ8" t="s">
        <v>289</v>
      </c>
      <c r="AJK8" t="s">
        <v>289</v>
      </c>
      <c r="AJL8" t="s">
        <v>289</v>
      </c>
      <c r="AJM8" t="s">
        <v>289</v>
      </c>
      <c r="AJN8" t="s">
        <v>289</v>
      </c>
      <c r="AJO8" t="s">
        <v>289</v>
      </c>
      <c r="AJP8" t="s">
        <v>289</v>
      </c>
      <c r="AJQ8" t="s">
        <v>289</v>
      </c>
      <c r="AJR8" t="s">
        <v>289</v>
      </c>
      <c r="AJS8">
        <v>105730</v>
      </c>
      <c r="AJT8">
        <v>110412</v>
      </c>
      <c r="AJU8">
        <v>108187</v>
      </c>
      <c r="AJV8">
        <v>133882</v>
      </c>
      <c r="AJW8">
        <v>152119</v>
      </c>
      <c r="AJX8" t="s">
        <v>289</v>
      </c>
      <c r="AJY8" t="s">
        <v>289</v>
      </c>
      <c r="AJZ8" t="s">
        <v>289</v>
      </c>
      <c r="AKA8" t="s">
        <v>289</v>
      </c>
      <c r="AKB8" t="s">
        <v>289</v>
      </c>
      <c r="AKC8" t="s">
        <v>289</v>
      </c>
      <c r="AKD8" t="s">
        <v>289</v>
      </c>
      <c r="AKE8" t="s">
        <v>289</v>
      </c>
      <c r="AKF8" t="s">
        <v>289</v>
      </c>
      <c r="AKG8" t="s">
        <v>289</v>
      </c>
      <c r="AKH8" t="s">
        <v>289</v>
      </c>
      <c r="AKI8" t="s">
        <v>289</v>
      </c>
      <c r="AKJ8" t="s">
        <v>289</v>
      </c>
      <c r="AKK8" t="s">
        <v>289</v>
      </c>
      <c r="AKL8" t="s">
        <v>289</v>
      </c>
      <c r="AKM8" t="s">
        <v>289</v>
      </c>
      <c r="AKN8" t="s">
        <v>289</v>
      </c>
      <c r="AKO8" t="s">
        <v>289</v>
      </c>
      <c r="AKP8" t="s">
        <v>289</v>
      </c>
      <c r="AKQ8" t="s">
        <v>289</v>
      </c>
      <c r="AKR8" t="s">
        <v>289</v>
      </c>
      <c r="AKS8" t="s">
        <v>289</v>
      </c>
      <c r="AKT8" t="s">
        <v>289</v>
      </c>
      <c r="AKU8" t="s">
        <v>289</v>
      </c>
      <c r="AKV8" t="s">
        <v>289</v>
      </c>
      <c r="AKW8" t="s">
        <v>289</v>
      </c>
      <c r="AKX8" t="s">
        <v>289</v>
      </c>
      <c r="AKY8" t="s">
        <v>289</v>
      </c>
      <c r="AKZ8" t="s">
        <v>289</v>
      </c>
      <c r="ALA8">
        <v>87214</v>
      </c>
      <c r="ALB8">
        <v>101149</v>
      </c>
      <c r="ALC8">
        <v>105753</v>
      </c>
      <c r="ALD8">
        <v>104343</v>
      </c>
      <c r="ALE8">
        <v>96299</v>
      </c>
      <c r="ALF8">
        <v>96873</v>
      </c>
      <c r="ALG8">
        <v>98044</v>
      </c>
      <c r="ALH8">
        <v>99730</v>
      </c>
      <c r="ALI8">
        <v>171766</v>
      </c>
      <c r="ALJ8" t="s">
        <v>289</v>
      </c>
      <c r="ALK8" t="s">
        <v>289</v>
      </c>
      <c r="ALL8" t="s">
        <v>289</v>
      </c>
      <c r="ALM8" t="s">
        <v>289</v>
      </c>
      <c r="ALN8" t="s">
        <v>289</v>
      </c>
      <c r="ALO8" t="s">
        <v>289</v>
      </c>
      <c r="ALP8" t="s">
        <v>289</v>
      </c>
      <c r="ALQ8" t="s">
        <v>289</v>
      </c>
      <c r="ALR8" t="s">
        <v>289</v>
      </c>
      <c r="ALS8" t="s">
        <v>289</v>
      </c>
      <c r="ALT8">
        <v>39407</v>
      </c>
      <c r="ALU8">
        <v>44173</v>
      </c>
      <c r="ALV8">
        <v>46041</v>
      </c>
      <c r="ALW8">
        <v>39722</v>
      </c>
      <c r="ALX8">
        <v>36274</v>
      </c>
      <c r="ALY8">
        <v>38292</v>
      </c>
      <c r="ALZ8">
        <v>34932</v>
      </c>
      <c r="AMA8">
        <v>40053</v>
      </c>
      <c r="AMB8">
        <v>74795</v>
      </c>
      <c r="AMC8" t="s">
        <v>289</v>
      </c>
      <c r="AMD8" t="s">
        <v>289</v>
      </c>
      <c r="AME8" t="s">
        <v>289</v>
      </c>
      <c r="AMF8" t="s">
        <v>289</v>
      </c>
      <c r="AMG8" t="s">
        <v>289</v>
      </c>
      <c r="AMH8" t="s">
        <v>289</v>
      </c>
      <c r="AMI8" t="s">
        <v>289</v>
      </c>
      <c r="AMJ8" t="s">
        <v>289</v>
      </c>
      <c r="AMK8" t="s">
        <v>289</v>
      </c>
      <c r="AML8" t="s">
        <v>289</v>
      </c>
      <c r="AMM8" t="s">
        <v>289</v>
      </c>
      <c r="AMN8">
        <v>43385</v>
      </c>
      <c r="AMO8">
        <v>49604</v>
      </c>
      <c r="AMP8">
        <v>49469</v>
      </c>
      <c r="AMQ8">
        <v>47269</v>
      </c>
      <c r="AMR8">
        <v>46474</v>
      </c>
      <c r="AMS8">
        <v>43354</v>
      </c>
      <c r="AMT8">
        <v>39037</v>
      </c>
      <c r="AMU8">
        <v>64857</v>
      </c>
      <c r="AMV8" t="s">
        <v>289</v>
      </c>
      <c r="AMW8" t="s">
        <v>289</v>
      </c>
      <c r="AMX8" t="s">
        <v>289</v>
      </c>
      <c r="AMY8" t="s">
        <v>289</v>
      </c>
      <c r="AMZ8" t="s">
        <v>289</v>
      </c>
      <c r="ANA8" t="s">
        <v>289</v>
      </c>
      <c r="ANB8" t="s">
        <v>289</v>
      </c>
      <c r="ANC8" t="s">
        <v>289</v>
      </c>
      <c r="AND8" t="s">
        <v>289</v>
      </c>
      <c r="ANE8" t="s">
        <v>289</v>
      </c>
      <c r="ANF8" t="s">
        <v>289</v>
      </c>
      <c r="ANG8" t="s">
        <v>289</v>
      </c>
      <c r="ANH8" t="s">
        <v>289</v>
      </c>
      <c r="ANI8" t="s">
        <v>289</v>
      </c>
      <c r="ANJ8" t="s">
        <v>289</v>
      </c>
      <c r="ANK8" t="s">
        <v>289</v>
      </c>
      <c r="ANL8" t="s">
        <v>289</v>
      </c>
      <c r="ANM8" t="s">
        <v>289</v>
      </c>
      <c r="ANN8" t="s">
        <v>289</v>
      </c>
      <c r="ANO8" t="s">
        <v>289</v>
      </c>
      <c r="ANP8" t="s">
        <v>289</v>
      </c>
      <c r="ANQ8" t="s">
        <v>289</v>
      </c>
      <c r="ANR8" t="s">
        <v>289</v>
      </c>
      <c r="ANS8" t="s">
        <v>289</v>
      </c>
      <c r="ANT8" t="s">
        <v>289</v>
      </c>
      <c r="ANU8" t="s">
        <v>289</v>
      </c>
      <c r="ANV8" t="s">
        <v>289</v>
      </c>
      <c r="ANW8" t="s">
        <v>289</v>
      </c>
      <c r="ANX8" t="s">
        <v>289</v>
      </c>
      <c r="ANY8" t="s">
        <v>289</v>
      </c>
      <c r="ANZ8" t="s">
        <v>289</v>
      </c>
      <c r="AOA8" t="s">
        <v>289</v>
      </c>
      <c r="AOB8" t="s">
        <v>289</v>
      </c>
      <c r="AOC8" t="s">
        <v>289</v>
      </c>
      <c r="AOD8" t="s">
        <v>289</v>
      </c>
      <c r="AOE8" t="s">
        <v>289</v>
      </c>
      <c r="AOF8" t="s">
        <v>289</v>
      </c>
      <c r="AOG8" t="s">
        <v>289</v>
      </c>
      <c r="AOH8" t="s">
        <v>289</v>
      </c>
      <c r="AOI8" t="s">
        <v>289</v>
      </c>
      <c r="AOJ8" t="s">
        <v>289</v>
      </c>
      <c r="AOK8" t="s">
        <v>289</v>
      </c>
      <c r="AOL8" t="s">
        <v>289</v>
      </c>
      <c r="AOM8" t="s">
        <v>289</v>
      </c>
      <c r="AON8" t="s">
        <v>289</v>
      </c>
      <c r="AOO8" t="s">
        <v>289</v>
      </c>
      <c r="AOP8" t="s">
        <v>289</v>
      </c>
      <c r="AOQ8" t="s">
        <v>289</v>
      </c>
      <c r="AOR8" t="s">
        <v>289</v>
      </c>
      <c r="AOS8" t="s">
        <v>289</v>
      </c>
      <c r="AOT8" t="s">
        <v>289</v>
      </c>
      <c r="AOU8" t="s">
        <v>289</v>
      </c>
      <c r="AOV8" t="s">
        <v>289</v>
      </c>
      <c r="AOW8" t="s">
        <v>289</v>
      </c>
      <c r="AOX8" t="s">
        <v>289</v>
      </c>
      <c r="AOY8" t="s">
        <v>289</v>
      </c>
      <c r="AOZ8" t="s">
        <v>289</v>
      </c>
      <c r="APA8" t="s">
        <v>289</v>
      </c>
      <c r="APB8" t="s">
        <v>289</v>
      </c>
      <c r="APC8" t="s">
        <v>289</v>
      </c>
      <c r="APD8" t="s">
        <v>289</v>
      </c>
      <c r="APE8" t="s">
        <v>289</v>
      </c>
      <c r="APF8" t="s">
        <v>289</v>
      </c>
      <c r="APG8" t="s">
        <v>289</v>
      </c>
      <c r="APH8" t="s">
        <v>289</v>
      </c>
      <c r="API8" t="s">
        <v>289</v>
      </c>
      <c r="APJ8" t="s">
        <v>289</v>
      </c>
      <c r="APK8">
        <v>1148</v>
      </c>
      <c r="APL8" t="s">
        <v>289</v>
      </c>
      <c r="APM8">
        <v>1664</v>
      </c>
      <c r="APN8">
        <v>1758</v>
      </c>
      <c r="APO8">
        <v>1856</v>
      </c>
      <c r="APP8">
        <v>1972</v>
      </c>
      <c r="APQ8">
        <v>1832</v>
      </c>
      <c r="APR8" t="s">
        <v>289</v>
      </c>
      <c r="APS8" t="s">
        <v>289</v>
      </c>
      <c r="APT8" t="s">
        <v>289</v>
      </c>
      <c r="APU8" t="s">
        <v>289</v>
      </c>
      <c r="APV8" t="s">
        <v>289</v>
      </c>
      <c r="APW8" t="s">
        <v>289</v>
      </c>
      <c r="APX8" t="s">
        <v>289</v>
      </c>
      <c r="APY8" t="s">
        <v>289</v>
      </c>
      <c r="APZ8" t="s">
        <v>289</v>
      </c>
      <c r="AQA8" t="s">
        <v>289</v>
      </c>
      <c r="AQB8" t="s">
        <v>289</v>
      </c>
      <c r="AQC8" t="s">
        <v>289</v>
      </c>
      <c r="AQD8" t="s">
        <v>289</v>
      </c>
      <c r="AQE8" t="s">
        <v>289</v>
      </c>
      <c r="AQF8" t="s">
        <v>289</v>
      </c>
      <c r="AQG8" t="s">
        <v>289</v>
      </c>
      <c r="AQH8" t="s">
        <v>289</v>
      </c>
      <c r="AQI8" t="s">
        <v>289</v>
      </c>
      <c r="AQJ8" t="s">
        <v>289</v>
      </c>
      <c r="AQK8" t="s">
        <v>289</v>
      </c>
      <c r="AQL8" t="s">
        <v>289</v>
      </c>
      <c r="AQM8" t="s">
        <v>289</v>
      </c>
      <c r="AQN8" t="s">
        <v>289</v>
      </c>
      <c r="AQO8" t="s">
        <v>289</v>
      </c>
      <c r="AQP8" t="s">
        <v>289</v>
      </c>
      <c r="AQQ8" t="s">
        <v>289</v>
      </c>
      <c r="AQR8" t="s">
        <v>289</v>
      </c>
      <c r="AQS8" t="s">
        <v>289</v>
      </c>
      <c r="AQT8" t="s">
        <v>289</v>
      </c>
      <c r="AQU8" t="s">
        <v>289</v>
      </c>
      <c r="AQV8" t="s">
        <v>289</v>
      </c>
      <c r="AQW8" t="s">
        <v>289</v>
      </c>
      <c r="AQX8" t="s">
        <v>289</v>
      </c>
      <c r="AQY8" t="s">
        <v>289</v>
      </c>
      <c r="AQZ8" t="s">
        <v>289</v>
      </c>
      <c r="ARA8">
        <v>1856</v>
      </c>
      <c r="ARB8">
        <v>1972</v>
      </c>
      <c r="ARC8">
        <v>1832</v>
      </c>
      <c r="ARD8" t="s">
        <v>289</v>
      </c>
      <c r="ARE8" t="s">
        <v>289</v>
      </c>
      <c r="ARF8" t="s">
        <v>289</v>
      </c>
      <c r="ARG8" t="s">
        <v>289</v>
      </c>
      <c r="ARH8" t="s">
        <v>289</v>
      </c>
      <c r="ARI8" t="s">
        <v>289</v>
      </c>
      <c r="ARJ8" t="s">
        <v>289</v>
      </c>
      <c r="ARK8" t="s">
        <v>289</v>
      </c>
      <c r="ARL8" t="s">
        <v>289</v>
      </c>
      <c r="ARM8" t="s">
        <v>289</v>
      </c>
      <c r="ARN8" t="s">
        <v>289</v>
      </c>
      <c r="ARO8" t="s">
        <v>289</v>
      </c>
      <c r="ARP8" t="s">
        <v>289</v>
      </c>
      <c r="ARQ8" t="s">
        <v>289</v>
      </c>
      <c r="ARR8" t="s">
        <v>289</v>
      </c>
      <c r="ARS8" t="s">
        <v>289</v>
      </c>
      <c r="ART8" t="s">
        <v>289</v>
      </c>
      <c r="ARU8" t="s">
        <v>289</v>
      </c>
      <c r="ARV8" t="s">
        <v>289</v>
      </c>
      <c r="ARW8" t="s">
        <v>289</v>
      </c>
      <c r="ARX8" t="s">
        <v>289</v>
      </c>
      <c r="ARY8" t="s">
        <v>289</v>
      </c>
      <c r="ARZ8" t="s">
        <v>289</v>
      </c>
      <c r="ASA8" t="s">
        <v>289</v>
      </c>
      <c r="ASB8" t="s">
        <v>289</v>
      </c>
      <c r="ASC8" t="s">
        <v>289</v>
      </c>
      <c r="ASD8" t="s">
        <v>289</v>
      </c>
      <c r="ASE8" t="s">
        <v>289</v>
      </c>
      <c r="ASF8" t="s">
        <v>289</v>
      </c>
      <c r="ASG8" t="s">
        <v>289</v>
      </c>
      <c r="ASH8" t="s">
        <v>289</v>
      </c>
      <c r="ASI8" t="s">
        <v>289</v>
      </c>
      <c r="ASJ8" t="s">
        <v>289</v>
      </c>
      <c r="ASK8" t="s">
        <v>289</v>
      </c>
      <c r="ASL8" t="s">
        <v>289</v>
      </c>
      <c r="ASM8" t="s">
        <v>289</v>
      </c>
      <c r="ASN8" t="s">
        <v>289</v>
      </c>
      <c r="ASO8" t="s">
        <v>289</v>
      </c>
      <c r="ASP8" t="s">
        <v>289</v>
      </c>
      <c r="ASQ8" t="s">
        <v>289</v>
      </c>
      <c r="ASR8" t="s">
        <v>289</v>
      </c>
      <c r="ASS8" t="s">
        <v>289</v>
      </c>
      <c r="AST8" t="s">
        <v>289</v>
      </c>
      <c r="ASU8" t="s">
        <v>289</v>
      </c>
      <c r="ASV8" t="s">
        <v>289</v>
      </c>
      <c r="ASW8" t="s">
        <v>289</v>
      </c>
      <c r="ASX8" t="s">
        <v>289</v>
      </c>
      <c r="ASY8" t="s">
        <v>289</v>
      </c>
      <c r="ASZ8" t="s">
        <v>289</v>
      </c>
      <c r="ATA8" t="s">
        <v>289</v>
      </c>
      <c r="ATB8" t="s">
        <v>289</v>
      </c>
      <c r="ATC8" t="s">
        <v>289</v>
      </c>
      <c r="ATD8" t="s">
        <v>289</v>
      </c>
      <c r="ATE8" t="s">
        <v>289</v>
      </c>
      <c r="ATF8" t="s">
        <v>289</v>
      </c>
      <c r="ATG8" t="s">
        <v>289</v>
      </c>
      <c r="ATH8" t="s">
        <v>289</v>
      </c>
      <c r="ATI8" t="s">
        <v>289</v>
      </c>
      <c r="ATJ8" t="s">
        <v>289</v>
      </c>
      <c r="ATK8" t="s">
        <v>289</v>
      </c>
      <c r="ATL8" t="s">
        <v>289</v>
      </c>
      <c r="ATM8" t="s">
        <v>289</v>
      </c>
      <c r="ATN8" t="s">
        <v>289</v>
      </c>
      <c r="ATO8" t="s">
        <v>289</v>
      </c>
      <c r="ATP8" t="s">
        <v>289</v>
      </c>
      <c r="ATQ8" t="s">
        <v>289</v>
      </c>
      <c r="ATR8" t="s">
        <v>289</v>
      </c>
      <c r="ATS8" t="s">
        <v>289</v>
      </c>
      <c r="ATT8" t="s">
        <v>289</v>
      </c>
      <c r="ATU8" t="s">
        <v>289</v>
      </c>
      <c r="ATV8" t="s">
        <v>289</v>
      </c>
      <c r="ATW8" t="s">
        <v>289</v>
      </c>
      <c r="ATX8" t="s">
        <v>289</v>
      </c>
      <c r="ATY8" t="s">
        <v>289</v>
      </c>
      <c r="ATZ8" t="s">
        <v>289</v>
      </c>
      <c r="AUA8" t="s">
        <v>289</v>
      </c>
      <c r="AUB8" t="s">
        <v>289</v>
      </c>
      <c r="AUC8" t="s">
        <v>289</v>
      </c>
      <c r="AUD8" t="s">
        <v>289</v>
      </c>
      <c r="AUE8" t="s">
        <v>289</v>
      </c>
      <c r="AUF8" t="s">
        <v>289</v>
      </c>
      <c r="AUG8" t="s">
        <v>289</v>
      </c>
      <c r="AUH8" t="s">
        <v>289</v>
      </c>
      <c r="AUI8" t="s">
        <v>289</v>
      </c>
      <c r="AUJ8" t="s">
        <v>289</v>
      </c>
      <c r="AUK8" t="s">
        <v>289</v>
      </c>
      <c r="AUL8" t="s">
        <v>289</v>
      </c>
      <c r="AUM8" t="s">
        <v>289</v>
      </c>
      <c r="AUN8" t="s">
        <v>289</v>
      </c>
      <c r="AUO8" t="s">
        <v>289</v>
      </c>
      <c r="AUP8" t="s">
        <v>289</v>
      </c>
      <c r="AUQ8" t="s">
        <v>289</v>
      </c>
      <c r="AUR8" t="s">
        <v>289</v>
      </c>
      <c r="AUS8" t="s">
        <v>289</v>
      </c>
      <c r="AUT8" t="s">
        <v>289</v>
      </c>
      <c r="AUU8" t="s">
        <v>289</v>
      </c>
      <c r="AUV8" t="s">
        <v>289</v>
      </c>
      <c r="AUW8" t="s">
        <v>289</v>
      </c>
      <c r="AUX8" t="s">
        <v>289</v>
      </c>
      <c r="AUY8" t="s">
        <v>289</v>
      </c>
      <c r="AUZ8" t="s">
        <v>289</v>
      </c>
      <c r="AVA8" t="s">
        <v>289</v>
      </c>
      <c r="AVB8" t="s">
        <v>289</v>
      </c>
      <c r="AVC8" t="s">
        <v>289</v>
      </c>
      <c r="AVD8" t="s">
        <v>289</v>
      </c>
      <c r="AVE8" t="s">
        <v>289</v>
      </c>
      <c r="AVF8" t="s">
        <v>289</v>
      </c>
      <c r="AVG8" t="s">
        <v>289</v>
      </c>
      <c r="AVH8" t="s">
        <v>289</v>
      </c>
      <c r="AVI8" t="s">
        <v>289</v>
      </c>
      <c r="AVJ8" t="s">
        <v>289</v>
      </c>
      <c r="AVK8" t="s">
        <v>289</v>
      </c>
      <c r="AVL8" t="s">
        <v>289</v>
      </c>
      <c r="AVM8" t="s">
        <v>289</v>
      </c>
      <c r="AVN8" t="s">
        <v>289</v>
      </c>
      <c r="AVO8" t="s">
        <v>289</v>
      </c>
      <c r="AVP8" t="s">
        <v>289</v>
      </c>
      <c r="AVQ8" t="s">
        <v>289</v>
      </c>
      <c r="AVR8" t="s">
        <v>289</v>
      </c>
      <c r="AVS8" t="s">
        <v>289</v>
      </c>
      <c r="AVT8" t="s">
        <v>289</v>
      </c>
      <c r="AVU8" t="s">
        <v>289</v>
      </c>
      <c r="AVV8" t="s">
        <v>289</v>
      </c>
      <c r="AVW8" t="s">
        <v>289</v>
      </c>
      <c r="AVX8" t="s">
        <v>289</v>
      </c>
      <c r="AVY8" t="s">
        <v>289</v>
      </c>
      <c r="AVZ8" t="s">
        <v>289</v>
      </c>
      <c r="AWA8" t="s">
        <v>289</v>
      </c>
      <c r="AWB8" t="s">
        <v>289</v>
      </c>
      <c r="AWC8" t="s">
        <v>289</v>
      </c>
      <c r="AWD8" t="s">
        <v>289</v>
      </c>
      <c r="AWE8" t="s">
        <v>289</v>
      </c>
      <c r="AWF8" t="s">
        <v>289</v>
      </c>
      <c r="AWG8" t="s">
        <v>289</v>
      </c>
      <c r="AWH8" t="s">
        <v>289</v>
      </c>
      <c r="AWI8" t="s">
        <v>289</v>
      </c>
      <c r="AWJ8" t="s">
        <v>289</v>
      </c>
      <c r="AWK8" t="s">
        <v>289</v>
      </c>
      <c r="AWL8" t="s">
        <v>289</v>
      </c>
      <c r="AWM8" t="s">
        <v>289</v>
      </c>
      <c r="AWN8" t="s">
        <v>289</v>
      </c>
      <c r="AWO8" t="s">
        <v>289</v>
      </c>
      <c r="AWP8" t="s">
        <v>289</v>
      </c>
      <c r="AWQ8" t="s">
        <v>289</v>
      </c>
      <c r="AWR8" t="s">
        <v>289</v>
      </c>
      <c r="AWS8" t="s">
        <v>289</v>
      </c>
      <c r="AWT8" t="s">
        <v>289</v>
      </c>
      <c r="AWU8" t="s">
        <v>289</v>
      </c>
      <c r="AWV8" t="s">
        <v>289</v>
      </c>
      <c r="AWW8" t="s">
        <v>289</v>
      </c>
      <c r="AWX8" t="s">
        <v>289</v>
      </c>
      <c r="AWY8" t="s">
        <v>289</v>
      </c>
      <c r="AWZ8" t="s">
        <v>289</v>
      </c>
      <c r="AXA8" t="s">
        <v>289</v>
      </c>
      <c r="AXB8" t="s">
        <v>289</v>
      </c>
      <c r="AXC8" t="s">
        <v>289</v>
      </c>
      <c r="AXD8" t="s">
        <v>289</v>
      </c>
      <c r="AXE8" t="s">
        <v>289</v>
      </c>
      <c r="AXF8" t="s">
        <v>289</v>
      </c>
      <c r="AXG8" t="s">
        <v>289</v>
      </c>
      <c r="AXH8" t="s">
        <v>289</v>
      </c>
      <c r="AXI8" t="s">
        <v>289</v>
      </c>
      <c r="AXJ8" t="s">
        <v>289</v>
      </c>
      <c r="AXK8" t="s">
        <v>289</v>
      </c>
      <c r="AXL8" t="s">
        <v>289</v>
      </c>
      <c r="AXM8">
        <v>4607</v>
      </c>
      <c r="AXN8" t="s">
        <v>289</v>
      </c>
      <c r="AXO8" t="s">
        <v>289</v>
      </c>
      <c r="AXP8">
        <v>5474</v>
      </c>
      <c r="AXQ8">
        <v>5507</v>
      </c>
      <c r="AXR8">
        <v>5445</v>
      </c>
      <c r="AXS8" t="s">
        <v>289</v>
      </c>
      <c r="AXT8" t="s">
        <v>289</v>
      </c>
      <c r="AXU8" t="s">
        <v>289</v>
      </c>
      <c r="AXV8" t="s">
        <v>289</v>
      </c>
      <c r="AXW8" t="s">
        <v>289</v>
      </c>
      <c r="AXX8" t="s">
        <v>289</v>
      </c>
      <c r="AXY8" t="s">
        <v>289</v>
      </c>
      <c r="AXZ8" t="s">
        <v>289</v>
      </c>
      <c r="AYA8" t="s">
        <v>289</v>
      </c>
      <c r="AYB8" t="s">
        <v>289</v>
      </c>
      <c r="AYC8" t="s">
        <v>289</v>
      </c>
      <c r="AYD8" t="s">
        <v>289</v>
      </c>
      <c r="AYE8" t="s">
        <v>289</v>
      </c>
      <c r="AYF8" t="s">
        <v>289</v>
      </c>
      <c r="AYG8" t="s">
        <v>289</v>
      </c>
      <c r="AYH8" t="s">
        <v>289</v>
      </c>
      <c r="AYI8" t="s">
        <v>289</v>
      </c>
      <c r="AYJ8" t="s">
        <v>289</v>
      </c>
      <c r="AYK8" t="s">
        <v>289</v>
      </c>
      <c r="AYL8" t="s">
        <v>289</v>
      </c>
      <c r="AYM8" t="s">
        <v>289</v>
      </c>
      <c r="AYN8" t="s">
        <v>289</v>
      </c>
      <c r="AYO8" t="s">
        <v>289</v>
      </c>
      <c r="AYP8" t="s">
        <v>289</v>
      </c>
      <c r="AYQ8" t="s">
        <v>289</v>
      </c>
      <c r="AYR8" t="s">
        <v>289</v>
      </c>
      <c r="AYS8" t="s">
        <v>289</v>
      </c>
      <c r="AYT8" t="s">
        <v>289</v>
      </c>
      <c r="AYU8" t="s">
        <v>289</v>
      </c>
      <c r="AYV8" t="s">
        <v>289</v>
      </c>
      <c r="AYW8" t="s">
        <v>289</v>
      </c>
      <c r="AYX8" t="s">
        <v>289</v>
      </c>
      <c r="AYY8" t="s">
        <v>289</v>
      </c>
      <c r="AYZ8" t="s">
        <v>289</v>
      </c>
      <c r="AZA8" t="s">
        <v>289</v>
      </c>
      <c r="AZB8" t="s">
        <v>289</v>
      </c>
      <c r="AZC8" t="s">
        <v>289</v>
      </c>
      <c r="AZD8" t="s">
        <v>289</v>
      </c>
      <c r="AZE8" t="s">
        <v>289</v>
      </c>
      <c r="AZF8" t="s">
        <v>289</v>
      </c>
      <c r="AZG8" t="s">
        <v>289</v>
      </c>
      <c r="AZH8" t="s">
        <v>289</v>
      </c>
      <c r="AZI8" t="s">
        <v>289</v>
      </c>
      <c r="AZJ8" t="s">
        <v>289</v>
      </c>
      <c r="AZK8" t="s">
        <v>289</v>
      </c>
      <c r="AZL8" t="s">
        <v>289</v>
      </c>
      <c r="AZM8" t="s">
        <v>289</v>
      </c>
      <c r="AZN8" t="s">
        <v>289</v>
      </c>
      <c r="AZO8" t="s">
        <v>289</v>
      </c>
      <c r="AZP8" t="s">
        <v>289</v>
      </c>
      <c r="AZQ8">
        <v>7074</v>
      </c>
      <c r="AZR8" t="s">
        <v>289</v>
      </c>
      <c r="AZS8">
        <v>9946</v>
      </c>
      <c r="AZT8">
        <v>11422</v>
      </c>
      <c r="AZU8">
        <v>11542</v>
      </c>
      <c r="AZV8">
        <v>10112</v>
      </c>
      <c r="AZW8">
        <v>1940</v>
      </c>
      <c r="AZX8">
        <v>1961</v>
      </c>
      <c r="AZY8">
        <v>2647</v>
      </c>
      <c r="AZZ8" t="s">
        <v>289</v>
      </c>
      <c r="BAA8" t="s">
        <v>289</v>
      </c>
      <c r="BAB8" t="s">
        <v>289</v>
      </c>
      <c r="BAC8" t="s">
        <v>289</v>
      </c>
      <c r="BAD8" t="s">
        <v>289</v>
      </c>
      <c r="BAE8" t="s">
        <v>289</v>
      </c>
      <c r="BAF8" t="s">
        <v>289</v>
      </c>
      <c r="BAG8" t="s">
        <v>289</v>
      </c>
      <c r="BAH8" t="s">
        <v>289</v>
      </c>
      <c r="BAI8" t="s">
        <v>289</v>
      </c>
      <c r="BAJ8" t="s">
        <v>289</v>
      </c>
      <c r="BAK8" t="s">
        <v>289</v>
      </c>
      <c r="BAL8" t="s">
        <v>289</v>
      </c>
      <c r="BAM8" t="s">
        <v>289</v>
      </c>
      <c r="BAN8" t="s">
        <v>289</v>
      </c>
      <c r="BAO8" t="s">
        <v>289</v>
      </c>
      <c r="BAP8" t="s">
        <v>289</v>
      </c>
      <c r="BAQ8" t="s">
        <v>289</v>
      </c>
      <c r="BAR8" t="s">
        <v>289</v>
      </c>
      <c r="BAS8" t="s">
        <v>289</v>
      </c>
      <c r="BAT8" t="s">
        <v>289</v>
      </c>
      <c r="BAU8" t="s">
        <v>289</v>
      </c>
      <c r="BAV8" t="s">
        <v>289</v>
      </c>
      <c r="BAW8" t="s">
        <v>289</v>
      </c>
      <c r="BAX8" t="s">
        <v>289</v>
      </c>
      <c r="BAY8" t="s">
        <v>289</v>
      </c>
      <c r="BAZ8" t="s">
        <v>289</v>
      </c>
      <c r="BBA8" t="s">
        <v>289</v>
      </c>
      <c r="BBB8" t="s">
        <v>289</v>
      </c>
      <c r="BBC8" t="s">
        <v>289</v>
      </c>
      <c r="BBD8" t="s">
        <v>289</v>
      </c>
      <c r="BBE8" t="s">
        <v>289</v>
      </c>
      <c r="BBF8" t="s">
        <v>289</v>
      </c>
      <c r="BBG8" t="s">
        <v>289</v>
      </c>
      <c r="BBH8" t="s">
        <v>289</v>
      </c>
      <c r="BBI8" t="s">
        <v>289</v>
      </c>
      <c r="BBJ8" t="s">
        <v>289</v>
      </c>
      <c r="BBK8" t="s">
        <v>289</v>
      </c>
      <c r="BBL8" t="s">
        <v>289</v>
      </c>
      <c r="BBM8" t="s">
        <v>289</v>
      </c>
      <c r="BBN8" t="s">
        <v>289</v>
      </c>
      <c r="BBO8" t="s">
        <v>289</v>
      </c>
      <c r="BBP8" t="s">
        <v>289</v>
      </c>
      <c r="BBQ8" t="s">
        <v>289</v>
      </c>
      <c r="BBR8" t="s">
        <v>289</v>
      </c>
      <c r="BBS8" t="s">
        <v>289</v>
      </c>
      <c r="BBT8" t="s">
        <v>289</v>
      </c>
      <c r="BBU8" t="s">
        <v>289</v>
      </c>
      <c r="BBV8">
        <v>23233</v>
      </c>
      <c r="BBW8" t="s">
        <v>289</v>
      </c>
      <c r="BBX8">
        <v>27454</v>
      </c>
      <c r="BBY8">
        <v>30431</v>
      </c>
      <c r="BBZ8">
        <v>29014</v>
      </c>
      <c r="BCA8">
        <v>26307</v>
      </c>
      <c r="BCB8">
        <v>28608</v>
      </c>
      <c r="BCC8">
        <v>27582</v>
      </c>
      <c r="BCD8">
        <v>35488</v>
      </c>
      <c r="BCE8" t="s">
        <v>289</v>
      </c>
      <c r="BCF8" t="s">
        <v>289</v>
      </c>
      <c r="BCG8" t="s">
        <v>289</v>
      </c>
      <c r="BCH8" t="s">
        <v>289</v>
      </c>
      <c r="BCI8" t="s">
        <v>289</v>
      </c>
      <c r="BCJ8" t="s">
        <v>289</v>
      </c>
      <c r="BCK8" t="s">
        <v>289</v>
      </c>
      <c r="BCL8" t="s">
        <v>289</v>
      </c>
      <c r="BCM8" t="s">
        <v>289</v>
      </c>
      <c r="BCN8" t="s">
        <v>289</v>
      </c>
      <c r="BCO8">
        <v>19455</v>
      </c>
      <c r="BCP8">
        <v>22840</v>
      </c>
      <c r="BCQ8">
        <v>20662</v>
      </c>
      <c r="BCR8">
        <v>17318</v>
      </c>
      <c r="BCS8">
        <v>12638</v>
      </c>
      <c r="BCT8">
        <v>12450</v>
      </c>
      <c r="BCU8">
        <v>15014</v>
      </c>
      <c r="BCV8">
        <v>23846</v>
      </c>
      <c r="BCW8">
        <v>49629</v>
      </c>
      <c r="BCX8" t="s">
        <v>289</v>
      </c>
      <c r="BCY8" t="s">
        <v>289</v>
      </c>
      <c r="BCZ8" t="s">
        <v>289</v>
      </c>
      <c r="BDA8" t="s">
        <v>289</v>
      </c>
      <c r="BDB8" t="s">
        <v>289</v>
      </c>
      <c r="BDC8" t="s">
        <v>289</v>
      </c>
      <c r="BDD8" t="s">
        <v>289</v>
      </c>
      <c r="BDE8" t="s">
        <v>289</v>
      </c>
      <c r="BDF8" t="s">
        <v>289</v>
      </c>
      <c r="BDG8" t="s">
        <v>289</v>
      </c>
      <c r="BDH8">
        <v>39407</v>
      </c>
      <c r="BDI8">
        <v>44173</v>
      </c>
      <c r="BDJ8">
        <v>46041</v>
      </c>
      <c r="BDK8">
        <v>39722</v>
      </c>
      <c r="BDL8">
        <v>36274</v>
      </c>
      <c r="BDM8">
        <v>38292</v>
      </c>
      <c r="BDN8">
        <v>34932</v>
      </c>
      <c r="BDO8">
        <v>40053</v>
      </c>
      <c r="BDP8">
        <v>74795</v>
      </c>
      <c r="BDQ8" t="s">
        <v>289</v>
      </c>
      <c r="BDR8" t="s">
        <v>289</v>
      </c>
      <c r="BDS8" t="s">
        <v>289</v>
      </c>
      <c r="BDT8" t="s">
        <v>289</v>
      </c>
      <c r="BDU8" t="s">
        <v>289</v>
      </c>
      <c r="BDV8" t="s">
        <v>289</v>
      </c>
      <c r="BDW8" t="s">
        <v>289</v>
      </c>
      <c r="BDX8" t="s">
        <v>289</v>
      </c>
      <c r="BDY8" t="s">
        <v>289</v>
      </c>
      <c r="BDZ8" t="s">
        <v>289</v>
      </c>
      <c r="BEA8">
        <v>26505</v>
      </c>
      <c r="BEB8">
        <v>43385</v>
      </c>
      <c r="BEC8">
        <v>49604</v>
      </c>
      <c r="BED8">
        <v>49469</v>
      </c>
      <c r="BEE8">
        <v>47269</v>
      </c>
      <c r="BEF8">
        <v>46474</v>
      </c>
      <c r="BEG8">
        <v>43354</v>
      </c>
      <c r="BEH8">
        <v>39037</v>
      </c>
      <c r="BEI8">
        <v>64857</v>
      </c>
      <c r="BEJ8" t="s">
        <v>289</v>
      </c>
      <c r="BEK8" t="s">
        <v>289</v>
      </c>
      <c r="BEL8" t="s">
        <v>289</v>
      </c>
      <c r="BEM8" t="s">
        <v>289</v>
      </c>
      <c r="BEN8" t="s">
        <v>289</v>
      </c>
      <c r="BEO8" t="s">
        <v>289</v>
      </c>
      <c r="BEP8" t="s">
        <v>289</v>
      </c>
      <c r="BEQ8" t="s">
        <v>289</v>
      </c>
      <c r="BER8" t="s">
        <v>289</v>
      </c>
      <c r="BES8" t="s">
        <v>289</v>
      </c>
      <c r="BET8">
        <v>19514</v>
      </c>
      <c r="BEU8">
        <v>22847</v>
      </c>
      <c r="BEV8">
        <v>24736</v>
      </c>
      <c r="BEW8">
        <v>26644</v>
      </c>
      <c r="BEX8">
        <v>24932</v>
      </c>
      <c r="BEY8">
        <v>25719</v>
      </c>
      <c r="BEZ8">
        <v>26704</v>
      </c>
      <c r="BFA8">
        <v>25574</v>
      </c>
      <c r="BFB8">
        <v>46556</v>
      </c>
      <c r="BFC8" t="s">
        <v>289</v>
      </c>
      <c r="BFD8" t="s">
        <v>289</v>
      </c>
      <c r="BFE8" t="s">
        <v>289</v>
      </c>
      <c r="BFF8" t="s">
        <v>289</v>
      </c>
      <c r="BFG8" t="s">
        <v>289</v>
      </c>
      <c r="BFH8" t="s">
        <v>289</v>
      </c>
      <c r="BFI8" t="s">
        <v>289</v>
      </c>
      <c r="BFJ8" t="s">
        <v>289</v>
      </c>
      <c r="BFK8" t="s">
        <v>289</v>
      </c>
      <c r="BFL8" t="s">
        <v>289</v>
      </c>
      <c r="BFM8">
        <v>12440</v>
      </c>
      <c r="BFN8">
        <v>14012</v>
      </c>
      <c r="BFO8">
        <v>14790</v>
      </c>
      <c r="BFP8">
        <v>15222</v>
      </c>
      <c r="BFQ8">
        <v>13390</v>
      </c>
      <c r="BFR8">
        <v>13970</v>
      </c>
      <c r="BFS8">
        <v>14257</v>
      </c>
      <c r="BFT8">
        <v>13055</v>
      </c>
      <c r="BFU8">
        <v>29921</v>
      </c>
      <c r="BFV8" t="s">
        <v>289</v>
      </c>
      <c r="BFW8" t="s">
        <v>289</v>
      </c>
      <c r="BFX8" t="s">
        <v>289</v>
      </c>
      <c r="BFY8" t="s">
        <v>289</v>
      </c>
      <c r="BFZ8" t="s">
        <v>289</v>
      </c>
      <c r="BGA8" t="s">
        <v>289</v>
      </c>
      <c r="BGB8" t="s">
        <v>289</v>
      </c>
      <c r="BGC8" t="s">
        <v>289</v>
      </c>
      <c r="BGD8" t="s">
        <v>289</v>
      </c>
      <c r="BGE8" t="s">
        <v>289</v>
      </c>
      <c r="BGF8">
        <v>23233</v>
      </c>
      <c r="BGG8">
        <v>26408</v>
      </c>
      <c r="BGH8">
        <v>27454</v>
      </c>
      <c r="BGI8">
        <v>30431</v>
      </c>
      <c r="BGJ8">
        <v>29014</v>
      </c>
      <c r="BGK8">
        <v>26307</v>
      </c>
      <c r="BGL8">
        <v>28608</v>
      </c>
      <c r="BGM8">
        <v>27582</v>
      </c>
      <c r="BGN8">
        <v>35488</v>
      </c>
      <c r="BGO8" t="s">
        <v>289</v>
      </c>
      <c r="BGP8" t="s">
        <v>289</v>
      </c>
      <c r="BGQ8" t="s">
        <v>289</v>
      </c>
      <c r="BGR8" t="s">
        <v>289</v>
      </c>
      <c r="BGS8" t="s">
        <v>289</v>
      </c>
      <c r="BGT8" t="s">
        <v>289</v>
      </c>
      <c r="BGU8" t="s">
        <v>289</v>
      </c>
      <c r="BGV8" t="s">
        <v>289</v>
      </c>
      <c r="BGW8" t="s">
        <v>289</v>
      </c>
      <c r="BGX8" t="s">
        <v>289</v>
      </c>
      <c r="BGY8">
        <v>0</v>
      </c>
      <c r="BGZ8">
        <v>7710</v>
      </c>
      <c r="BHA8">
        <v>7368</v>
      </c>
      <c r="BHB8">
        <v>7937</v>
      </c>
      <c r="BHC8">
        <v>7245</v>
      </c>
      <c r="BHD8">
        <v>5861</v>
      </c>
      <c r="BHE8">
        <v>4876</v>
      </c>
      <c r="BHF8">
        <v>4436</v>
      </c>
      <c r="BHG8">
        <v>11389</v>
      </c>
      <c r="BHH8" t="s">
        <v>289</v>
      </c>
      <c r="BHI8" t="s">
        <v>289</v>
      </c>
      <c r="BHJ8" t="s">
        <v>289</v>
      </c>
      <c r="BHK8" t="s">
        <v>289</v>
      </c>
      <c r="BHL8" t="s">
        <v>289</v>
      </c>
      <c r="BHM8" t="s">
        <v>289</v>
      </c>
      <c r="BHN8" t="s">
        <v>289</v>
      </c>
      <c r="BHO8" t="s">
        <v>289</v>
      </c>
      <c r="BHP8" t="s">
        <v>289</v>
      </c>
      <c r="BHQ8" t="s">
        <v>289</v>
      </c>
      <c r="BHR8" t="s">
        <v>289</v>
      </c>
      <c r="BHS8">
        <v>7710</v>
      </c>
      <c r="BHT8">
        <v>7278</v>
      </c>
      <c r="BHU8">
        <v>7821</v>
      </c>
      <c r="BHV8">
        <v>7170</v>
      </c>
      <c r="BHW8">
        <v>5805</v>
      </c>
      <c r="BHX8">
        <v>360</v>
      </c>
      <c r="BHY8">
        <v>355</v>
      </c>
      <c r="BHZ8">
        <v>431</v>
      </c>
      <c r="BIA8" t="s">
        <v>289</v>
      </c>
      <c r="BIB8" t="s">
        <v>289</v>
      </c>
      <c r="BIC8" t="s">
        <v>289</v>
      </c>
      <c r="BID8" t="s">
        <v>289</v>
      </c>
      <c r="BIE8" t="s">
        <v>289</v>
      </c>
      <c r="BIF8" t="s">
        <v>289</v>
      </c>
      <c r="BIG8" t="s">
        <v>289</v>
      </c>
      <c r="BIH8" t="s">
        <v>289</v>
      </c>
      <c r="BII8" t="s">
        <v>289</v>
      </c>
      <c r="BIJ8" t="s">
        <v>289</v>
      </c>
      <c r="BIK8">
        <v>87214</v>
      </c>
      <c r="BIL8">
        <v>101149</v>
      </c>
      <c r="BIM8">
        <v>105753</v>
      </c>
      <c r="BIN8">
        <v>104343</v>
      </c>
      <c r="BIO8">
        <v>96299</v>
      </c>
      <c r="BIP8">
        <v>96873</v>
      </c>
      <c r="BIQ8">
        <v>98044</v>
      </c>
      <c r="BIR8">
        <v>99730</v>
      </c>
      <c r="BIS8">
        <v>171766</v>
      </c>
      <c r="BIT8" t="s">
        <v>289</v>
      </c>
      <c r="BIU8" t="s">
        <v>289</v>
      </c>
      <c r="BIV8" t="s">
        <v>289</v>
      </c>
      <c r="BIW8" t="s">
        <v>289</v>
      </c>
      <c r="BIX8" t="s">
        <v>289</v>
      </c>
      <c r="BIY8" t="s">
        <v>289</v>
      </c>
      <c r="BIZ8" t="s">
        <v>289</v>
      </c>
      <c r="BJA8" t="s">
        <v>289</v>
      </c>
      <c r="BJB8" t="s">
        <v>289</v>
      </c>
      <c r="BJC8" t="s">
        <v>289</v>
      </c>
      <c r="BJD8" t="s">
        <v>289</v>
      </c>
      <c r="BJE8" t="s">
        <v>289</v>
      </c>
      <c r="BJF8" t="s">
        <v>289</v>
      </c>
      <c r="BJG8" t="s">
        <v>289</v>
      </c>
      <c r="BJH8" t="s">
        <v>289</v>
      </c>
      <c r="BJI8" t="s">
        <v>289</v>
      </c>
      <c r="BJJ8" t="s">
        <v>289</v>
      </c>
      <c r="BJK8" t="s">
        <v>289</v>
      </c>
      <c r="BJL8" t="s">
        <v>289</v>
      </c>
      <c r="BJM8" t="s">
        <v>289</v>
      </c>
      <c r="BJN8" t="s">
        <v>289</v>
      </c>
      <c r="BJO8" t="s">
        <v>289</v>
      </c>
      <c r="BJP8" t="s">
        <v>289</v>
      </c>
      <c r="BJQ8" t="s">
        <v>289</v>
      </c>
      <c r="BJR8" t="s">
        <v>289</v>
      </c>
      <c r="BJS8" t="s">
        <v>289</v>
      </c>
      <c r="BJT8" t="s">
        <v>289</v>
      </c>
      <c r="BJU8" t="s">
        <v>289</v>
      </c>
      <c r="BJV8" t="s">
        <v>289</v>
      </c>
      <c r="BJW8">
        <v>-7492</v>
      </c>
      <c r="BJX8">
        <v>-7804</v>
      </c>
      <c r="BJY8">
        <v>-8819</v>
      </c>
      <c r="BJZ8">
        <v>-8815</v>
      </c>
      <c r="BKA8">
        <v>-8105</v>
      </c>
      <c r="BKB8">
        <v>-5392</v>
      </c>
      <c r="BKC8">
        <v>-8383</v>
      </c>
      <c r="BKD8">
        <v>-8393</v>
      </c>
      <c r="BKE8">
        <v>-8687</v>
      </c>
      <c r="BKF8" t="s">
        <v>289</v>
      </c>
      <c r="BKG8" t="s">
        <v>289</v>
      </c>
      <c r="BKH8" t="s">
        <v>289</v>
      </c>
      <c r="BKI8" t="s">
        <v>289</v>
      </c>
      <c r="BKJ8" t="s">
        <v>289</v>
      </c>
      <c r="BKK8" t="s">
        <v>289</v>
      </c>
      <c r="BKL8" t="s">
        <v>289</v>
      </c>
      <c r="BKM8" t="s">
        <v>289</v>
      </c>
      <c r="BKN8" t="s">
        <v>289</v>
      </c>
      <c r="BKO8" t="s">
        <v>289</v>
      </c>
      <c r="BKP8">
        <v>4635</v>
      </c>
      <c r="BKQ8">
        <v>4607</v>
      </c>
      <c r="BKR8">
        <v>5414</v>
      </c>
      <c r="BKS8">
        <v>5956</v>
      </c>
      <c r="BKT8">
        <v>5474</v>
      </c>
      <c r="BKU8">
        <v>5507</v>
      </c>
      <c r="BKV8">
        <v>5445</v>
      </c>
      <c r="BKW8">
        <v>5143</v>
      </c>
      <c r="BKX8">
        <v>5871</v>
      </c>
      <c r="BKY8" t="s">
        <v>289</v>
      </c>
      <c r="BKZ8" t="s">
        <v>289</v>
      </c>
      <c r="BLA8" t="s">
        <v>289</v>
      </c>
      <c r="BLB8" t="s">
        <v>289</v>
      </c>
      <c r="BLC8" t="s">
        <v>289</v>
      </c>
      <c r="BLD8" t="s">
        <v>289</v>
      </c>
      <c r="BLE8" t="s">
        <v>289</v>
      </c>
      <c r="BLF8" t="s">
        <v>289</v>
      </c>
      <c r="BLG8" t="s">
        <v>289</v>
      </c>
      <c r="BLH8" t="s">
        <v>289</v>
      </c>
      <c r="BLI8">
        <v>3002</v>
      </c>
      <c r="BLJ8">
        <v>2834</v>
      </c>
      <c r="BLK8">
        <v>2625</v>
      </c>
      <c r="BLL8">
        <v>5122</v>
      </c>
      <c r="BLM8">
        <v>7224</v>
      </c>
      <c r="BLN8">
        <v>5164</v>
      </c>
      <c r="BLO8">
        <v>5026</v>
      </c>
      <c r="BLP8">
        <v>7436</v>
      </c>
      <c r="BLQ8">
        <v>15299</v>
      </c>
      <c r="BLR8" t="s">
        <v>289</v>
      </c>
      <c r="BLS8" t="s">
        <v>289</v>
      </c>
      <c r="BLT8" t="s">
        <v>289</v>
      </c>
      <c r="BLU8" t="s">
        <v>289</v>
      </c>
      <c r="BLV8" t="s">
        <v>289</v>
      </c>
      <c r="BLW8" t="s">
        <v>289</v>
      </c>
      <c r="BLX8" t="s">
        <v>289</v>
      </c>
      <c r="BLY8" t="s">
        <v>289</v>
      </c>
      <c r="BLZ8" t="s">
        <v>289</v>
      </c>
      <c r="BMA8" t="s">
        <v>289</v>
      </c>
      <c r="BMB8">
        <v>7637</v>
      </c>
      <c r="BMC8">
        <v>7441</v>
      </c>
      <c r="BMD8">
        <v>8039</v>
      </c>
      <c r="BME8">
        <v>11078</v>
      </c>
      <c r="BMF8">
        <v>12698</v>
      </c>
      <c r="BMG8">
        <v>10671</v>
      </c>
      <c r="BMH8">
        <v>10471</v>
      </c>
      <c r="BMI8">
        <v>12579</v>
      </c>
      <c r="BMJ8">
        <v>21170</v>
      </c>
      <c r="BMK8" t="s">
        <v>289</v>
      </c>
      <c r="BML8" t="s">
        <v>289</v>
      </c>
      <c r="BMM8" t="s">
        <v>289</v>
      </c>
      <c r="BMN8" t="s">
        <v>289</v>
      </c>
      <c r="BMO8" t="s">
        <v>289</v>
      </c>
      <c r="BMP8" t="s">
        <v>289</v>
      </c>
      <c r="BMQ8" t="s">
        <v>289</v>
      </c>
      <c r="BMR8" t="s">
        <v>289</v>
      </c>
      <c r="BMS8" t="s">
        <v>289</v>
      </c>
      <c r="BMT8" t="s">
        <v>289</v>
      </c>
      <c r="BMU8">
        <v>8228</v>
      </c>
      <c r="BMV8">
        <v>7972</v>
      </c>
      <c r="BMW8">
        <v>10099.6</v>
      </c>
      <c r="BMX8">
        <v>12025</v>
      </c>
      <c r="BMY8">
        <v>12083</v>
      </c>
      <c r="BMZ8">
        <v>12245</v>
      </c>
      <c r="BNA8">
        <v>12277</v>
      </c>
      <c r="BNB8">
        <v>12890</v>
      </c>
      <c r="BNC8">
        <v>21903</v>
      </c>
      <c r="BND8" t="s">
        <v>289</v>
      </c>
      <c r="BNE8" t="s">
        <v>289</v>
      </c>
      <c r="BNF8" t="s">
        <v>289</v>
      </c>
      <c r="BNG8" t="s">
        <v>289</v>
      </c>
      <c r="BNH8" t="s">
        <v>289</v>
      </c>
      <c r="BNI8" t="s">
        <v>289</v>
      </c>
      <c r="BNJ8" t="s">
        <v>289</v>
      </c>
      <c r="BNK8" t="s">
        <v>289</v>
      </c>
      <c r="BNL8" t="s">
        <v>289</v>
      </c>
      <c r="BNM8" t="s">
        <v>289</v>
      </c>
      <c r="BNN8">
        <v>86624</v>
      </c>
      <c r="BNO8">
        <v>96090</v>
      </c>
      <c r="BNP8">
        <v>110595</v>
      </c>
      <c r="BNQ8">
        <v>111018</v>
      </c>
      <c r="BNR8">
        <v>110934</v>
      </c>
      <c r="BNS8">
        <v>115410</v>
      </c>
      <c r="BNT8">
        <v>108187</v>
      </c>
      <c r="BNU8">
        <v>86676</v>
      </c>
      <c r="BNV8">
        <v>152119</v>
      </c>
      <c r="BNW8" t="s">
        <v>289</v>
      </c>
      <c r="BNX8" t="s">
        <v>289</v>
      </c>
      <c r="BNY8" t="s">
        <v>289</v>
      </c>
      <c r="BNZ8" t="s">
        <v>289</v>
      </c>
      <c r="BOA8" t="s">
        <v>289</v>
      </c>
      <c r="BOB8" t="s">
        <v>289</v>
      </c>
      <c r="BOC8" t="s">
        <v>289</v>
      </c>
      <c r="BOD8" t="s">
        <v>289</v>
      </c>
      <c r="BOE8" t="s">
        <v>289</v>
      </c>
      <c r="BOF8" t="s">
        <v>289</v>
      </c>
      <c r="BOG8">
        <v>3487</v>
      </c>
      <c r="BOH8" t="s">
        <v>289</v>
      </c>
      <c r="BOI8">
        <v>4024</v>
      </c>
      <c r="BOJ8">
        <v>4198</v>
      </c>
      <c r="BOK8">
        <v>4032</v>
      </c>
      <c r="BOL8">
        <v>3848</v>
      </c>
      <c r="BOM8">
        <v>346</v>
      </c>
      <c r="BON8" t="s">
        <v>289</v>
      </c>
      <c r="BOO8" t="s">
        <v>289</v>
      </c>
      <c r="BOP8" t="s">
        <v>289</v>
      </c>
      <c r="BOQ8" t="s">
        <v>289</v>
      </c>
      <c r="BOR8" t="s">
        <v>289</v>
      </c>
      <c r="BOS8" t="s">
        <v>289</v>
      </c>
      <c r="BOT8" t="s">
        <v>289</v>
      </c>
      <c r="BOU8" t="s">
        <v>289</v>
      </c>
      <c r="BOV8" t="s">
        <v>289</v>
      </c>
      <c r="BOW8" t="s">
        <v>289</v>
      </c>
      <c r="BOX8" t="s">
        <v>289</v>
      </c>
      <c r="BOY8" t="s">
        <v>289</v>
      </c>
      <c r="BOZ8">
        <v>3002</v>
      </c>
      <c r="BPA8">
        <v>2834</v>
      </c>
      <c r="BPB8">
        <v>2625</v>
      </c>
      <c r="BPC8">
        <v>5122</v>
      </c>
      <c r="BPD8">
        <v>7224</v>
      </c>
      <c r="BPE8">
        <v>5164</v>
      </c>
      <c r="BPF8">
        <v>5026</v>
      </c>
      <c r="BPG8">
        <v>7436</v>
      </c>
      <c r="BPH8">
        <v>15299</v>
      </c>
      <c r="BPI8" t="s">
        <v>289</v>
      </c>
      <c r="BPJ8" t="s">
        <v>289</v>
      </c>
      <c r="BPK8" t="s">
        <v>289</v>
      </c>
      <c r="BPL8" t="s">
        <v>289</v>
      </c>
      <c r="BPM8" t="s">
        <v>289</v>
      </c>
      <c r="BPN8" t="s">
        <v>289</v>
      </c>
      <c r="BPO8" t="s">
        <v>289</v>
      </c>
      <c r="BPP8" t="s">
        <v>289</v>
      </c>
      <c r="BPQ8" t="s">
        <v>289</v>
      </c>
      <c r="BPR8" t="s">
        <v>289</v>
      </c>
      <c r="BPS8">
        <v>8741</v>
      </c>
      <c r="BPT8">
        <v>9288</v>
      </c>
      <c r="BPU8">
        <v>5801</v>
      </c>
      <c r="BPV8">
        <v>5218</v>
      </c>
      <c r="BPW8">
        <v>3677</v>
      </c>
      <c r="BPX8">
        <v>-485</v>
      </c>
      <c r="BPY8">
        <v>-2673</v>
      </c>
      <c r="BPZ8">
        <v>-1295</v>
      </c>
      <c r="BQA8">
        <v>-15277</v>
      </c>
      <c r="BQB8" t="s">
        <v>289</v>
      </c>
      <c r="BQC8" t="s">
        <v>289</v>
      </c>
      <c r="BQD8" t="s">
        <v>289</v>
      </c>
      <c r="BQE8" t="s">
        <v>289</v>
      </c>
      <c r="BQF8" t="s">
        <v>289</v>
      </c>
      <c r="BQG8" t="s">
        <v>289</v>
      </c>
      <c r="BQH8" t="s">
        <v>289</v>
      </c>
      <c r="BQI8" t="s">
        <v>289</v>
      </c>
      <c r="BQJ8" t="s">
        <v>289</v>
      </c>
      <c r="BQK8" t="s">
        <v>289</v>
      </c>
      <c r="BQL8">
        <v>86624</v>
      </c>
      <c r="BQM8">
        <v>93640</v>
      </c>
      <c r="BQN8">
        <v>110595</v>
      </c>
      <c r="BQO8">
        <v>111018</v>
      </c>
      <c r="BQP8">
        <v>105730</v>
      </c>
      <c r="BQQ8">
        <v>110412</v>
      </c>
      <c r="BQR8">
        <v>108187</v>
      </c>
      <c r="BQS8">
        <v>133882</v>
      </c>
      <c r="BQT8">
        <v>152119</v>
      </c>
      <c r="BQU8" t="s">
        <v>289</v>
      </c>
      <c r="BQV8" t="s">
        <v>289</v>
      </c>
      <c r="BQW8" t="s">
        <v>289</v>
      </c>
      <c r="BQX8" t="s">
        <v>289</v>
      </c>
      <c r="BQY8" t="s">
        <v>289</v>
      </c>
      <c r="BQZ8" t="s">
        <v>289</v>
      </c>
      <c r="BRA8" t="s">
        <v>289</v>
      </c>
      <c r="BRB8" t="s">
        <v>289</v>
      </c>
      <c r="BRC8" t="s">
        <v>289</v>
      </c>
      <c r="BRD8" t="s">
        <v>289</v>
      </c>
      <c r="BRE8">
        <v>8326</v>
      </c>
      <c r="BRF8">
        <v>8904</v>
      </c>
      <c r="BRG8">
        <v>9406</v>
      </c>
      <c r="BRH8">
        <v>9052</v>
      </c>
      <c r="BRI8">
        <v>8584</v>
      </c>
      <c r="BRJ8">
        <v>7875</v>
      </c>
      <c r="BRK8">
        <v>8507</v>
      </c>
      <c r="BRL8">
        <v>8328</v>
      </c>
      <c r="BRM8">
        <v>8065</v>
      </c>
      <c r="BRN8" t="s">
        <v>289</v>
      </c>
      <c r="BRO8" t="s">
        <v>289</v>
      </c>
      <c r="BRP8" t="s">
        <v>289</v>
      </c>
      <c r="BRQ8" t="s">
        <v>289</v>
      </c>
      <c r="BRR8" t="s">
        <v>289</v>
      </c>
      <c r="BRS8" t="s">
        <v>289</v>
      </c>
      <c r="BRT8" t="s">
        <v>289</v>
      </c>
      <c r="BRU8" t="s">
        <v>289</v>
      </c>
      <c r="BRV8" t="s">
        <v>289</v>
      </c>
      <c r="BRW8" t="s">
        <v>289</v>
      </c>
      <c r="BRX8">
        <v>-7492</v>
      </c>
      <c r="BRY8">
        <v>-7804</v>
      </c>
      <c r="BRZ8">
        <v>-8819</v>
      </c>
      <c r="BSA8">
        <v>-8815</v>
      </c>
      <c r="BSB8">
        <v>-8105</v>
      </c>
      <c r="BSC8">
        <v>-5392</v>
      </c>
      <c r="BSD8">
        <v>-8383</v>
      </c>
      <c r="BSE8">
        <v>-8393</v>
      </c>
      <c r="BSF8">
        <v>-8687</v>
      </c>
      <c r="BSG8" t="s">
        <v>289</v>
      </c>
      <c r="BSH8" t="s">
        <v>289</v>
      </c>
      <c r="BSI8" t="s">
        <v>289</v>
      </c>
      <c r="BSJ8" t="s">
        <v>289</v>
      </c>
      <c r="BSK8" t="s">
        <v>289</v>
      </c>
      <c r="BSL8" t="s">
        <v>289</v>
      </c>
      <c r="BSM8" t="s">
        <v>289</v>
      </c>
      <c r="BSN8" t="s">
        <v>289</v>
      </c>
      <c r="BSO8" t="s">
        <v>289</v>
      </c>
      <c r="BSP8" t="s">
        <v>289</v>
      </c>
      <c r="BSQ8" t="s">
        <v>289</v>
      </c>
      <c r="BSR8" t="s">
        <v>289</v>
      </c>
      <c r="BSS8" t="s">
        <v>289</v>
      </c>
      <c r="BST8" t="s">
        <v>289</v>
      </c>
      <c r="BSU8" t="s">
        <v>289</v>
      </c>
      <c r="BSV8" t="s">
        <v>289</v>
      </c>
      <c r="BSW8">
        <v>0</v>
      </c>
      <c r="BSX8">
        <v>0</v>
      </c>
      <c r="BSY8">
        <v>0</v>
      </c>
      <c r="BSZ8" t="s">
        <v>289</v>
      </c>
      <c r="BTA8" t="s">
        <v>289</v>
      </c>
      <c r="BTB8" t="s">
        <v>289</v>
      </c>
      <c r="BTC8" t="s">
        <v>289</v>
      </c>
      <c r="BTD8" t="s">
        <v>289</v>
      </c>
      <c r="BTE8" t="s">
        <v>289</v>
      </c>
      <c r="BTF8" t="s">
        <v>289</v>
      </c>
      <c r="BTG8" t="s">
        <v>289</v>
      </c>
      <c r="BTH8" t="s">
        <v>289</v>
      </c>
      <c r="BTI8" t="s">
        <v>289</v>
      </c>
      <c r="BTJ8" t="s">
        <v>289</v>
      </c>
      <c r="BTK8" t="s">
        <v>289</v>
      </c>
      <c r="BTL8" t="s">
        <v>289</v>
      </c>
      <c r="BTM8" t="s">
        <v>289</v>
      </c>
      <c r="BTN8" t="s">
        <v>289</v>
      </c>
      <c r="BTO8" t="s">
        <v>289</v>
      </c>
      <c r="BTP8" t="s">
        <v>289</v>
      </c>
      <c r="BTQ8" t="s">
        <v>289</v>
      </c>
      <c r="BTR8" t="s">
        <v>289</v>
      </c>
      <c r="BTS8" t="s">
        <v>289</v>
      </c>
      <c r="BTT8" t="s">
        <v>289</v>
      </c>
      <c r="BTU8" t="s">
        <v>289</v>
      </c>
      <c r="BTV8" t="s">
        <v>289</v>
      </c>
      <c r="BTW8" t="s">
        <v>289</v>
      </c>
      <c r="BTX8" t="s">
        <v>289</v>
      </c>
      <c r="BTY8" t="s">
        <v>289</v>
      </c>
      <c r="BTZ8" t="s">
        <v>289</v>
      </c>
      <c r="BUA8" t="s">
        <v>289</v>
      </c>
      <c r="BUB8" t="s">
        <v>289</v>
      </c>
      <c r="BUC8" t="s">
        <v>289</v>
      </c>
      <c r="BUD8" t="s">
        <v>289</v>
      </c>
      <c r="BUE8" t="s">
        <v>289</v>
      </c>
      <c r="BUF8" t="s">
        <v>289</v>
      </c>
      <c r="BUG8" t="s">
        <v>289</v>
      </c>
      <c r="BUH8" t="s">
        <v>289</v>
      </c>
      <c r="BUI8" t="s">
        <v>289</v>
      </c>
      <c r="BUJ8" t="s">
        <v>289</v>
      </c>
      <c r="BUK8" t="s">
        <v>289</v>
      </c>
      <c r="BUL8" t="s">
        <v>289</v>
      </c>
      <c r="BUM8" t="s">
        <v>289</v>
      </c>
      <c r="BUN8" t="s">
        <v>289</v>
      </c>
      <c r="BUO8" t="s">
        <v>289</v>
      </c>
      <c r="BUP8" t="s">
        <v>289</v>
      </c>
      <c r="BUQ8" t="s">
        <v>289</v>
      </c>
      <c r="BUR8" t="s">
        <v>289</v>
      </c>
      <c r="BUS8" t="s">
        <v>289</v>
      </c>
      <c r="BUT8" t="s">
        <v>289</v>
      </c>
      <c r="BUU8" t="s">
        <v>289</v>
      </c>
      <c r="BUV8">
        <v>-7492</v>
      </c>
      <c r="BUW8">
        <v>-7804</v>
      </c>
      <c r="BUX8">
        <v>-8819</v>
      </c>
      <c r="BUY8">
        <v>-8815</v>
      </c>
      <c r="BUZ8">
        <v>-8105</v>
      </c>
      <c r="BVA8">
        <v>-5392</v>
      </c>
      <c r="BVB8" t="s">
        <v>289</v>
      </c>
      <c r="BVC8" t="s">
        <v>289</v>
      </c>
      <c r="BVD8" t="s">
        <v>289</v>
      </c>
      <c r="BVE8" t="s">
        <v>289</v>
      </c>
      <c r="BVF8" t="s">
        <v>289</v>
      </c>
      <c r="BVG8" t="s">
        <v>289</v>
      </c>
      <c r="BVH8" t="s">
        <v>289</v>
      </c>
      <c r="BVI8" t="s">
        <v>289</v>
      </c>
      <c r="BVJ8" t="s">
        <v>289</v>
      </c>
      <c r="BVK8" t="s">
        <v>289</v>
      </c>
      <c r="BVL8" t="s">
        <v>289</v>
      </c>
      <c r="BVM8" t="s">
        <v>289</v>
      </c>
      <c r="BVN8" t="s">
        <v>289</v>
      </c>
      <c r="BVO8" t="s">
        <v>289</v>
      </c>
      <c r="BVP8" t="s">
        <v>289</v>
      </c>
      <c r="BVQ8" t="s">
        <v>289</v>
      </c>
      <c r="BVR8" t="s">
        <v>289</v>
      </c>
      <c r="BVS8" t="s">
        <v>289</v>
      </c>
      <c r="BVT8" t="s">
        <v>289</v>
      </c>
      <c r="BVU8" t="s">
        <v>289</v>
      </c>
      <c r="BVV8" t="s">
        <v>289</v>
      </c>
      <c r="BVW8" t="s">
        <v>289</v>
      </c>
      <c r="BVX8" t="s">
        <v>289</v>
      </c>
      <c r="BVY8" t="s">
        <v>289</v>
      </c>
      <c r="BVZ8" t="s">
        <v>289</v>
      </c>
      <c r="BWA8" t="s">
        <v>289</v>
      </c>
      <c r="BWB8" t="s">
        <v>289</v>
      </c>
      <c r="BWC8" t="s">
        <v>289</v>
      </c>
      <c r="BWD8" t="s">
        <v>289</v>
      </c>
      <c r="BWE8" t="s">
        <v>289</v>
      </c>
      <c r="BWF8" t="s">
        <v>289</v>
      </c>
      <c r="BWG8" t="s">
        <v>289</v>
      </c>
      <c r="BWH8">
        <v>2236</v>
      </c>
      <c r="BWI8">
        <v>2334</v>
      </c>
      <c r="BWJ8">
        <v>2864</v>
      </c>
      <c r="BWK8">
        <v>3274</v>
      </c>
      <c r="BWL8">
        <v>2903</v>
      </c>
      <c r="BWM8">
        <v>3051</v>
      </c>
      <c r="BWN8">
        <v>3612</v>
      </c>
      <c r="BWO8">
        <v>4551</v>
      </c>
      <c r="BWP8">
        <v>4560</v>
      </c>
      <c r="BWQ8" t="s">
        <v>289</v>
      </c>
      <c r="BWR8" t="s">
        <v>289</v>
      </c>
      <c r="BWS8" t="s">
        <v>289</v>
      </c>
      <c r="BWT8" t="s">
        <v>289</v>
      </c>
      <c r="BWU8" t="s">
        <v>289</v>
      </c>
      <c r="BWV8" t="s">
        <v>289</v>
      </c>
      <c r="BWW8" t="s">
        <v>289</v>
      </c>
      <c r="BWX8" t="s">
        <v>289</v>
      </c>
      <c r="BWY8" t="s">
        <v>289</v>
      </c>
      <c r="BWZ8" t="s">
        <v>289</v>
      </c>
      <c r="BXA8">
        <v>2236</v>
      </c>
      <c r="BXB8">
        <v>2334</v>
      </c>
      <c r="BXC8">
        <v>2864</v>
      </c>
      <c r="BXD8">
        <v>3274</v>
      </c>
      <c r="BXE8">
        <v>2903</v>
      </c>
      <c r="BXF8">
        <v>3051</v>
      </c>
      <c r="BXG8">
        <v>3612</v>
      </c>
      <c r="BXH8">
        <v>4551</v>
      </c>
      <c r="BXI8">
        <v>4560</v>
      </c>
      <c r="BXJ8" t="s">
        <v>289</v>
      </c>
      <c r="BXK8" t="s">
        <v>289</v>
      </c>
      <c r="BXL8" t="s">
        <v>289</v>
      </c>
      <c r="BXM8" t="s">
        <v>289</v>
      </c>
      <c r="BXN8" t="s">
        <v>289</v>
      </c>
      <c r="BXO8" t="s">
        <v>289</v>
      </c>
      <c r="BXP8" t="s">
        <v>289</v>
      </c>
      <c r="BXQ8" t="s">
        <v>289</v>
      </c>
      <c r="BXR8" t="s">
        <v>289</v>
      </c>
      <c r="BXS8" t="s">
        <v>289</v>
      </c>
      <c r="BXT8">
        <v>24</v>
      </c>
      <c r="BXU8">
        <v>0</v>
      </c>
      <c r="BXV8">
        <v>221</v>
      </c>
      <c r="BXW8">
        <v>0</v>
      </c>
      <c r="BXX8">
        <v>0</v>
      </c>
      <c r="BXY8">
        <v>0</v>
      </c>
      <c r="BXZ8">
        <v>0</v>
      </c>
      <c r="BYA8">
        <v>0</v>
      </c>
      <c r="BYB8">
        <v>0</v>
      </c>
      <c r="BYC8" t="s">
        <v>289</v>
      </c>
      <c r="BYD8" t="s">
        <v>289</v>
      </c>
      <c r="BYE8" t="s">
        <v>289</v>
      </c>
      <c r="BYF8" t="s">
        <v>289</v>
      </c>
      <c r="BYG8" t="s">
        <v>289</v>
      </c>
      <c r="BYH8" t="s">
        <v>289</v>
      </c>
      <c r="BYI8" t="s">
        <v>289</v>
      </c>
      <c r="BYJ8" t="s">
        <v>289</v>
      </c>
      <c r="BYK8" t="s">
        <v>289</v>
      </c>
      <c r="BYL8" t="s">
        <v>289</v>
      </c>
      <c r="BYM8" t="s">
        <v>289</v>
      </c>
      <c r="BYN8" t="s">
        <v>289</v>
      </c>
      <c r="BYO8" t="s">
        <v>289</v>
      </c>
      <c r="BYP8" t="s">
        <v>289</v>
      </c>
      <c r="BYQ8" t="s">
        <v>289</v>
      </c>
      <c r="BYR8" t="s">
        <v>289</v>
      </c>
      <c r="BYS8" t="s">
        <v>289</v>
      </c>
      <c r="BYT8" t="s">
        <v>289</v>
      </c>
      <c r="BYU8" t="s">
        <v>289</v>
      </c>
      <c r="BYV8" t="s">
        <v>289</v>
      </c>
      <c r="BYW8" t="s">
        <v>289</v>
      </c>
      <c r="BYX8" t="s">
        <v>289</v>
      </c>
      <c r="BYY8" t="s">
        <v>289</v>
      </c>
      <c r="BYZ8" t="s">
        <v>289</v>
      </c>
      <c r="BZA8" t="s">
        <v>289</v>
      </c>
      <c r="BZB8" t="s">
        <v>289</v>
      </c>
      <c r="BZC8" t="s">
        <v>289</v>
      </c>
      <c r="BZD8" t="s">
        <v>289</v>
      </c>
      <c r="BZE8" t="s">
        <v>289</v>
      </c>
      <c r="BZF8" t="s">
        <v>289</v>
      </c>
      <c r="BZG8" t="s">
        <v>289</v>
      </c>
      <c r="BZH8" t="s">
        <v>289</v>
      </c>
      <c r="BZI8" t="s">
        <v>289</v>
      </c>
      <c r="BZJ8" t="s">
        <v>289</v>
      </c>
      <c r="BZK8" t="s">
        <v>289</v>
      </c>
      <c r="BZL8" t="s">
        <v>289</v>
      </c>
      <c r="BZM8" t="s">
        <v>289</v>
      </c>
      <c r="BZN8" t="s">
        <v>289</v>
      </c>
      <c r="BZO8" t="s">
        <v>289</v>
      </c>
      <c r="BZP8" t="s">
        <v>289</v>
      </c>
      <c r="BZQ8" t="s">
        <v>289</v>
      </c>
      <c r="BZR8" t="s">
        <v>289</v>
      </c>
      <c r="BZS8" t="s">
        <v>289</v>
      </c>
      <c r="BZT8" t="s">
        <v>289</v>
      </c>
      <c r="BZU8" t="s">
        <v>289</v>
      </c>
      <c r="BZV8" t="s">
        <v>289</v>
      </c>
      <c r="BZW8" t="s">
        <v>289</v>
      </c>
      <c r="BZX8" t="s">
        <v>289</v>
      </c>
      <c r="BZY8" t="s">
        <v>289</v>
      </c>
      <c r="BZZ8" t="s">
        <v>289</v>
      </c>
      <c r="CAA8" t="s">
        <v>289</v>
      </c>
      <c r="CAB8" t="s">
        <v>289</v>
      </c>
      <c r="CAC8" t="s">
        <v>289</v>
      </c>
      <c r="CAD8" t="s">
        <v>289</v>
      </c>
      <c r="CAE8" t="s">
        <v>289</v>
      </c>
      <c r="CAF8" t="s">
        <v>289</v>
      </c>
      <c r="CAG8" t="s">
        <v>289</v>
      </c>
      <c r="CAH8" t="s">
        <v>289</v>
      </c>
      <c r="CAI8" t="s">
        <v>289</v>
      </c>
      <c r="CAJ8" t="s">
        <v>289</v>
      </c>
      <c r="CAK8" t="s">
        <v>289</v>
      </c>
      <c r="CAL8" t="s">
        <v>289</v>
      </c>
      <c r="CAM8" t="s">
        <v>289</v>
      </c>
      <c r="CAN8" t="s">
        <v>289</v>
      </c>
      <c r="CAO8" t="s">
        <v>289</v>
      </c>
      <c r="CAP8" t="s">
        <v>289</v>
      </c>
      <c r="CAQ8" t="s">
        <v>289</v>
      </c>
      <c r="CAR8" t="s">
        <v>289</v>
      </c>
      <c r="CAS8" t="s">
        <v>289</v>
      </c>
      <c r="CAT8" t="s">
        <v>289</v>
      </c>
      <c r="CAU8" t="s">
        <v>289</v>
      </c>
      <c r="CAV8" t="s">
        <v>289</v>
      </c>
      <c r="CAW8" t="s">
        <v>289</v>
      </c>
      <c r="CAX8" t="s">
        <v>289</v>
      </c>
      <c r="CAY8" t="s">
        <v>289</v>
      </c>
      <c r="CAZ8" t="s">
        <v>289</v>
      </c>
      <c r="CBA8" t="s">
        <v>289</v>
      </c>
      <c r="CBB8" t="s">
        <v>289</v>
      </c>
      <c r="CBC8" t="s">
        <v>289</v>
      </c>
      <c r="CBD8" t="s">
        <v>289</v>
      </c>
      <c r="CBE8" t="s">
        <v>289</v>
      </c>
      <c r="CBF8" t="s">
        <v>289</v>
      </c>
      <c r="CBG8" t="s">
        <v>289</v>
      </c>
      <c r="CBH8" t="s">
        <v>289</v>
      </c>
      <c r="CBI8" t="s">
        <v>289</v>
      </c>
      <c r="CBJ8" t="s">
        <v>289</v>
      </c>
      <c r="CBK8">
        <v>2236</v>
      </c>
      <c r="CBL8">
        <v>2334</v>
      </c>
      <c r="CBM8">
        <v>2864</v>
      </c>
      <c r="CBN8">
        <v>3274</v>
      </c>
      <c r="CBO8">
        <v>2903</v>
      </c>
      <c r="CBP8">
        <v>3051</v>
      </c>
      <c r="CBQ8">
        <v>3612</v>
      </c>
      <c r="CBR8" t="s">
        <v>289</v>
      </c>
      <c r="CBS8" t="s">
        <v>289</v>
      </c>
      <c r="CBT8" t="s">
        <v>289</v>
      </c>
      <c r="CBU8" t="s">
        <v>289</v>
      </c>
      <c r="CBV8" t="s">
        <v>289</v>
      </c>
      <c r="CBW8" t="s">
        <v>289</v>
      </c>
      <c r="CBX8" t="s">
        <v>289</v>
      </c>
      <c r="CBY8" t="s">
        <v>289</v>
      </c>
      <c r="CBZ8" t="s">
        <v>289</v>
      </c>
      <c r="CCA8" t="s">
        <v>289</v>
      </c>
      <c r="CCB8" t="s">
        <v>289</v>
      </c>
      <c r="CCC8" t="s">
        <v>289</v>
      </c>
      <c r="CCD8" t="s">
        <v>289</v>
      </c>
      <c r="CCE8" t="s">
        <v>289</v>
      </c>
      <c r="CCF8" t="s">
        <v>289</v>
      </c>
      <c r="CCG8" t="s">
        <v>289</v>
      </c>
      <c r="CCH8" t="s">
        <v>289</v>
      </c>
      <c r="CCI8" t="s">
        <v>289</v>
      </c>
      <c r="CCJ8" t="s">
        <v>289</v>
      </c>
      <c r="CCK8" t="s">
        <v>289</v>
      </c>
      <c r="CCL8" t="s">
        <v>289</v>
      </c>
      <c r="CCM8" t="s">
        <v>289</v>
      </c>
      <c r="CCN8" t="s">
        <v>289</v>
      </c>
      <c r="CCO8" t="s">
        <v>289</v>
      </c>
      <c r="CCP8" t="s">
        <v>289</v>
      </c>
      <c r="CCQ8" t="s">
        <v>289</v>
      </c>
      <c r="CCR8" t="s">
        <v>289</v>
      </c>
      <c r="CCS8" t="s">
        <v>289</v>
      </c>
      <c r="CCT8" t="s">
        <v>289</v>
      </c>
      <c r="CCU8" t="s">
        <v>289</v>
      </c>
      <c r="CCV8" t="s">
        <v>289</v>
      </c>
      <c r="CCW8" t="s">
        <v>289</v>
      </c>
      <c r="CCX8" t="s">
        <v>289</v>
      </c>
      <c r="CCY8" t="s">
        <v>289</v>
      </c>
      <c r="CCZ8" t="s">
        <v>289</v>
      </c>
      <c r="CDA8" t="s">
        <v>289</v>
      </c>
      <c r="CDB8" t="s">
        <v>289</v>
      </c>
      <c r="CDC8" t="s">
        <v>289</v>
      </c>
      <c r="CDD8" t="s">
        <v>289</v>
      </c>
      <c r="CDE8" t="s">
        <v>289</v>
      </c>
      <c r="CDF8" t="s">
        <v>289</v>
      </c>
      <c r="CDG8" t="s">
        <v>289</v>
      </c>
      <c r="CDH8" t="s">
        <v>289</v>
      </c>
      <c r="CDI8" t="s">
        <v>289</v>
      </c>
      <c r="CDJ8" t="s">
        <v>289</v>
      </c>
      <c r="CDK8" t="s">
        <v>289</v>
      </c>
      <c r="CDL8" t="s">
        <v>289</v>
      </c>
      <c r="CDM8" t="s">
        <v>289</v>
      </c>
      <c r="CDN8" t="s">
        <v>289</v>
      </c>
      <c r="CDO8" t="s">
        <v>289</v>
      </c>
      <c r="CDP8" t="s">
        <v>289</v>
      </c>
      <c r="CDQ8" t="s">
        <v>289</v>
      </c>
      <c r="CDR8" t="s">
        <v>289</v>
      </c>
      <c r="CDS8" t="s">
        <v>289</v>
      </c>
      <c r="CDT8" t="s">
        <v>289</v>
      </c>
      <c r="CDU8" t="s">
        <v>289</v>
      </c>
      <c r="CDV8" t="s">
        <v>289</v>
      </c>
      <c r="CDW8" t="s">
        <v>289</v>
      </c>
      <c r="CDX8" t="s">
        <v>289</v>
      </c>
      <c r="CDY8" t="s">
        <v>289</v>
      </c>
      <c r="CDZ8" t="s">
        <v>289</v>
      </c>
      <c r="CEA8" t="s">
        <v>289</v>
      </c>
      <c r="CEB8" t="s">
        <v>289</v>
      </c>
      <c r="CEC8" t="s">
        <v>289</v>
      </c>
      <c r="CED8" t="s">
        <v>289</v>
      </c>
      <c r="CEE8" t="s">
        <v>289</v>
      </c>
      <c r="CEF8" t="s">
        <v>289</v>
      </c>
      <c r="CEG8" t="s">
        <v>289</v>
      </c>
      <c r="CEH8" t="s">
        <v>289</v>
      </c>
      <c r="CEI8" t="s">
        <v>289</v>
      </c>
      <c r="CEJ8" t="s">
        <v>289</v>
      </c>
      <c r="CEK8" t="s">
        <v>289</v>
      </c>
      <c r="CEL8" t="s">
        <v>289</v>
      </c>
      <c r="CEM8" t="s">
        <v>289</v>
      </c>
      <c r="CEN8" t="s">
        <v>289</v>
      </c>
      <c r="CEO8" t="s">
        <v>289</v>
      </c>
      <c r="CEP8" t="s">
        <v>289</v>
      </c>
      <c r="CEQ8" t="s">
        <v>289</v>
      </c>
      <c r="CER8" t="s">
        <v>289</v>
      </c>
      <c r="CES8" t="s">
        <v>289</v>
      </c>
      <c r="CET8" t="s">
        <v>289</v>
      </c>
      <c r="CEU8" t="s">
        <v>289</v>
      </c>
      <c r="CEV8" t="s">
        <v>289</v>
      </c>
      <c r="CEW8" t="s">
        <v>289</v>
      </c>
      <c r="CEX8" t="s">
        <v>289</v>
      </c>
      <c r="CEY8" t="s">
        <v>289</v>
      </c>
      <c r="CEZ8" t="s">
        <v>289</v>
      </c>
      <c r="CFA8" t="s">
        <v>289</v>
      </c>
      <c r="CFB8" t="s">
        <v>289</v>
      </c>
      <c r="CFC8" t="s">
        <v>289</v>
      </c>
      <c r="CFD8" t="s">
        <v>289</v>
      </c>
      <c r="CFE8" t="s">
        <v>289</v>
      </c>
      <c r="CFF8" t="s">
        <v>289</v>
      </c>
      <c r="CFG8" t="s">
        <v>289</v>
      </c>
      <c r="CFH8" t="s">
        <v>289</v>
      </c>
      <c r="CFI8" t="s">
        <v>289</v>
      </c>
      <c r="CFJ8" t="s">
        <v>289</v>
      </c>
      <c r="CFK8" t="s">
        <v>289</v>
      </c>
      <c r="CFL8" t="s">
        <v>289</v>
      </c>
      <c r="CFM8" t="s">
        <v>289</v>
      </c>
      <c r="CFN8" t="s">
        <v>289</v>
      </c>
      <c r="CFO8" t="s">
        <v>289</v>
      </c>
      <c r="CFP8" t="s">
        <v>289</v>
      </c>
      <c r="CFQ8" t="s">
        <v>289</v>
      </c>
      <c r="CFR8" t="s">
        <v>289</v>
      </c>
      <c r="CFS8" t="s">
        <v>289</v>
      </c>
      <c r="CFT8" t="s">
        <v>289</v>
      </c>
      <c r="CFU8" t="s">
        <v>289</v>
      </c>
      <c r="CFV8" t="s">
        <v>289</v>
      </c>
      <c r="CFW8" t="s">
        <v>289</v>
      </c>
      <c r="CFX8" t="s">
        <v>289</v>
      </c>
      <c r="CFY8" t="s">
        <v>289</v>
      </c>
      <c r="CFZ8" t="s">
        <v>289</v>
      </c>
      <c r="CGA8" t="s">
        <v>289</v>
      </c>
      <c r="CGB8" t="s">
        <v>289</v>
      </c>
      <c r="CGC8" t="s">
        <v>289</v>
      </c>
      <c r="CGD8" t="s">
        <v>289</v>
      </c>
      <c r="CGE8" t="s">
        <v>289</v>
      </c>
      <c r="CGF8" t="s">
        <v>289</v>
      </c>
      <c r="CGG8" t="s">
        <v>289</v>
      </c>
      <c r="CGH8" t="s">
        <v>289</v>
      </c>
      <c r="CGI8" t="s">
        <v>289</v>
      </c>
      <c r="CGJ8" t="s">
        <v>289</v>
      </c>
      <c r="CGK8" t="s">
        <v>289</v>
      </c>
      <c r="CGL8" t="s">
        <v>289</v>
      </c>
      <c r="CGM8" t="s">
        <v>289</v>
      </c>
      <c r="CGN8">
        <v>661</v>
      </c>
      <c r="CGO8">
        <v>526</v>
      </c>
      <c r="CGP8">
        <v>643</v>
      </c>
      <c r="CGQ8">
        <v>795</v>
      </c>
      <c r="CGR8">
        <v>427</v>
      </c>
      <c r="CGS8">
        <v>375</v>
      </c>
      <c r="CGT8">
        <v>366</v>
      </c>
      <c r="CGU8">
        <v>672</v>
      </c>
      <c r="CGV8">
        <v>746</v>
      </c>
      <c r="CGW8" t="s">
        <v>289</v>
      </c>
      <c r="CGX8" t="s">
        <v>289</v>
      </c>
      <c r="CGY8" t="s">
        <v>289</v>
      </c>
      <c r="CGZ8" t="s">
        <v>289</v>
      </c>
      <c r="CHA8" t="s">
        <v>289</v>
      </c>
      <c r="CHB8" t="s">
        <v>289</v>
      </c>
      <c r="CHC8" t="s">
        <v>289</v>
      </c>
      <c r="CHD8" t="s">
        <v>289</v>
      </c>
      <c r="CHE8" t="s">
        <v>289</v>
      </c>
      <c r="CHF8" t="s">
        <v>289</v>
      </c>
      <c r="CHG8">
        <v>0</v>
      </c>
      <c r="CHH8" t="s">
        <v>289</v>
      </c>
      <c r="CHI8" t="s">
        <v>289</v>
      </c>
      <c r="CHJ8" t="s">
        <v>289</v>
      </c>
      <c r="CHK8" t="s">
        <v>289</v>
      </c>
      <c r="CHL8" t="s">
        <v>289</v>
      </c>
      <c r="CHM8" t="s">
        <v>289</v>
      </c>
      <c r="CHN8">
        <v>0</v>
      </c>
      <c r="CHO8">
        <v>0</v>
      </c>
      <c r="CHP8" t="s">
        <v>289</v>
      </c>
      <c r="CHQ8" t="s">
        <v>289</v>
      </c>
      <c r="CHR8" t="s">
        <v>289</v>
      </c>
      <c r="CHS8" t="s">
        <v>289</v>
      </c>
      <c r="CHT8" t="s">
        <v>289</v>
      </c>
      <c r="CHU8" t="s">
        <v>289</v>
      </c>
      <c r="CHV8" t="s">
        <v>289</v>
      </c>
      <c r="CHW8" t="s">
        <v>289</v>
      </c>
      <c r="CHX8" t="s">
        <v>289</v>
      </c>
      <c r="CHY8" t="s">
        <v>289</v>
      </c>
      <c r="CHZ8">
        <v>664</v>
      </c>
      <c r="CIA8">
        <v>700</v>
      </c>
      <c r="CIB8">
        <v>995</v>
      </c>
      <c r="CIC8">
        <v>969</v>
      </c>
      <c r="CID8">
        <v>757</v>
      </c>
      <c r="CIE8">
        <v>614</v>
      </c>
      <c r="CIF8">
        <v>582</v>
      </c>
      <c r="CIG8">
        <v>459</v>
      </c>
      <c r="CIH8">
        <v>607</v>
      </c>
      <c r="CII8" t="s">
        <v>289</v>
      </c>
      <c r="CIJ8" t="s">
        <v>289</v>
      </c>
      <c r="CIK8" t="s">
        <v>289</v>
      </c>
      <c r="CIL8" t="s">
        <v>289</v>
      </c>
      <c r="CIM8" t="s">
        <v>289</v>
      </c>
      <c r="CIN8" t="s">
        <v>289</v>
      </c>
      <c r="CIO8" t="s">
        <v>289</v>
      </c>
      <c r="CIP8" t="s">
        <v>289</v>
      </c>
      <c r="CIQ8" t="s">
        <v>289</v>
      </c>
      <c r="CIR8" t="s">
        <v>289</v>
      </c>
      <c r="CIS8" t="s">
        <v>289</v>
      </c>
      <c r="CIT8" t="s">
        <v>289</v>
      </c>
      <c r="CIU8" t="s">
        <v>289</v>
      </c>
      <c r="CIV8" t="s">
        <v>289</v>
      </c>
      <c r="CIW8" t="s">
        <v>289</v>
      </c>
      <c r="CIX8" t="s">
        <v>289</v>
      </c>
      <c r="CIY8" t="s">
        <v>289</v>
      </c>
      <c r="CIZ8" t="s">
        <v>289</v>
      </c>
      <c r="CJA8" t="s">
        <v>289</v>
      </c>
      <c r="CJB8" t="s">
        <v>289</v>
      </c>
      <c r="CJC8" t="s">
        <v>289</v>
      </c>
      <c r="CJD8" t="s">
        <v>289</v>
      </c>
      <c r="CJE8" t="s">
        <v>289</v>
      </c>
      <c r="CJF8" t="s">
        <v>289</v>
      </c>
      <c r="CJG8" t="s">
        <v>289</v>
      </c>
      <c r="CJH8" t="s">
        <v>289</v>
      </c>
      <c r="CJI8" t="s">
        <v>289</v>
      </c>
      <c r="CJJ8" t="s">
        <v>289</v>
      </c>
      <c r="CJK8" t="s">
        <v>289</v>
      </c>
      <c r="CJL8" t="s">
        <v>289</v>
      </c>
      <c r="CJM8" t="s">
        <v>289</v>
      </c>
      <c r="CJN8" t="s">
        <v>289</v>
      </c>
      <c r="CJO8" t="s">
        <v>289</v>
      </c>
      <c r="CJP8" t="s">
        <v>289</v>
      </c>
      <c r="CJQ8" t="s">
        <v>289</v>
      </c>
      <c r="CJR8" t="s">
        <v>289</v>
      </c>
      <c r="CJS8" t="s">
        <v>289</v>
      </c>
      <c r="CJT8" t="s">
        <v>289</v>
      </c>
      <c r="CJU8" t="s">
        <v>289</v>
      </c>
      <c r="CJV8" t="s">
        <v>289</v>
      </c>
      <c r="CJW8" t="s">
        <v>289</v>
      </c>
      <c r="CJX8" t="s">
        <v>289</v>
      </c>
      <c r="CJY8" t="s">
        <v>289</v>
      </c>
      <c r="CJZ8" t="s">
        <v>289</v>
      </c>
      <c r="CKA8" t="s">
        <v>289</v>
      </c>
      <c r="CKB8" t="s">
        <v>289</v>
      </c>
      <c r="CKC8" t="s">
        <v>289</v>
      </c>
      <c r="CKD8" t="s">
        <v>289</v>
      </c>
      <c r="CKE8" t="s">
        <v>289</v>
      </c>
      <c r="CKF8" t="s">
        <v>289</v>
      </c>
      <c r="CKG8" t="s">
        <v>289</v>
      </c>
      <c r="CKH8" t="s">
        <v>289</v>
      </c>
      <c r="CKI8" t="s">
        <v>289</v>
      </c>
      <c r="CKJ8" t="s">
        <v>289</v>
      </c>
      <c r="CKK8" t="s">
        <v>289</v>
      </c>
      <c r="CKL8" t="s">
        <v>289</v>
      </c>
      <c r="CKM8" t="s">
        <v>289</v>
      </c>
      <c r="CKN8" t="s">
        <v>289</v>
      </c>
      <c r="CKO8" t="s">
        <v>289</v>
      </c>
      <c r="CKP8" t="s">
        <v>289</v>
      </c>
      <c r="CKQ8" t="s">
        <v>289</v>
      </c>
      <c r="CKR8" t="s">
        <v>289</v>
      </c>
      <c r="CKS8" t="s">
        <v>289</v>
      </c>
      <c r="CKT8" t="s">
        <v>289</v>
      </c>
      <c r="CKU8" t="s">
        <v>289</v>
      </c>
      <c r="CKV8" t="s">
        <v>289</v>
      </c>
      <c r="CKW8" t="s">
        <v>289</v>
      </c>
      <c r="CKX8">
        <v>35</v>
      </c>
      <c r="CKY8" t="s">
        <v>289</v>
      </c>
      <c r="CKZ8" t="s">
        <v>289</v>
      </c>
      <c r="CLA8" t="s">
        <v>289</v>
      </c>
      <c r="CLB8" t="s">
        <v>289</v>
      </c>
      <c r="CLC8" t="s">
        <v>289</v>
      </c>
      <c r="CLD8" t="s">
        <v>289</v>
      </c>
      <c r="CLE8" t="s">
        <v>289</v>
      </c>
      <c r="CLF8" t="s">
        <v>289</v>
      </c>
      <c r="CLG8" t="s">
        <v>289</v>
      </c>
      <c r="CLH8" t="s">
        <v>289</v>
      </c>
      <c r="CLI8" t="s">
        <v>289</v>
      </c>
      <c r="CLJ8" t="s">
        <v>289</v>
      </c>
      <c r="CLK8" t="s">
        <v>289</v>
      </c>
      <c r="CLL8" t="s">
        <v>289</v>
      </c>
      <c r="CLM8" t="s">
        <v>289</v>
      </c>
      <c r="CLN8" t="s">
        <v>289</v>
      </c>
      <c r="CLO8" t="s">
        <v>289</v>
      </c>
      <c r="CLP8" t="s">
        <v>289</v>
      </c>
      <c r="CLQ8" t="s">
        <v>289</v>
      </c>
      <c r="CLR8" t="s">
        <v>289</v>
      </c>
      <c r="CLS8" t="s">
        <v>289</v>
      </c>
      <c r="CLT8" t="s">
        <v>289</v>
      </c>
      <c r="CLU8" t="s">
        <v>289</v>
      </c>
      <c r="CLV8" t="s">
        <v>289</v>
      </c>
      <c r="CLW8" t="s">
        <v>289</v>
      </c>
      <c r="CLX8" t="s">
        <v>289</v>
      </c>
      <c r="CLY8" t="s">
        <v>289</v>
      </c>
      <c r="CLZ8" t="s">
        <v>289</v>
      </c>
      <c r="CMA8" t="s">
        <v>289</v>
      </c>
      <c r="CMB8" t="s">
        <v>289</v>
      </c>
      <c r="CMC8" t="s">
        <v>289</v>
      </c>
      <c r="CMD8" t="s">
        <v>289</v>
      </c>
      <c r="CME8" t="s">
        <v>289</v>
      </c>
      <c r="CMF8" t="s">
        <v>289</v>
      </c>
      <c r="CMG8" t="s">
        <v>289</v>
      </c>
      <c r="CMH8" t="s">
        <v>289</v>
      </c>
      <c r="CMI8" t="s">
        <v>289</v>
      </c>
      <c r="CMJ8" t="s">
        <v>289</v>
      </c>
      <c r="CMK8" t="s">
        <v>289</v>
      </c>
      <c r="CML8" t="s">
        <v>289</v>
      </c>
      <c r="CMM8" t="s">
        <v>289</v>
      </c>
      <c r="CMN8" t="s">
        <v>289</v>
      </c>
      <c r="CMO8" t="s">
        <v>289</v>
      </c>
      <c r="CMP8" t="s">
        <v>289</v>
      </c>
      <c r="CMQ8" t="s">
        <v>289</v>
      </c>
      <c r="CMR8" t="s">
        <v>289</v>
      </c>
      <c r="CMS8" t="s">
        <v>289</v>
      </c>
      <c r="CMT8" t="s">
        <v>289</v>
      </c>
      <c r="CMU8" t="s">
        <v>289</v>
      </c>
      <c r="CMV8" t="s">
        <v>289</v>
      </c>
      <c r="CMW8" t="s">
        <v>289</v>
      </c>
      <c r="CMX8" t="s">
        <v>289</v>
      </c>
      <c r="CMY8" t="s">
        <v>289</v>
      </c>
      <c r="CMZ8" t="s">
        <v>289</v>
      </c>
      <c r="CNA8" t="s">
        <v>289</v>
      </c>
      <c r="CNB8" t="s">
        <v>289</v>
      </c>
      <c r="CNC8" t="s">
        <v>289</v>
      </c>
      <c r="CND8" t="s">
        <v>289</v>
      </c>
      <c r="CNE8">
        <v>271</v>
      </c>
      <c r="CNF8">
        <v>320</v>
      </c>
      <c r="CNG8">
        <v>275</v>
      </c>
      <c r="CNH8">
        <v>252</v>
      </c>
      <c r="CNI8">
        <v>242</v>
      </c>
      <c r="CNJ8">
        <v>128</v>
      </c>
      <c r="CNK8">
        <v>117</v>
      </c>
      <c r="CNL8" t="s">
        <v>289</v>
      </c>
      <c r="CNM8" t="s">
        <v>289</v>
      </c>
      <c r="CNN8" t="s">
        <v>289</v>
      </c>
      <c r="CNO8" t="s">
        <v>289</v>
      </c>
      <c r="CNP8" t="s">
        <v>289</v>
      </c>
      <c r="CNQ8" t="s">
        <v>289</v>
      </c>
      <c r="CNR8" t="s">
        <v>289</v>
      </c>
      <c r="CNS8" t="s">
        <v>289</v>
      </c>
      <c r="CNT8" t="s">
        <v>289</v>
      </c>
      <c r="CNU8" t="s">
        <v>289</v>
      </c>
      <c r="CNV8">
        <v>7618</v>
      </c>
      <c r="CNW8">
        <v>8169</v>
      </c>
      <c r="CNX8">
        <v>9751</v>
      </c>
      <c r="CNY8">
        <v>10594</v>
      </c>
      <c r="CNZ8">
        <v>10385</v>
      </c>
      <c r="COA8">
        <v>9948</v>
      </c>
      <c r="COB8">
        <v>10462</v>
      </c>
      <c r="COC8">
        <v>9183</v>
      </c>
      <c r="COD8">
        <v>18646</v>
      </c>
      <c r="COE8" t="s">
        <v>289</v>
      </c>
      <c r="COF8" t="s">
        <v>289</v>
      </c>
      <c r="COG8" t="s">
        <v>289</v>
      </c>
      <c r="COH8" t="s">
        <v>289</v>
      </c>
      <c r="COI8" t="s">
        <v>289</v>
      </c>
      <c r="COJ8" t="s">
        <v>289</v>
      </c>
      <c r="COK8" t="s">
        <v>289</v>
      </c>
      <c r="COL8" t="s">
        <v>289</v>
      </c>
      <c r="COM8" t="s">
        <v>289</v>
      </c>
      <c r="CON8" t="s">
        <v>289</v>
      </c>
      <c r="COO8" t="s">
        <v>289</v>
      </c>
      <c r="COP8">
        <v>1064.2018</v>
      </c>
      <c r="COQ8">
        <v>1550.6833999999999</v>
      </c>
      <c r="COR8">
        <v>2492.1017000000002</v>
      </c>
      <c r="COS8">
        <v>2793.8863999999999</v>
      </c>
      <c r="COT8">
        <v>5108.0277999999998</v>
      </c>
      <c r="COU8">
        <v>2508.0724</v>
      </c>
      <c r="COV8" t="s">
        <v>289</v>
      </c>
      <c r="COW8" t="s">
        <v>289</v>
      </c>
      <c r="COX8" t="s">
        <v>289</v>
      </c>
      <c r="COY8" t="s">
        <v>289</v>
      </c>
      <c r="COZ8" t="s">
        <v>289</v>
      </c>
      <c r="CPA8" t="s">
        <v>289</v>
      </c>
      <c r="CPB8" t="s">
        <v>289</v>
      </c>
      <c r="CPC8" t="s">
        <v>289</v>
      </c>
      <c r="CPD8" t="s">
        <v>289</v>
      </c>
      <c r="CPE8" t="s">
        <v>289</v>
      </c>
      <c r="CPF8" t="s">
        <v>289</v>
      </c>
      <c r="CPG8" t="s">
        <v>289</v>
      </c>
      <c r="CPH8">
        <v>2247</v>
      </c>
      <c r="CPI8">
        <v>1571</v>
      </c>
      <c r="CPJ8">
        <v>3913</v>
      </c>
      <c r="CPK8">
        <v>1669</v>
      </c>
      <c r="CPL8">
        <v>179</v>
      </c>
      <c r="CPM8">
        <v>998</v>
      </c>
      <c r="CPN8">
        <v>-4030</v>
      </c>
      <c r="CPO8">
        <v>-4027</v>
      </c>
      <c r="CPP8">
        <v>-2081</v>
      </c>
      <c r="CPQ8" t="s">
        <v>289</v>
      </c>
      <c r="CPR8" t="s">
        <v>289</v>
      </c>
      <c r="CPS8" t="s">
        <v>289</v>
      </c>
      <c r="CPT8" t="s">
        <v>289</v>
      </c>
      <c r="CPU8" t="s">
        <v>289</v>
      </c>
      <c r="CPV8" t="s">
        <v>289</v>
      </c>
      <c r="CPW8" t="s">
        <v>289</v>
      </c>
      <c r="CPX8" t="s">
        <v>289</v>
      </c>
      <c r="CPY8" t="s">
        <v>289</v>
      </c>
      <c r="CPZ8" t="s">
        <v>289</v>
      </c>
      <c r="CQA8" t="s">
        <v>289</v>
      </c>
      <c r="CQB8" t="s">
        <v>289</v>
      </c>
      <c r="CQC8" t="s">
        <v>289</v>
      </c>
      <c r="CQD8" t="s">
        <v>289</v>
      </c>
      <c r="CQE8" t="s">
        <v>289</v>
      </c>
      <c r="CQF8" t="s">
        <v>289</v>
      </c>
      <c r="CQG8" t="s">
        <v>289</v>
      </c>
      <c r="CQH8" t="s">
        <v>289</v>
      </c>
      <c r="CQI8" t="s">
        <v>289</v>
      </c>
      <c r="CQJ8" t="s">
        <v>289</v>
      </c>
      <c r="CQK8" t="s">
        <v>289</v>
      </c>
      <c r="CQL8" t="s">
        <v>289</v>
      </c>
      <c r="CQM8" t="s">
        <v>289</v>
      </c>
      <c r="CQN8" t="s">
        <v>289</v>
      </c>
      <c r="CQO8" t="s">
        <v>289</v>
      </c>
      <c r="CQP8" t="s">
        <v>289</v>
      </c>
      <c r="CQQ8" t="s">
        <v>289</v>
      </c>
      <c r="CQR8" t="s">
        <v>289</v>
      </c>
      <c r="CQS8" t="s">
        <v>289</v>
      </c>
      <c r="CQT8" t="s">
        <v>289</v>
      </c>
      <c r="CQU8" t="s">
        <v>289</v>
      </c>
      <c r="CQV8" t="s">
        <v>289</v>
      </c>
      <c r="CQW8" t="s">
        <v>289</v>
      </c>
      <c r="CQX8" t="s">
        <v>289</v>
      </c>
      <c r="CQY8" t="s">
        <v>289</v>
      </c>
      <c r="CQZ8" t="s">
        <v>289</v>
      </c>
      <c r="CRA8" t="s">
        <v>289</v>
      </c>
      <c r="CRB8" t="s">
        <v>289</v>
      </c>
      <c r="CRC8" t="s">
        <v>289</v>
      </c>
      <c r="CRD8" t="s">
        <v>289</v>
      </c>
      <c r="CRE8" t="s">
        <v>289</v>
      </c>
      <c r="CRF8" t="s">
        <v>289</v>
      </c>
      <c r="CRG8" t="s">
        <v>289</v>
      </c>
      <c r="CRH8" t="s">
        <v>289</v>
      </c>
      <c r="CRI8" t="s">
        <v>289</v>
      </c>
      <c r="CRJ8" t="s">
        <v>289</v>
      </c>
      <c r="CRK8" t="s">
        <v>289</v>
      </c>
      <c r="CRL8" t="s">
        <v>289</v>
      </c>
      <c r="CRM8" t="s">
        <v>289</v>
      </c>
      <c r="CRN8" t="s">
        <v>289</v>
      </c>
      <c r="CRO8" t="s">
        <v>289</v>
      </c>
      <c r="CRP8" t="s">
        <v>289</v>
      </c>
      <c r="CRQ8" t="s">
        <v>289</v>
      </c>
      <c r="CRR8" t="s">
        <v>289</v>
      </c>
      <c r="CRS8" t="s">
        <v>289</v>
      </c>
      <c r="CRT8" t="s">
        <v>289</v>
      </c>
      <c r="CRU8" t="s">
        <v>289</v>
      </c>
      <c r="CRV8" t="s">
        <v>289</v>
      </c>
      <c r="CRW8" t="s">
        <v>289</v>
      </c>
      <c r="CRX8" t="s">
        <v>289</v>
      </c>
      <c r="CRY8" t="s">
        <v>289</v>
      </c>
      <c r="CRZ8" t="s">
        <v>289</v>
      </c>
      <c r="CSA8" t="s">
        <v>289</v>
      </c>
      <c r="CSB8" t="s">
        <v>289</v>
      </c>
      <c r="CSC8" t="s">
        <v>289</v>
      </c>
      <c r="CSD8" t="s">
        <v>289</v>
      </c>
      <c r="CSE8" t="s">
        <v>289</v>
      </c>
      <c r="CSF8" t="s">
        <v>289</v>
      </c>
      <c r="CSG8" t="s">
        <v>289</v>
      </c>
      <c r="CSH8" t="s">
        <v>289</v>
      </c>
      <c r="CSI8" t="s">
        <v>289</v>
      </c>
      <c r="CSJ8" t="s">
        <v>289</v>
      </c>
      <c r="CSK8" t="s">
        <v>289</v>
      </c>
      <c r="CSL8" t="s">
        <v>289</v>
      </c>
      <c r="CSM8" t="s">
        <v>289</v>
      </c>
      <c r="CSN8" t="s">
        <v>289</v>
      </c>
      <c r="CSO8" t="s">
        <v>289</v>
      </c>
      <c r="CSP8" t="s">
        <v>289</v>
      </c>
      <c r="CSQ8" t="s">
        <v>289</v>
      </c>
      <c r="CSR8" t="s">
        <v>289</v>
      </c>
      <c r="CSS8" t="s">
        <v>289</v>
      </c>
      <c r="CST8" t="s">
        <v>289</v>
      </c>
      <c r="CSU8" t="s">
        <v>289</v>
      </c>
      <c r="CSV8" t="s">
        <v>289</v>
      </c>
      <c r="CSW8" t="s">
        <v>289</v>
      </c>
      <c r="CSX8" t="s">
        <v>289</v>
      </c>
      <c r="CSY8" t="s">
        <v>289</v>
      </c>
      <c r="CSZ8" t="s">
        <v>289</v>
      </c>
      <c r="CTA8" t="s">
        <v>289</v>
      </c>
      <c r="CTB8" t="s">
        <v>289</v>
      </c>
      <c r="CTC8" t="s">
        <v>289</v>
      </c>
      <c r="CTD8" t="s">
        <v>289</v>
      </c>
      <c r="CTE8" t="s">
        <v>289</v>
      </c>
      <c r="CTF8" t="s">
        <v>289</v>
      </c>
      <c r="CTG8" t="s">
        <v>289</v>
      </c>
      <c r="CTH8" t="s">
        <v>289</v>
      </c>
      <c r="CTI8" t="s">
        <v>289</v>
      </c>
      <c r="CTJ8" t="s">
        <v>289</v>
      </c>
      <c r="CTK8" t="s">
        <v>289</v>
      </c>
      <c r="CTL8" t="s">
        <v>289</v>
      </c>
      <c r="CTM8" t="s">
        <v>289</v>
      </c>
      <c r="CTN8" t="s">
        <v>289</v>
      </c>
      <c r="CTO8" t="s">
        <v>289</v>
      </c>
      <c r="CTP8" t="s">
        <v>289</v>
      </c>
      <c r="CTQ8" t="s">
        <v>289</v>
      </c>
      <c r="CTR8" t="s">
        <v>289</v>
      </c>
      <c r="CTS8" t="s">
        <v>289</v>
      </c>
      <c r="CTT8" t="s">
        <v>289</v>
      </c>
      <c r="CTU8" t="s">
        <v>289</v>
      </c>
      <c r="CTV8" t="s">
        <v>289</v>
      </c>
      <c r="CTW8" t="s">
        <v>289</v>
      </c>
      <c r="CTX8" t="s">
        <v>289</v>
      </c>
      <c r="CTY8" t="s">
        <v>289</v>
      </c>
      <c r="CTZ8" t="s">
        <v>289</v>
      </c>
      <c r="CUA8" t="s">
        <v>289</v>
      </c>
      <c r="CUB8" t="s">
        <v>289</v>
      </c>
      <c r="CUC8" t="s">
        <v>289</v>
      </c>
      <c r="CUD8" t="s">
        <v>289</v>
      </c>
      <c r="CUE8" t="s">
        <v>289</v>
      </c>
      <c r="CUF8" t="s">
        <v>289</v>
      </c>
      <c r="CUG8" t="s">
        <v>289</v>
      </c>
      <c r="CUH8" t="s">
        <v>289</v>
      </c>
      <c r="CUI8" t="s">
        <v>289</v>
      </c>
      <c r="CUJ8" t="s">
        <v>289</v>
      </c>
      <c r="CUK8" t="s">
        <v>289</v>
      </c>
      <c r="CUL8" t="s">
        <v>289</v>
      </c>
      <c r="CUM8" t="s">
        <v>289</v>
      </c>
      <c r="CUN8" t="s">
        <v>289</v>
      </c>
      <c r="CUO8" t="s">
        <v>289</v>
      </c>
      <c r="CUP8" t="s">
        <v>289</v>
      </c>
      <c r="CUQ8" t="s">
        <v>289</v>
      </c>
      <c r="CUR8" t="s">
        <v>289</v>
      </c>
      <c r="CUS8" t="s">
        <v>289</v>
      </c>
      <c r="CUT8" t="s">
        <v>289</v>
      </c>
      <c r="CUU8">
        <v>6649.2309999999998</v>
      </c>
      <c r="CUV8">
        <v>11525.6</v>
      </c>
      <c r="CUW8">
        <v>-4296.857</v>
      </c>
      <c r="CUX8">
        <v>6649.2309999999998</v>
      </c>
      <c r="CUY8">
        <v>108053.944</v>
      </c>
      <c r="CUZ8">
        <v>-8061.1109999999999</v>
      </c>
      <c r="CVA8">
        <v>5855.2219999999998</v>
      </c>
      <c r="CVB8">
        <v>13589.909</v>
      </c>
      <c r="CVC8">
        <v>-6047.85</v>
      </c>
      <c r="CVD8">
        <v>5508.1109999999999</v>
      </c>
      <c r="CVE8">
        <v>135329.84599999999</v>
      </c>
      <c r="CVF8">
        <v>-11185.429</v>
      </c>
      <c r="CVG8">
        <v>15270.75</v>
      </c>
      <c r="CVH8">
        <v>20823.277999999998</v>
      </c>
      <c r="CVI8">
        <v>-13907.416999999999</v>
      </c>
      <c r="CVJ8">
        <v>14771.076999999999</v>
      </c>
      <c r="CVK8">
        <v>149225.66699999999</v>
      </c>
      <c r="CVL8">
        <v>-10422.352999999999</v>
      </c>
      <c r="CVM8">
        <v>20940.48</v>
      </c>
      <c r="CVN8">
        <v>26908.582999999999</v>
      </c>
      <c r="CVO8">
        <v>-22010.611000000001</v>
      </c>
      <c r="CVP8">
        <v>21058.577000000001</v>
      </c>
      <c r="CVQ8">
        <v>171322.55600000001</v>
      </c>
      <c r="CVR8">
        <v>-11361.058999999999</v>
      </c>
      <c r="CVS8">
        <v>18981.28</v>
      </c>
      <c r="CVT8">
        <v>26150.082999999999</v>
      </c>
      <c r="CVU8">
        <v>-22783.388999999999</v>
      </c>
      <c r="CVV8">
        <v>19032.346000000001</v>
      </c>
      <c r="CVW8">
        <v>181576.815</v>
      </c>
      <c r="CVX8">
        <v>-12211.706</v>
      </c>
      <c r="CVY8">
        <v>19841.952000000001</v>
      </c>
      <c r="CVZ8">
        <v>27316.5</v>
      </c>
      <c r="CWA8">
        <v>-29698.625</v>
      </c>
      <c r="CWB8">
        <v>19946.773000000001</v>
      </c>
      <c r="CWC8">
        <v>190542.45499999999</v>
      </c>
      <c r="CWD8">
        <v>-12633.786</v>
      </c>
      <c r="CWE8">
        <v>23653.599999999999</v>
      </c>
      <c r="CWF8">
        <v>30262.5</v>
      </c>
      <c r="CWG8">
        <v>-31576.667000000001</v>
      </c>
      <c r="CWH8">
        <v>24174.5</v>
      </c>
      <c r="CWI8">
        <v>203285.25</v>
      </c>
      <c r="CWJ8">
        <v>-13003</v>
      </c>
      <c r="CWK8" t="s">
        <v>289</v>
      </c>
      <c r="CWL8" t="s">
        <v>289</v>
      </c>
      <c r="CWM8" t="s">
        <v>289</v>
      </c>
      <c r="CWN8" t="s">
        <v>289</v>
      </c>
      <c r="CWO8" t="s">
        <v>289</v>
      </c>
      <c r="CWP8" t="s">
        <v>289</v>
      </c>
      <c r="CWQ8" t="s">
        <v>289</v>
      </c>
      <c r="CWR8" t="s">
        <v>289</v>
      </c>
      <c r="CWS8" t="s">
        <v>289</v>
      </c>
      <c r="CWT8">
        <v>7618</v>
      </c>
      <c r="CWU8">
        <v>8169</v>
      </c>
      <c r="CWV8">
        <v>9751</v>
      </c>
      <c r="CWW8">
        <v>10594</v>
      </c>
      <c r="CWX8">
        <v>10385</v>
      </c>
      <c r="CWY8">
        <v>9948</v>
      </c>
      <c r="CWZ8">
        <v>10462</v>
      </c>
      <c r="CXA8">
        <v>9183</v>
      </c>
      <c r="CXB8">
        <v>18646</v>
      </c>
      <c r="CXC8" t="s">
        <v>289</v>
      </c>
      <c r="CXD8" t="s">
        <v>289</v>
      </c>
      <c r="CXE8" t="s">
        <v>289</v>
      </c>
      <c r="CXF8" t="s">
        <v>289</v>
      </c>
      <c r="CXG8" t="s">
        <v>289</v>
      </c>
      <c r="CXH8" t="s">
        <v>289</v>
      </c>
      <c r="CXI8" t="s">
        <v>289</v>
      </c>
      <c r="CXJ8" t="s">
        <v>289</v>
      </c>
      <c r="CXK8" t="s">
        <v>289</v>
      </c>
      <c r="CXL8" t="s">
        <v>289</v>
      </c>
      <c r="CXM8" t="s">
        <v>289</v>
      </c>
      <c r="CXN8" t="s">
        <v>289</v>
      </c>
      <c r="CXO8" t="s">
        <v>289</v>
      </c>
      <c r="CXP8" t="s">
        <v>289</v>
      </c>
      <c r="CXQ8" t="s">
        <v>289</v>
      </c>
      <c r="CXR8" t="s">
        <v>289</v>
      </c>
      <c r="CXS8" t="s">
        <v>289</v>
      </c>
      <c r="CXT8" t="s">
        <v>289</v>
      </c>
      <c r="CXU8" t="s">
        <v>289</v>
      </c>
      <c r="CXV8" t="s">
        <v>289</v>
      </c>
      <c r="CXW8" t="s">
        <v>289</v>
      </c>
      <c r="CXX8" t="s">
        <v>289</v>
      </c>
      <c r="CXY8" t="s">
        <v>289</v>
      </c>
      <c r="CXZ8" t="s">
        <v>289</v>
      </c>
      <c r="CYA8" t="s">
        <v>289</v>
      </c>
      <c r="CYB8" t="s">
        <v>289</v>
      </c>
      <c r="CYC8" t="s">
        <v>289</v>
      </c>
      <c r="CYD8" t="s">
        <v>289</v>
      </c>
      <c r="CYE8" t="s">
        <v>289</v>
      </c>
      <c r="CYF8" t="s">
        <v>289</v>
      </c>
      <c r="CYG8">
        <v>1470</v>
      </c>
      <c r="CYH8">
        <v>1571</v>
      </c>
      <c r="CYI8">
        <v>776</v>
      </c>
      <c r="CYJ8">
        <v>937</v>
      </c>
      <c r="CYK8">
        <v>-1240</v>
      </c>
      <c r="CYL8">
        <v>2020</v>
      </c>
      <c r="CYM8">
        <v>565</v>
      </c>
      <c r="CYN8">
        <v>-1273</v>
      </c>
      <c r="CYO8" t="s">
        <v>289</v>
      </c>
      <c r="CYP8" t="s">
        <v>289</v>
      </c>
      <c r="CYQ8" t="s">
        <v>289</v>
      </c>
      <c r="CYR8" t="s">
        <v>289</v>
      </c>
      <c r="CYS8" t="s">
        <v>289</v>
      </c>
      <c r="CYT8" t="s">
        <v>289</v>
      </c>
      <c r="CYU8" t="s">
        <v>289</v>
      </c>
      <c r="CYV8" t="s">
        <v>289</v>
      </c>
      <c r="CYW8" t="s">
        <v>289</v>
      </c>
      <c r="CYX8" t="s">
        <v>289</v>
      </c>
      <c r="CYY8" t="s">
        <v>289</v>
      </c>
      <c r="CYZ8">
        <v>-821</v>
      </c>
      <c r="CZA8">
        <v>-958</v>
      </c>
      <c r="CZB8">
        <v>-471</v>
      </c>
      <c r="CZC8">
        <v>-1596</v>
      </c>
      <c r="CZD8">
        <v>1399</v>
      </c>
      <c r="CZE8">
        <v>1017</v>
      </c>
      <c r="CZF8">
        <v>983</v>
      </c>
      <c r="CZG8">
        <v>2201</v>
      </c>
      <c r="CZH8" t="s">
        <v>289</v>
      </c>
      <c r="CZI8" t="s">
        <v>289</v>
      </c>
      <c r="CZJ8" t="s">
        <v>289</v>
      </c>
      <c r="CZK8" t="s">
        <v>289</v>
      </c>
      <c r="CZL8" t="s">
        <v>289</v>
      </c>
      <c r="CZM8" t="s">
        <v>289</v>
      </c>
      <c r="CZN8" t="s">
        <v>289</v>
      </c>
      <c r="CZO8" t="s">
        <v>289</v>
      </c>
      <c r="CZP8" t="s">
        <v>289</v>
      </c>
      <c r="CZQ8" t="s">
        <v>289</v>
      </c>
      <c r="CZR8" t="s">
        <v>289</v>
      </c>
      <c r="CZS8" t="s">
        <v>289</v>
      </c>
      <c r="CZT8" t="s">
        <v>289</v>
      </c>
      <c r="CZU8" t="s">
        <v>289</v>
      </c>
      <c r="CZV8" t="s">
        <v>289</v>
      </c>
      <c r="CZW8" t="s">
        <v>289</v>
      </c>
      <c r="CZX8" t="s">
        <v>289</v>
      </c>
      <c r="CZY8" t="s">
        <v>289</v>
      </c>
      <c r="CZZ8" t="s">
        <v>289</v>
      </c>
      <c r="DAA8" t="s">
        <v>289</v>
      </c>
      <c r="DAB8" t="s">
        <v>289</v>
      </c>
      <c r="DAC8" t="s">
        <v>289</v>
      </c>
      <c r="DAD8" t="s">
        <v>289</v>
      </c>
      <c r="DAE8" t="s">
        <v>289</v>
      </c>
      <c r="DAF8" t="s">
        <v>289</v>
      </c>
      <c r="DAG8" t="s">
        <v>289</v>
      </c>
      <c r="DAH8" t="s">
        <v>289</v>
      </c>
      <c r="DAI8" t="s">
        <v>289</v>
      </c>
      <c r="DAJ8" t="s">
        <v>289</v>
      </c>
      <c r="DAK8" t="s">
        <v>289</v>
      </c>
      <c r="DAL8" t="s">
        <v>289</v>
      </c>
      <c r="DAM8" t="s">
        <v>289</v>
      </c>
      <c r="DAN8" t="s">
        <v>289</v>
      </c>
      <c r="DAO8" t="s">
        <v>289</v>
      </c>
      <c r="DAP8" t="s">
        <v>289</v>
      </c>
      <c r="DAQ8" t="s">
        <v>289</v>
      </c>
      <c r="DAR8" t="s">
        <v>289</v>
      </c>
      <c r="DAS8" t="s">
        <v>289</v>
      </c>
      <c r="DAT8" t="s">
        <v>289</v>
      </c>
      <c r="DAU8" t="s">
        <v>289</v>
      </c>
      <c r="DAV8" t="s">
        <v>289</v>
      </c>
      <c r="DAW8" t="s">
        <v>289</v>
      </c>
      <c r="DAX8" t="s">
        <v>289</v>
      </c>
      <c r="DAY8" t="s">
        <v>289</v>
      </c>
      <c r="DAZ8" t="s">
        <v>289</v>
      </c>
      <c r="DBA8" t="s">
        <v>289</v>
      </c>
      <c r="DBB8" t="s">
        <v>289</v>
      </c>
      <c r="DBC8" t="s">
        <v>289</v>
      </c>
      <c r="DBD8" t="s">
        <v>289</v>
      </c>
      <c r="DBE8" t="s">
        <v>289</v>
      </c>
      <c r="DBF8" t="s">
        <v>289</v>
      </c>
      <c r="DBG8" t="s">
        <v>289</v>
      </c>
      <c r="DBH8" t="s">
        <v>289</v>
      </c>
      <c r="DBI8" t="s">
        <v>289</v>
      </c>
      <c r="DBJ8" t="s">
        <v>289</v>
      </c>
      <c r="DBK8" t="s">
        <v>289</v>
      </c>
      <c r="DBL8" t="s">
        <v>289</v>
      </c>
      <c r="DBM8" t="s">
        <v>289</v>
      </c>
      <c r="DBN8" t="s">
        <v>289</v>
      </c>
      <c r="DBO8" t="s">
        <v>289</v>
      </c>
      <c r="DBP8" t="s">
        <v>289</v>
      </c>
      <c r="DBQ8" t="s">
        <v>289</v>
      </c>
      <c r="DBR8" t="s">
        <v>289</v>
      </c>
      <c r="DBS8" t="s">
        <v>289</v>
      </c>
      <c r="DBT8" t="s">
        <v>289</v>
      </c>
      <c r="DBU8" t="s">
        <v>289</v>
      </c>
      <c r="DBV8" t="s">
        <v>289</v>
      </c>
      <c r="DBW8" t="s">
        <v>289</v>
      </c>
      <c r="DBX8">
        <v>106</v>
      </c>
      <c r="DBY8">
        <v>-191</v>
      </c>
      <c r="DBZ8">
        <v>177</v>
      </c>
      <c r="DCA8">
        <v>-157</v>
      </c>
      <c r="DCB8">
        <v>19</v>
      </c>
      <c r="DCC8">
        <v>100</v>
      </c>
      <c r="DCD8">
        <v>366</v>
      </c>
      <c r="DCE8">
        <v>246</v>
      </c>
      <c r="DCF8" t="s">
        <v>289</v>
      </c>
      <c r="DCG8" t="s">
        <v>289</v>
      </c>
      <c r="DCH8" t="s">
        <v>289</v>
      </c>
      <c r="DCI8" t="s">
        <v>289</v>
      </c>
      <c r="DCJ8" t="s">
        <v>289</v>
      </c>
      <c r="DCK8" t="s">
        <v>289</v>
      </c>
      <c r="DCL8" t="s">
        <v>289</v>
      </c>
      <c r="DCM8" t="s">
        <v>289</v>
      </c>
      <c r="DCN8" t="s">
        <v>289</v>
      </c>
      <c r="DCO8" t="s">
        <v>289</v>
      </c>
      <c r="DCP8" t="s">
        <v>289</v>
      </c>
      <c r="DCQ8" t="s">
        <v>289</v>
      </c>
      <c r="DCR8" t="s">
        <v>289</v>
      </c>
      <c r="DCS8" t="s">
        <v>289</v>
      </c>
      <c r="DCT8" t="s">
        <v>289</v>
      </c>
      <c r="DCU8" t="s">
        <v>289</v>
      </c>
      <c r="DCV8" t="s">
        <v>289</v>
      </c>
      <c r="DCW8" t="s">
        <v>289</v>
      </c>
      <c r="DCX8" t="s">
        <v>289</v>
      </c>
      <c r="DCY8" t="s">
        <v>289</v>
      </c>
      <c r="DCZ8" t="s">
        <v>289</v>
      </c>
      <c r="DDA8" t="s">
        <v>289</v>
      </c>
      <c r="DDB8" t="s">
        <v>289</v>
      </c>
      <c r="DDC8" t="s">
        <v>289</v>
      </c>
      <c r="DDD8" t="s">
        <v>289</v>
      </c>
      <c r="DDE8" t="s">
        <v>289</v>
      </c>
      <c r="DDF8" t="s">
        <v>289</v>
      </c>
      <c r="DDG8" t="s">
        <v>289</v>
      </c>
      <c r="DDH8" t="s">
        <v>289</v>
      </c>
      <c r="DDI8" t="s">
        <v>289</v>
      </c>
      <c r="DDJ8" t="s">
        <v>289</v>
      </c>
      <c r="DDK8" t="s">
        <v>289</v>
      </c>
      <c r="DDL8" t="s">
        <v>289</v>
      </c>
      <c r="DDM8" t="s">
        <v>289</v>
      </c>
      <c r="DDN8" t="s">
        <v>289</v>
      </c>
      <c r="DDO8" t="s">
        <v>289</v>
      </c>
      <c r="DDP8" t="s">
        <v>289</v>
      </c>
      <c r="DDQ8" t="s">
        <v>289</v>
      </c>
      <c r="DDR8" t="s">
        <v>289</v>
      </c>
      <c r="DDS8" t="s">
        <v>289</v>
      </c>
      <c r="DDT8" t="s">
        <v>289</v>
      </c>
      <c r="DDU8" t="s">
        <v>289</v>
      </c>
      <c r="DDV8" t="s">
        <v>289</v>
      </c>
      <c r="DDW8" t="s">
        <v>289</v>
      </c>
      <c r="DDX8" t="s">
        <v>289</v>
      </c>
      <c r="DDY8" t="s">
        <v>289</v>
      </c>
      <c r="DDZ8" t="s">
        <v>289</v>
      </c>
      <c r="DEA8" t="s">
        <v>289</v>
      </c>
      <c r="DEB8" t="s">
        <v>289</v>
      </c>
      <c r="DEC8" t="s">
        <v>289</v>
      </c>
      <c r="DED8" t="s">
        <v>289</v>
      </c>
      <c r="DEE8" t="s">
        <v>289</v>
      </c>
      <c r="DEF8" t="s">
        <v>289</v>
      </c>
      <c r="DEG8" t="s">
        <v>289</v>
      </c>
      <c r="DEH8" t="s">
        <v>289</v>
      </c>
      <c r="DEI8" t="s">
        <v>289</v>
      </c>
      <c r="DEJ8" t="s">
        <v>289</v>
      </c>
      <c r="DEK8" t="s">
        <v>289</v>
      </c>
      <c r="DEL8" t="s">
        <v>289</v>
      </c>
      <c r="DEM8" t="s">
        <v>289</v>
      </c>
      <c r="DEN8" t="s">
        <v>289</v>
      </c>
      <c r="DEO8" t="s">
        <v>289</v>
      </c>
      <c r="DEP8" t="s">
        <v>289</v>
      </c>
      <c r="DEQ8" t="s">
        <v>289</v>
      </c>
      <c r="DER8" t="s">
        <v>289</v>
      </c>
      <c r="DES8" t="s">
        <v>289</v>
      </c>
      <c r="DET8" t="s">
        <v>289</v>
      </c>
      <c r="DEU8" t="s">
        <v>289</v>
      </c>
      <c r="DEV8" t="s">
        <v>289</v>
      </c>
      <c r="DEW8" t="s">
        <v>289</v>
      </c>
      <c r="DEX8" t="s">
        <v>289</v>
      </c>
      <c r="DEY8" t="s">
        <v>289</v>
      </c>
      <c r="DEZ8" t="s">
        <v>289</v>
      </c>
      <c r="DFA8" t="s">
        <v>289</v>
      </c>
      <c r="DFB8" t="s">
        <v>289</v>
      </c>
      <c r="DFC8" t="s">
        <v>289</v>
      </c>
      <c r="DFD8" t="s">
        <v>289</v>
      </c>
      <c r="DFE8" t="s">
        <v>289</v>
      </c>
      <c r="DFF8" t="s">
        <v>289</v>
      </c>
      <c r="DFG8" t="s">
        <v>289</v>
      </c>
      <c r="DFH8" t="s">
        <v>289</v>
      </c>
      <c r="DFI8" t="s">
        <v>289</v>
      </c>
      <c r="DFJ8" t="s">
        <v>289</v>
      </c>
      <c r="DFK8" t="s">
        <v>289</v>
      </c>
      <c r="DFL8" t="s">
        <v>289</v>
      </c>
      <c r="DFM8" t="s">
        <v>289</v>
      </c>
      <c r="DFN8" t="s">
        <v>289</v>
      </c>
      <c r="DFO8" t="s">
        <v>289</v>
      </c>
      <c r="DFP8" t="s">
        <v>289</v>
      </c>
      <c r="DFQ8" t="s">
        <v>289</v>
      </c>
      <c r="DFR8" t="s">
        <v>289</v>
      </c>
      <c r="DFS8" t="s">
        <v>289</v>
      </c>
      <c r="DFT8" t="s">
        <v>289</v>
      </c>
      <c r="DFU8" t="s">
        <v>289</v>
      </c>
      <c r="DFV8" t="s">
        <v>289</v>
      </c>
      <c r="DFW8" t="s">
        <v>289</v>
      </c>
      <c r="DFX8" t="s">
        <v>289</v>
      </c>
      <c r="DFY8" t="s">
        <v>289</v>
      </c>
      <c r="DFZ8" t="s">
        <v>289</v>
      </c>
      <c r="DGA8" t="s">
        <v>289</v>
      </c>
      <c r="DGB8" t="s">
        <v>289</v>
      </c>
      <c r="DGC8" t="s">
        <v>289</v>
      </c>
      <c r="DGD8" t="s">
        <v>289</v>
      </c>
      <c r="DGE8" t="s">
        <v>289</v>
      </c>
      <c r="DGF8" t="s">
        <v>289</v>
      </c>
      <c r="DGG8" t="s">
        <v>289</v>
      </c>
      <c r="DGH8" t="s">
        <v>289</v>
      </c>
      <c r="DGI8" t="s">
        <v>289</v>
      </c>
      <c r="DGJ8" t="s">
        <v>289</v>
      </c>
      <c r="DGK8" t="s">
        <v>289</v>
      </c>
      <c r="DGL8" t="s">
        <v>289</v>
      </c>
      <c r="DGM8" t="s">
        <v>289</v>
      </c>
      <c r="DGN8" t="s">
        <v>289</v>
      </c>
      <c r="DGO8" t="s">
        <v>289</v>
      </c>
      <c r="DGP8" t="s">
        <v>289</v>
      </c>
      <c r="DGQ8" t="s">
        <v>289</v>
      </c>
      <c r="DGR8" t="s">
        <v>289</v>
      </c>
      <c r="DGS8" t="s">
        <v>289</v>
      </c>
      <c r="DGT8" t="s">
        <v>289</v>
      </c>
      <c r="DGU8" t="s">
        <v>289</v>
      </c>
      <c r="DGV8" t="s">
        <v>289</v>
      </c>
      <c r="DGW8" t="s">
        <v>289</v>
      </c>
      <c r="DGX8" t="s">
        <v>289</v>
      </c>
      <c r="DGY8" t="s">
        <v>289</v>
      </c>
      <c r="DGZ8" t="s">
        <v>289</v>
      </c>
      <c r="DHA8" t="s">
        <v>289</v>
      </c>
      <c r="DHB8" t="s">
        <v>289</v>
      </c>
      <c r="DHC8" t="s">
        <v>289</v>
      </c>
      <c r="DHD8" t="s">
        <v>289</v>
      </c>
      <c r="DHE8" t="s">
        <v>289</v>
      </c>
      <c r="DHF8" t="s">
        <v>289</v>
      </c>
      <c r="DHG8" t="s">
        <v>289</v>
      </c>
      <c r="DHH8" t="s">
        <v>289</v>
      </c>
      <c r="DHI8" t="s">
        <v>289</v>
      </c>
      <c r="DHJ8" t="s">
        <v>289</v>
      </c>
      <c r="DHK8" t="s">
        <v>289</v>
      </c>
      <c r="DHL8" t="s">
        <v>289</v>
      </c>
      <c r="DHM8" t="s">
        <v>289</v>
      </c>
      <c r="DHN8" t="s">
        <v>289</v>
      </c>
      <c r="DHO8" t="s">
        <v>289</v>
      </c>
      <c r="DHP8" t="s">
        <v>289</v>
      </c>
      <c r="DHQ8" t="s">
        <v>289</v>
      </c>
      <c r="DHR8" t="s">
        <v>289</v>
      </c>
      <c r="DHS8" t="s">
        <v>289</v>
      </c>
      <c r="DHT8" t="s">
        <v>289</v>
      </c>
      <c r="DHU8" t="s">
        <v>289</v>
      </c>
      <c r="DHV8" t="s">
        <v>289</v>
      </c>
      <c r="DHW8" t="s">
        <v>289</v>
      </c>
      <c r="DHX8" t="s">
        <v>289</v>
      </c>
      <c r="DHY8" t="s">
        <v>289</v>
      </c>
      <c r="DHZ8" t="s">
        <v>289</v>
      </c>
      <c r="DIA8" t="s">
        <v>289</v>
      </c>
      <c r="DIB8" t="s">
        <v>289</v>
      </c>
      <c r="DIC8" t="s">
        <v>289</v>
      </c>
      <c r="DID8" t="s">
        <v>289</v>
      </c>
      <c r="DIE8" t="s">
        <v>289</v>
      </c>
      <c r="DIF8" t="s">
        <v>289</v>
      </c>
      <c r="DIG8" t="s">
        <v>289</v>
      </c>
      <c r="DIH8" t="s">
        <v>289</v>
      </c>
      <c r="DII8" t="s">
        <v>289</v>
      </c>
      <c r="DIJ8" t="s">
        <v>289</v>
      </c>
      <c r="DIK8" t="s">
        <v>289</v>
      </c>
      <c r="DIL8" t="s">
        <v>289</v>
      </c>
      <c r="DIM8">
        <v>106</v>
      </c>
      <c r="DIN8">
        <v>-191</v>
      </c>
      <c r="DIO8">
        <v>177</v>
      </c>
      <c r="DIP8">
        <v>-157</v>
      </c>
      <c r="DIQ8">
        <v>19</v>
      </c>
      <c r="DIR8">
        <v>100</v>
      </c>
      <c r="DIS8">
        <v>366</v>
      </c>
      <c r="DIT8">
        <v>246</v>
      </c>
      <c r="DIU8" t="s">
        <v>289</v>
      </c>
      <c r="DIV8" t="s">
        <v>289</v>
      </c>
      <c r="DIW8" t="s">
        <v>289</v>
      </c>
      <c r="DIX8" t="s">
        <v>289</v>
      </c>
      <c r="DIY8" t="s">
        <v>289</v>
      </c>
      <c r="DIZ8" t="s">
        <v>289</v>
      </c>
      <c r="DJA8" t="s">
        <v>289</v>
      </c>
      <c r="DJB8" t="s">
        <v>289</v>
      </c>
      <c r="DJC8" t="s">
        <v>289</v>
      </c>
      <c r="DJD8" t="s">
        <v>289</v>
      </c>
      <c r="DJE8" t="s">
        <v>289</v>
      </c>
      <c r="DJF8">
        <v>-821</v>
      </c>
      <c r="DJG8">
        <v>-958</v>
      </c>
      <c r="DJH8">
        <v>-471</v>
      </c>
      <c r="DJI8">
        <v>-1596</v>
      </c>
      <c r="DJJ8">
        <v>1399</v>
      </c>
      <c r="DJK8">
        <v>1017</v>
      </c>
      <c r="DJL8">
        <v>983</v>
      </c>
      <c r="DJM8">
        <v>2201</v>
      </c>
      <c r="DJN8" t="s">
        <v>289</v>
      </c>
      <c r="DJO8" t="s">
        <v>289</v>
      </c>
      <c r="DJP8" t="s">
        <v>289</v>
      </c>
      <c r="DJQ8" t="s">
        <v>289</v>
      </c>
      <c r="DJR8" t="s">
        <v>289</v>
      </c>
      <c r="DJS8" t="s">
        <v>289</v>
      </c>
      <c r="DJT8" t="s">
        <v>289</v>
      </c>
      <c r="DJU8" t="s">
        <v>289</v>
      </c>
      <c r="DJV8" t="s">
        <v>289</v>
      </c>
      <c r="DJW8" t="s">
        <v>289</v>
      </c>
      <c r="DJX8" t="s">
        <v>289</v>
      </c>
      <c r="DJY8">
        <v>24</v>
      </c>
      <c r="DJZ8">
        <v>-580</v>
      </c>
      <c r="DKA8">
        <v>295</v>
      </c>
      <c r="DKB8">
        <v>277</v>
      </c>
      <c r="DKC8">
        <v>-1284</v>
      </c>
      <c r="DKD8">
        <v>-1268</v>
      </c>
      <c r="DKE8">
        <v>645</v>
      </c>
      <c r="DKF8" t="s">
        <v>289</v>
      </c>
      <c r="DKG8" t="s">
        <v>289</v>
      </c>
      <c r="DKH8" t="s">
        <v>289</v>
      </c>
      <c r="DKI8" t="s">
        <v>289</v>
      </c>
      <c r="DKJ8" t="s">
        <v>289</v>
      </c>
      <c r="DKK8" t="s">
        <v>289</v>
      </c>
      <c r="DKL8" t="s">
        <v>289</v>
      </c>
      <c r="DKM8" t="s">
        <v>289</v>
      </c>
      <c r="DKN8" t="s">
        <v>289</v>
      </c>
      <c r="DKO8" t="s">
        <v>289</v>
      </c>
      <c r="DKP8" t="s">
        <v>289</v>
      </c>
      <c r="DKQ8">
        <v>1410</v>
      </c>
      <c r="DKR8">
        <v>24</v>
      </c>
      <c r="DKS8">
        <v>-580</v>
      </c>
      <c r="DKT8">
        <v>295</v>
      </c>
      <c r="DKU8">
        <v>277</v>
      </c>
      <c r="DKV8">
        <v>-1284</v>
      </c>
      <c r="DKW8">
        <v>-1268</v>
      </c>
      <c r="DKX8">
        <v>645</v>
      </c>
      <c r="DKY8">
        <v>0</v>
      </c>
      <c r="DKZ8" t="s">
        <v>289</v>
      </c>
      <c r="DLA8" t="s">
        <v>289</v>
      </c>
      <c r="DLB8" t="s">
        <v>289</v>
      </c>
      <c r="DLC8" t="s">
        <v>289</v>
      </c>
      <c r="DLD8" t="s">
        <v>289</v>
      </c>
      <c r="DLE8" t="s">
        <v>289</v>
      </c>
      <c r="DLF8" t="s">
        <v>289</v>
      </c>
      <c r="DLG8" t="s">
        <v>289</v>
      </c>
      <c r="DLH8" t="s">
        <v>289</v>
      </c>
      <c r="DLI8" t="s">
        <v>289</v>
      </c>
      <c r="DLJ8" t="s">
        <v>289</v>
      </c>
      <c r="DLK8">
        <v>1470</v>
      </c>
      <c r="DLL8">
        <v>1571</v>
      </c>
      <c r="DLM8">
        <v>776</v>
      </c>
      <c r="DLN8">
        <v>937</v>
      </c>
      <c r="DLO8">
        <v>-1240</v>
      </c>
      <c r="DLP8">
        <v>2020</v>
      </c>
      <c r="DLQ8">
        <v>565</v>
      </c>
      <c r="DLR8">
        <v>-1273</v>
      </c>
      <c r="DLS8" t="s">
        <v>289</v>
      </c>
      <c r="DLT8" t="s">
        <v>289</v>
      </c>
      <c r="DLU8" t="s">
        <v>289</v>
      </c>
      <c r="DLV8" t="s">
        <v>289</v>
      </c>
      <c r="DLW8" t="s">
        <v>289</v>
      </c>
      <c r="DLX8" t="s">
        <v>289</v>
      </c>
      <c r="DLY8" t="s">
        <v>289</v>
      </c>
      <c r="DLZ8" t="s">
        <v>289</v>
      </c>
      <c r="DMA8" t="s">
        <v>289</v>
      </c>
      <c r="DMB8" t="s">
        <v>289</v>
      </c>
      <c r="DMC8">
        <v>1410</v>
      </c>
      <c r="DMD8">
        <v>779</v>
      </c>
      <c r="DME8">
        <v>-158</v>
      </c>
      <c r="DMF8">
        <v>777</v>
      </c>
      <c r="DMG8">
        <v>-539</v>
      </c>
      <c r="DMH8">
        <v>-1106</v>
      </c>
      <c r="DMI8">
        <v>1869</v>
      </c>
      <c r="DMJ8">
        <v>2559</v>
      </c>
      <c r="DMK8">
        <v>1174</v>
      </c>
      <c r="DML8" t="s">
        <v>289</v>
      </c>
      <c r="DMM8" t="s">
        <v>289</v>
      </c>
      <c r="DMN8" t="s">
        <v>289</v>
      </c>
      <c r="DMO8" t="s">
        <v>289</v>
      </c>
      <c r="DMP8" t="s">
        <v>289</v>
      </c>
      <c r="DMQ8" t="s">
        <v>289</v>
      </c>
      <c r="DMR8" t="s">
        <v>289</v>
      </c>
      <c r="DMS8" t="s">
        <v>289</v>
      </c>
      <c r="DMT8" t="s">
        <v>289</v>
      </c>
      <c r="DMU8" t="s">
        <v>289</v>
      </c>
      <c r="DMV8">
        <v>1410</v>
      </c>
      <c r="DMW8" t="s">
        <v>289</v>
      </c>
      <c r="DMX8" t="s">
        <v>289</v>
      </c>
      <c r="DMY8" t="s">
        <v>289</v>
      </c>
      <c r="DMZ8" t="s">
        <v>289</v>
      </c>
      <c r="DNA8" t="s">
        <v>289</v>
      </c>
      <c r="DNB8" t="s">
        <v>289</v>
      </c>
      <c r="DNC8" t="s">
        <v>289</v>
      </c>
      <c r="DND8">
        <v>1212</v>
      </c>
      <c r="DNE8" t="s">
        <v>289</v>
      </c>
      <c r="DNF8" t="s">
        <v>289</v>
      </c>
      <c r="DNG8" t="s">
        <v>289</v>
      </c>
      <c r="DNH8" t="s">
        <v>289</v>
      </c>
      <c r="DNI8" t="s">
        <v>289</v>
      </c>
      <c r="DNJ8" t="s">
        <v>289</v>
      </c>
      <c r="DNK8" t="s">
        <v>289</v>
      </c>
      <c r="DNL8" t="s">
        <v>289</v>
      </c>
      <c r="DNM8" t="s">
        <v>289</v>
      </c>
      <c r="DNN8" t="s">
        <v>289</v>
      </c>
      <c r="DNO8" t="s">
        <v>289</v>
      </c>
      <c r="DNP8" t="s">
        <v>289</v>
      </c>
      <c r="DNQ8" t="s">
        <v>289</v>
      </c>
      <c r="DNR8" t="s">
        <v>289</v>
      </c>
      <c r="DNS8" t="s">
        <v>289</v>
      </c>
      <c r="DNT8" t="s">
        <v>289</v>
      </c>
      <c r="DNU8" t="s">
        <v>289</v>
      </c>
      <c r="DNV8" t="s">
        <v>289</v>
      </c>
      <c r="DNW8" t="s">
        <v>289</v>
      </c>
      <c r="DNX8" t="s">
        <v>289</v>
      </c>
      <c r="DNY8" t="s">
        <v>289</v>
      </c>
      <c r="DNZ8" t="s">
        <v>289</v>
      </c>
      <c r="DOA8" t="s">
        <v>289</v>
      </c>
      <c r="DOB8" t="s">
        <v>289</v>
      </c>
      <c r="DOC8" t="s">
        <v>289</v>
      </c>
      <c r="DOD8" t="s">
        <v>289</v>
      </c>
      <c r="DOE8" t="s">
        <v>289</v>
      </c>
      <c r="DOF8" t="s">
        <v>289</v>
      </c>
      <c r="DOG8" t="s">
        <v>289</v>
      </c>
      <c r="DOH8" t="s">
        <v>289</v>
      </c>
      <c r="DOI8" t="s">
        <v>289</v>
      </c>
      <c r="DOJ8" t="s">
        <v>289</v>
      </c>
      <c r="DOK8" t="s">
        <v>289</v>
      </c>
      <c r="DOL8" t="s">
        <v>289</v>
      </c>
      <c r="DOM8" t="s">
        <v>289</v>
      </c>
      <c r="DON8" t="s">
        <v>289</v>
      </c>
      <c r="DOO8" t="s">
        <v>289</v>
      </c>
      <c r="DOP8" t="s">
        <v>289</v>
      </c>
      <c r="DOQ8" t="s">
        <v>289</v>
      </c>
      <c r="DOR8" t="s">
        <v>289</v>
      </c>
      <c r="DOS8" t="s">
        <v>289</v>
      </c>
      <c r="DOT8" t="s">
        <v>289</v>
      </c>
      <c r="DOU8" t="s">
        <v>289</v>
      </c>
      <c r="DOV8" t="s">
        <v>289</v>
      </c>
      <c r="DOW8" t="s">
        <v>289</v>
      </c>
      <c r="DOX8" t="s">
        <v>289</v>
      </c>
      <c r="DOY8" t="s">
        <v>289</v>
      </c>
      <c r="DOZ8" t="s">
        <v>289</v>
      </c>
      <c r="DPA8" t="s">
        <v>289</v>
      </c>
      <c r="DPB8" t="s">
        <v>289</v>
      </c>
      <c r="DPC8" t="s">
        <v>289</v>
      </c>
      <c r="DPD8" t="s">
        <v>289</v>
      </c>
      <c r="DPE8" t="s">
        <v>289</v>
      </c>
      <c r="DPF8" t="s">
        <v>289</v>
      </c>
      <c r="DPG8" t="s">
        <v>289</v>
      </c>
      <c r="DPH8" t="s">
        <v>289</v>
      </c>
      <c r="DPI8" t="s">
        <v>289</v>
      </c>
      <c r="DPJ8" t="s">
        <v>289</v>
      </c>
      <c r="DPK8" t="s">
        <v>289</v>
      </c>
      <c r="DPL8" t="s">
        <v>289</v>
      </c>
      <c r="DPM8" t="s">
        <v>289</v>
      </c>
      <c r="DPN8" t="s">
        <v>289</v>
      </c>
      <c r="DPO8" t="s">
        <v>289</v>
      </c>
      <c r="DPP8" t="s">
        <v>289</v>
      </c>
      <c r="DPQ8" t="s">
        <v>289</v>
      </c>
      <c r="DPR8" t="s">
        <v>289</v>
      </c>
      <c r="DPS8" t="s">
        <v>289</v>
      </c>
      <c r="DPT8" t="s">
        <v>289</v>
      </c>
      <c r="DPU8" t="s">
        <v>289</v>
      </c>
      <c r="DPV8" t="s">
        <v>289</v>
      </c>
      <c r="DPW8" t="s">
        <v>289</v>
      </c>
      <c r="DPX8" t="s">
        <v>289</v>
      </c>
      <c r="DPY8" t="s">
        <v>289</v>
      </c>
      <c r="DPZ8" t="s">
        <v>289</v>
      </c>
      <c r="DQA8" t="s">
        <v>289</v>
      </c>
      <c r="DQB8" t="s">
        <v>289</v>
      </c>
      <c r="DQC8" t="s">
        <v>289</v>
      </c>
    </row>
    <row r="9" spans="2:3149">
      <c r="B9" t="s">
        <v>3800</v>
      </c>
      <c r="C9" t="s">
        <v>3808</v>
      </c>
      <c r="D9" t="s">
        <v>3812</v>
      </c>
      <c r="E9" s="100">
        <v>44531</v>
      </c>
      <c r="F9" t="s">
        <v>3629</v>
      </c>
      <c r="G9">
        <v>68.239999999999995</v>
      </c>
      <c r="H9">
        <v>6.4489700000000001</v>
      </c>
      <c r="I9">
        <v>203322.73</v>
      </c>
      <c r="J9">
        <v>19214.866900000001</v>
      </c>
      <c r="K9" t="s">
        <v>289</v>
      </c>
      <c r="L9" t="s">
        <v>289</v>
      </c>
      <c r="M9" t="s">
        <v>289</v>
      </c>
      <c r="N9" t="s">
        <v>289</v>
      </c>
      <c r="O9" t="s">
        <v>289</v>
      </c>
      <c r="P9" t="s">
        <v>289</v>
      </c>
      <c r="Q9" t="s">
        <v>289</v>
      </c>
      <c r="R9" t="s">
        <v>289</v>
      </c>
      <c r="S9" t="s">
        <v>289</v>
      </c>
      <c r="T9" t="s">
        <v>289</v>
      </c>
      <c r="U9" t="s">
        <v>289</v>
      </c>
      <c r="V9" t="s">
        <v>289</v>
      </c>
      <c r="W9" t="s">
        <v>289</v>
      </c>
      <c r="X9" t="s">
        <v>289</v>
      </c>
      <c r="Y9" t="s">
        <v>289</v>
      </c>
      <c r="Z9" t="s">
        <v>289</v>
      </c>
      <c r="AA9" t="s">
        <v>289</v>
      </c>
      <c r="AB9" t="s">
        <v>289</v>
      </c>
      <c r="AC9" t="s">
        <v>289</v>
      </c>
      <c r="AD9" t="s">
        <v>289</v>
      </c>
      <c r="AE9" t="s">
        <v>289</v>
      </c>
      <c r="AF9" t="s">
        <v>289</v>
      </c>
      <c r="AG9" t="s">
        <v>289</v>
      </c>
      <c r="AH9" t="s">
        <v>289</v>
      </c>
      <c r="AI9" t="s">
        <v>289</v>
      </c>
      <c r="AJ9" t="s">
        <v>289</v>
      </c>
      <c r="AK9" t="s">
        <v>289</v>
      </c>
      <c r="AL9" t="s">
        <v>289</v>
      </c>
      <c r="AM9" t="s">
        <v>289</v>
      </c>
      <c r="AN9" t="s">
        <v>289</v>
      </c>
      <c r="AO9" t="s">
        <v>289</v>
      </c>
      <c r="AP9" t="s">
        <v>289</v>
      </c>
      <c r="AQ9" t="s">
        <v>289</v>
      </c>
      <c r="AR9" t="s">
        <v>289</v>
      </c>
      <c r="AS9" t="s">
        <v>289</v>
      </c>
      <c r="AT9" t="s">
        <v>289</v>
      </c>
      <c r="AU9" t="s">
        <v>289</v>
      </c>
      <c r="AV9" t="s">
        <v>289</v>
      </c>
      <c r="AW9" t="s">
        <v>289</v>
      </c>
      <c r="AX9" t="s">
        <v>289</v>
      </c>
      <c r="AY9" t="s">
        <v>289</v>
      </c>
      <c r="AZ9" t="s">
        <v>289</v>
      </c>
      <c r="BA9" t="s">
        <v>289</v>
      </c>
      <c r="BB9" t="s">
        <v>289</v>
      </c>
      <c r="BC9" t="s">
        <v>289</v>
      </c>
      <c r="BD9" t="s">
        <v>289</v>
      </c>
      <c r="BE9" t="s">
        <v>289</v>
      </c>
      <c r="BF9" t="s">
        <v>289</v>
      </c>
      <c r="BG9" t="s">
        <v>289</v>
      </c>
      <c r="BH9" t="s">
        <v>289</v>
      </c>
      <c r="BI9" t="s">
        <v>289</v>
      </c>
      <c r="BJ9" t="s">
        <v>289</v>
      </c>
      <c r="BK9" t="s">
        <v>289</v>
      </c>
      <c r="BL9" t="s">
        <v>289</v>
      </c>
      <c r="BM9" t="s">
        <v>289</v>
      </c>
      <c r="BN9" t="s">
        <v>289</v>
      </c>
      <c r="BO9" t="s">
        <v>289</v>
      </c>
      <c r="BP9" t="s">
        <v>289</v>
      </c>
      <c r="BQ9" t="s">
        <v>289</v>
      </c>
      <c r="BR9" t="s">
        <v>289</v>
      </c>
      <c r="BS9" t="s">
        <v>289</v>
      </c>
      <c r="BT9" t="s">
        <v>289</v>
      </c>
      <c r="BU9" t="s">
        <v>289</v>
      </c>
      <c r="BV9" t="s">
        <v>289</v>
      </c>
      <c r="BW9" t="s">
        <v>289</v>
      </c>
      <c r="BX9" t="s">
        <v>289</v>
      </c>
      <c r="BY9" t="s">
        <v>289</v>
      </c>
      <c r="BZ9" t="s">
        <v>289</v>
      </c>
      <c r="CA9" t="s">
        <v>289</v>
      </c>
      <c r="CB9" t="s">
        <v>289</v>
      </c>
      <c r="CC9" t="s">
        <v>289</v>
      </c>
      <c r="CD9" t="s">
        <v>289</v>
      </c>
      <c r="CE9" t="s">
        <v>289</v>
      </c>
      <c r="CF9" t="s">
        <v>289</v>
      </c>
      <c r="CG9" t="s">
        <v>289</v>
      </c>
      <c r="CH9" t="s">
        <v>289</v>
      </c>
      <c r="CI9" t="s">
        <v>289</v>
      </c>
      <c r="CJ9" t="s">
        <v>289</v>
      </c>
      <c r="CK9" t="s">
        <v>289</v>
      </c>
      <c r="CL9" t="s">
        <v>289</v>
      </c>
      <c r="CM9" t="s">
        <v>289</v>
      </c>
      <c r="CN9" t="s">
        <v>289</v>
      </c>
      <c r="CO9" t="s">
        <v>289</v>
      </c>
      <c r="CP9" t="s">
        <v>289</v>
      </c>
      <c r="CQ9" t="s">
        <v>289</v>
      </c>
      <c r="CR9" t="s">
        <v>289</v>
      </c>
      <c r="CS9" t="s">
        <v>289</v>
      </c>
      <c r="CT9" t="s">
        <v>289</v>
      </c>
      <c r="CU9" t="s">
        <v>289</v>
      </c>
      <c r="CV9" t="s">
        <v>289</v>
      </c>
      <c r="CW9" t="s">
        <v>289</v>
      </c>
      <c r="CX9" t="s">
        <v>289</v>
      </c>
      <c r="CY9" t="s">
        <v>289</v>
      </c>
      <c r="CZ9" t="s">
        <v>289</v>
      </c>
      <c r="DA9" t="s">
        <v>289</v>
      </c>
      <c r="DB9" t="s">
        <v>289</v>
      </c>
      <c r="DC9" t="s">
        <v>289</v>
      </c>
      <c r="DD9" t="s">
        <v>289</v>
      </c>
      <c r="DE9" t="s">
        <v>289</v>
      </c>
      <c r="DF9" t="s">
        <v>289</v>
      </c>
      <c r="DG9" t="s">
        <v>289</v>
      </c>
      <c r="DH9" t="s">
        <v>289</v>
      </c>
      <c r="DI9" t="s">
        <v>289</v>
      </c>
      <c r="DJ9" t="s">
        <v>289</v>
      </c>
      <c r="DK9" t="s">
        <v>289</v>
      </c>
      <c r="DL9" t="s">
        <v>289</v>
      </c>
      <c r="DM9" t="s">
        <v>289</v>
      </c>
      <c r="DN9" t="s">
        <v>289</v>
      </c>
      <c r="DO9" t="s">
        <v>289</v>
      </c>
      <c r="DP9" t="s">
        <v>289</v>
      </c>
      <c r="DQ9" t="s">
        <v>289</v>
      </c>
      <c r="DR9" t="s">
        <v>289</v>
      </c>
      <c r="DS9" t="s">
        <v>289</v>
      </c>
      <c r="DT9" t="s">
        <v>289</v>
      </c>
      <c r="DU9" t="s">
        <v>289</v>
      </c>
      <c r="DV9" t="s">
        <v>289</v>
      </c>
      <c r="DW9" t="s">
        <v>289</v>
      </c>
      <c r="DX9" t="s">
        <v>289</v>
      </c>
      <c r="DY9" t="s">
        <v>289</v>
      </c>
      <c r="DZ9" t="s">
        <v>289</v>
      </c>
      <c r="EA9" t="s">
        <v>289</v>
      </c>
      <c r="EB9" t="s">
        <v>289</v>
      </c>
      <c r="EC9" t="s">
        <v>289</v>
      </c>
      <c r="ED9" t="s">
        <v>289</v>
      </c>
      <c r="EE9" t="s">
        <v>289</v>
      </c>
      <c r="EF9" t="s">
        <v>289</v>
      </c>
      <c r="EG9" t="s">
        <v>289</v>
      </c>
      <c r="EH9" t="s">
        <v>289</v>
      </c>
      <c r="EI9" t="s">
        <v>289</v>
      </c>
      <c r="EJ9" t="s">
        <v>289</v>
      </c>
      <c r="EK9" t="s">
        <v>289</v>
      </c>
      <c r="EL9" t="s">
        <v>289</v>
      </c>
      <c r="EM9" t="s">
        <v>289</v>
      </c>
      <c r="EN9" t="s">
        <v>289</v>
      </c>
      <c r="EO9" t="s">
        <v>289</v>
      </c>
      <c r="EP9" t="s">
        <v>289</v>
      </c>
      <c r="EQ9" t="s">
        <v>289</v>
      </c>
      <c r="ER9" t="s">
        <v>289</v>
      </c>
      <c r="ES9" t="s">
        <v>289</v>
      </c>
      <c r="ET9" t="s">
        <v>289</v>
      </c>
      <c r="EU9" t="s">
        <v>289</v>
      </c>
      <c r="EV9" t="s">
        <v>289</v>
      </c>
      <c r="EW9" t="s">
        <v>289</v>
      </c>
      <c r="EX9" t="s">
        <v>289</v>
      </c>
      <c r="EY9" t="s">
        <v>289</v>
      </c>
      <c r="EZ9" t="s">
        <v>289</v>
      </c>
      <c r="FA9" t="s">
        <v>289</v>
      </c>
      <c r="FB9" t="s">
        <v>289</v>
      </c>
      <c r="FC9" t="s">
        <v>289</v>
      </c>
      <c r="FD9" t="s">
        <v>289</v>
      </c>
      <c r="FE9" t="s">
        <v>289</v>
      </c>
      <c r="FF9" t="s">
        <v>289</v>
      </c>
      <c r="FG9" t="s">
        <v>289</v>
      </c>
      <c r="FH9" t="s">
        <v>289</v>
      </c>
      <c r="FI9" t="s">
        <v>289</v>
      </c>
      <c r="FJ9" t="s">
        <v>289</v>
      </c>
      <c r="FK9" t="s">
        <v>289</v>
      </c>
      <c r="FL9" t="s">
        <v>289</v>
      </c>
      <c r="FM9" t="s">
        <v>289</v>
      </c>
      <c r="FN9" t="s">
        <v>289</v>
      </c>
      <c r="FO9" t="s">
        <v>289</v>
      </c>
      <c r="FP9" t="s">
        <v>289</v>
      </c>
      <c r="FQ9" t="s">
        <v>289</v>
      </c>
      <c r="FR9" t="s">
        <v>289</v>
      </c>
      <c r="FS9" t="s">
        <v>289</v>
      </c>
      <c r="FT9" t="s">
        <v>289</v>
      </c>
      <c r="FU9" t="s">
        <v>289</v>
      </c>
      <c r="FV9" t="s">
        <v>289</v>
      </c>
      <c r="FW9" t="s">
        <v>289</v>
      </c>
      <c r="FX9" t="s">
        <v>289</v>
      </c>
      <c r="FY9" t="s">
        <v>289</v>
      </c>
      <c r="FZ9" t="s">
        <v>289</v>
      </c>
      <c r="GA9" t="s">
        <v>289</v>
      </c>
      <c r="GB9" t="s">
        <v>289</v>
      </c>
      <c r="GC9" t="s">
        <v>289</v>
      </c>
      <c r="GD9" t="s">
        <v>289</v>
      </c>
      <c r="GE9" t="s">
        <v>289</v>
      </c>
      <c r="GF9" t="s">
        <v>289</v>
      </c>
      <c r="GG9" t="s">
        <v>289</v>
      </c>
      <c r="GH9" t="s">
        <v>289</v>
      </c>
      <c r="GI9" t="s">
        <v>289</v>
      </c>
      <c r="GJ9" t="s">
        <v>289</v>
      </c>
      <c r="GK9" t="s">
        <v>289</v>
      </c>
      <c r="GL9" t="s">
        <v>289</v>
      </c>
      <c r="GM9" t="s">
        <v>289</v>
      </c>
      <c r="GN9" t="s">
        <v>289</v>
      </c>
      <c r="GO9" t="s">
        <v>289</v>
      </c>
      <c r="GP9" t="s">
        <v>289</v>
      </c>
      <c r="GQ9" t="s">
        <v>289</v>
      </c>
      <c r="GR9" t="s">
        <v>289</v>
      </c>
      <c r="GS9" t="s">
        <v>289</v>
      </c>
      <c r="GT9" t="s">
        <v>289</v>
      </c>
      <c r="GU9" t="s">
        <v>289</v>
      </c>
      <c r="GV9" t="s">
        <v>289</v>
      </c>
      <c r="GW9" t="s">
        <v>289</v>
      </c>
      <c r="GX9" t="s">
        <v>289</v>
      </c>
      <c r="GY9" t="s">
        <v>289</v>
      </c>
      <c r="GZ9" t="s">
        <v>289</v>
      </c>
      <c r="HA9" t="s">
        <v>289</v>
      </c>
      <c r="HB9" t="s">
        <v>289</v>
      </c>
      <c r="HC9" t="s">
        <v>289</v>
      </c>
      <c r="HD9" t="s">
        <v>289</v>
      </c>
      <c r="HE9" t="s">
        <v>289</v>
      </c>
      <c r="HF9" t="s">
        <v>289</v>
      </c>
      <c r="HG9" t="s">
        <v>289</v>
      </c>
      <c r="HH9" t="s">
        <v>289</v>
      </c>
      <c r="HI9" t="s">
        <v>289</v>
      </c>
      <c r="HJ9" t="s">
        <v>289</v>
      </c>
      <c r="HK9" t="s">
        <v>289</v>
      </c>
      <c r="HL9" t="s">
        <v>289</v>
      </c>
      <c r="HM9" t="s">
        <v>289</v>
      </c>
      <c r="HN9" t="s">
        <v>289</v>
      </c>
      <c r="HO9" t="s">
        <v>289</v>
      </c>
      <c r="HP9" t="s">
        <v>289</v>
      </c>
      <c r="HQ9" t="s">
        <v>289</v>
      </c>
      <c r="HR9" t="s">
        <v>289</v>
      </c>
      <c r="HS9" t="s">
        <v>289</v>
      </c>
      <c r="HT9" t="s">
        <v>289</v>
      </c>
      <c r="HU9" t="s">
        <v>289</v>
      </c>
      <c r="HV9" t="s">
        <v>289</v>
      </c>
      <c r="HW9" t="s">
        <v>289</v>
      </c>
      <c r="HX9" t="s">
        <v>289</v>
      </c>
      <c r="HY9" t="s">
        <v>289</v>
      </c>
      <c r="HZ9" t="s">
        <v>289</v>
      </c>
      <c r="IA9" t="s">
        <v>289</v>
      </c>
      <c r="IB9" t="s">
        <v>289</v>
      </c>
      <c r="IC9" t="s">
        <v>289</v>
      </c>
      <c r="ID9" t="s">
        <v>289</v>
      </c>
      <c r="IE9" t="s">
        <v>289</v>
      </c>
      <c r="IF9" t="s">
        <v>289</v>
      </c>
      <c r="IG9" t="s">
        <v>289</v>
      </c>
      <c r="IH9" t="s">
        <v>289</v>
      </c>
      <c r="II9" t="s">
        <v>289</v>
      </c>
      <c r="IJ9" t="s">
        <v>289</v>
      </c>
      <c r="IK9" t="s">
        <v>289</v>
      </c>
      <c r="IL9" t="s">
        <v>289</v>
      </c>
      <c r="IM9" t="s">
        <v>289</v>
      </c>
      <c r="IN9" t="s">
        <v>289</v>
      </c>
      <c r="IO9" t="s">
        <v>289</v>
      </c>
      <c r="IP9" t="s">
        <v>289</v>
      </c>
      <c r="IQ9" t="s">
        <v>289</v>
      </c>
      <c r="IR9" t="s">
        <v>289</v>
      </c>
      <c r="IS9" t="s">
        <v>289</v>
      </c>
      <c r="IT9" t="s">
        <v>289</v>
      </c>
      <c r="IU9" t="s">
        <v>289</v>
      </c>
      <c r="IV9" t="s">
        <v>289</v>
      </c>
      <c r="IW9" t="s">
        <v>289</v>
      </c>
      <c r="IX9" t="s">
        <v>289</v>
      </c>
      <c r="IY9" t="s">
        <v>289</v>
      </c>
      <c r="IZ9" t="s">
        <v>289</v>
      </c>
      <c r="JA9" t="s">
        <v>289</v>
      </c>
      <c r="JB9" t="s">
        <v>289</v>
      </c>
      <c r="JC9" t="s">
        <v>289</v>
      </c>
      <c r="JD9" t="s">
        <v>289</v>
      </c>
      <c r="JE9" t="s">
        <v>289</v>
      </c>
      <c r="JF9" t="s">
        <v>289</v>
      </c>
      <c r="JG9" t="s">
        <v>289</v>
      </c>
      <c r="JH9" t="s">
        <v>289</v>
      </c>
      <c r="JI9" t="s">
        <v>289</v>
      </c>
      <c r="JJ9" t="s">
        <v>289</v>
      </c>
      <c r="JK9" t="s">
        <v>289</v>
      </c>
      <c r="JL9" t="s">
        <v>289</v>
      </c>
      <c r="JM9" t="s">
        <v>289</v>
      </c>
      <c r="JN9" t="s">
        <v>289</v>
      </c>
      <c r="JO9" t="s">
        <v>289</v>
      </c>
      <c r="JP9" t="s">
        <v>289</v>
      </c>
      <c r="JQ9" t="s">
        <v>289</v>
      </c>
      <c r="JR9" t="s">
        <v>289</v>
      </c>
      <c r="JS9" t="s">
        <v>289</v>
      </c>
      <c r="JT9" t="s">
        <v>289</v>
      </c>
      <c r="JU9" t="s">
        <v>289</v>
      </c>
      <c r="JV9" t="s">
        <v>289</v>
      </c>
      <c r="JW9" t="s">
        <v>289</v>
      </c>
      <c r="JX9">
        <v>14633</v>
      </c>
      <c r="JY9">
        <v>9607</v>
      </c>
      <c r="JZ9">
        <v>15372</v>
      </c>
      <c r="KA9">
        <v>17002</v>
      </c>
      <c r="KB9">
        <v>25623</v>
      </c>
      <c r="KC9">
        <v>38635</v>
      </c>
      <c r="KD9">
        <v>35402</v>
      </c>
      <c r="KE9">
        <v>40170</v>
      </c>
      <c r="KF9">
        <v>51997</v>
      </c>
      <c r="KG9">
        <v>61592</v>
      </c>
      <c r="KH9">
        <v>62265</v>
      </c>
      <c r="KI9" t="s">
        <v>289</v>
      </c>
      <c r="KJ9" t="s">
        <v>289</v>
      </c>
      <c r="KK9" t="s">
        <v>289</v>
      </c>
      <c r="KL9" t="s">
        <v>289</v>
      </c>
      <c r="KM9" t="s">
        <v>289</v>
      </c>
      <c r="KN9" t="s">
        <v>289</v>
      </c>
      <c r="KO9" t="s">
        <v>289</v>
      </c>
      <c r="KP9" t="s">
        <v>289</v>
      </c>
      <c r="KQ9" t="s">
        <v>289</v>
      </c>
      <c r="KR9" t="s">
        <v>289</v>
      </c>
      <c r="KS9" t="s">
        <v>289</v>
      </c>
      <c r="KT9" t="s">
        <v>289</v>
      </c>
      <c r="KU9" t="s">
        <v>289</v>
      </c>
      <c r="KV9" t="s">
        <v>289</v>
      </c>
      <c r="KW9" t="s">
        <v>289</v>
      </c>
      <c r="KX9" t="s">
        <v>289</v>
      </c>
      <c r="KY9" t="s">
        <v>289</v>
      </c>
      <c r="KZ9" t="s">
        <v>289</v>
      </c>
      <c r="LA9" t="s">
        <v>289</v>
      </c>
      <c r="LB9" t="s">
        <v>289</v>
      </c>
      <c r="LC9" t="s">
        <v>289</v>
      </c>
      <c r="LD9" t="s">
        <v>289</v>
      </c>
      <c r="LE9" t="s">
        <v>289</v>
      </c>
      <c r="LF9" t="s">
        <v>289</v>
      </c>
      <c r="LG9" t="s">
        <v>289</v>
      </c>
      <c r="LH9" t="s">
        <v>289</v>
      </c>
      <c r="LI9" t="s">
        <v>289</v>
      </c>
      <c r="LJ9" t="s">
        <v>289</v>
      </c>
      <c r="LK9" t="s">
        <v>289</v>
      </c>
      <c r="LL9" t="s">
        <v>289</v>
      </c>
      <c r="LM9" t="s">
        <v>289</v>
      </c>
      <c r="LN9" t="s">
        <v>289</v>
      </c>
      <c r="LO9" t="s">
        <v>289</v>
      </c>
      <c r="LP9" t="s">
        <v>289</v>
      </c>
      <c r="LQ9" t="s">
        <v>289</v>
      </c>
      <c r="LR9" t="s">
        <v>289</v>
      </c>
      <c r="LS9" t="s">
        <v>289</v>
      </c>
      <c r="LT9" t="s">
        <v>289</v>
      </c>
      <c r="LU9" t="s">
        <v>289</v>
      </c>
      <c r="LV9" t="s">
        <v>289</v>
      </c>
      <c r="LW9" t="s">
        <v>289</v>
      </c>
      <c r="LX9" t="s">
        <v>289</v>
      </c>
      <c r="LY9" t="s">
        <v>289</v>
      </c>
      <c r="LZ9" t="s">
        <v>289</v>
      </c>
      <c r="MA9" t="s">
        <v>289</v>
      </c>
      <c r="MB9" t="s">
        <v>289</v>
      </c>
      <c r="MC9" t="s">
        <v>289</v>
      </c>
      <c r="MD9" t="s">
        <v>289</v>
      </c>
      <c r="ME9" t="s">
        <v>289</v>
      </c>
      <c r="MF9" t="s">
        <v>289</v>
      </c>
      <c r="MG9" t="s">
        <v>289</v>
      </c>
      <c r="MH9" t="s">
        <v>289</v>
      </c>
      <c r="MI9" t="s">
        <v>289</v>
      </c>
      <c r="MJ9" t="s">
        <v>289</v>
      </c>
      <c r="MK9" t="s">
        <v>289</v>
      </c>
      <c r="ML9" t="s">
        <v>289</v>
      </c>
      <c r="MM9" t="s">
        <v>289</v>
      </c>
      <c r="MN9" t="s">
        <v>289</v>
      </c>
      <c r="MO9" t="s">
        <v>289</v>
      </c>
      <c r="MP9" t="s">
        <v>289</v>
      </c>
      <c r="MQ9" t="s">
        <v>289</v>
      </c>
      <c r="MR9" t="s">
        <v>289</v>
      </c>
      <c r="MS9" t="s">
        <v>289</v>
      </c>
      <c r="MT9" t="s">
        <v>289</v>
      </c>
      <c r="MU9" t="s">
        <v>289</v>
      </c>
      <c r="MV9">
        <v>1636</v>
      </c>
      <c r="MW9">
        <v>1820</v>
      </c>
      <c r="MX9">
        <v>2165</v>
      </c>
      <c r="MY9">
        <v>3107</v>
      </c>
      <c r="MZ9">
        <v>3841</v>
      </c>
      <c r="NA9">
        <v>4112</v>
      </c>
      <c r="NB9">
        <v>4558</v>
      </c>
      <c r="NC9">
        <v>6586</v>
      </c>
      <c r="ND9">
        <v>7275</v>
      </c>
      <c r="NE9">
        <v>7164</v>
      </c>
      <c r="NF9">
        <v>7367</v>
      </c>
      <c r="NG9" t="s">
        <v>289</v>
      </c>
      <c r="NH9" t="s">
        <v>289</v>
      </c>
      <c r="NI9" t="s">
        <v>289</v>
      </c>
      <c r="NJ9" t="s">
        <v>289</v>
      </c>
      <c r="NK9" t="s">
        <v>289</v>
      </c>
      <c r="NL9" t="s">
        <v>289</v>
      </c>
      <c r="NM9" t="s">
        <v>289</v>
      </c>
      <c r="NN9" t="s">
        <v>289</v>
      </c>
      <c r="NO9" t="s">
        <v>289</v>
      </c>
      <c r="NP9" t="s">
        <v>289</v>
      </c>
      <c r="NQ9" t="s">
        <v>289</v>
      </c>
      <c r="NR9" t="s">
        <v>289</v>
      </c>
      <c r="NS9" t="s">
        <v>289</v>
      </c>
      <c r="NT9" t="s">
        <v>289</v>
      </c>
      <c r="NU9" t="s">
        <v>289</v>
      </c>
      <c r="NV9" t="s">
        <v>289</v>
      </c>
      <c r="NW9" t="s">
        <v>289</v>
      </c>
      <c r="NX9" t="s">
        <v>289</v>
      </c>
      <c r="NY9" t="s">
        <v>289</v>
      </c>
      <c r="NZ9" t="s">
        <v>289</v>
      </c>
      <c r="OA9" t="s">
        <v>289</v>
      </c>
      <c r="OB9" t="s">
        <v>289</v>
      </c>
      <c r="OC9" t="s">
        <v>289</v>
      </c>
      <c r="OD9" t="s">
        <v>289</v>
      </c>
      <c r="OE9" t="s">
        <v>289</v>
      </c>
      <c r="OF9" t="s">
        <v>289</v>
      </c>
      <c r="OG9" t="s">
        <v>289</v>
      </c>
      <c r="OH9" t="s">
        <v>289</v>
      </c>
      <c r="OI9" t="s">
        <v>289</v>
      </c>
      <c r="OJ9" t="s">
        <v>289</v>
      </c>
      <c r="OK9" t="s">
        <v>289</v>
      </c>
      <c r="OL9" t="s">
        <v>289</v>
      </c>
      <c r="OM9" t="s">
        <v>289</v>
      </c>
      <c r="ON9" t="s">
        <v>289</v>
      </c>
      <c r="OO9" t="s">
        <v>289</v>
      </c>
      <c r="OP9" t="s">
        <v>289</v>
      </c>
      <c r="OQ9" t="s">
        <v>289</v>
      </c>
      <c r="OR9" t="s">
        <v>289</v>
      </c>
      <c r="OS9" t="s">
        <v>289</v>
      </c>
      <c r="OT9" t="s">
        <v>289</v>
      </c>
      <c r="OU9" t="s">
        <v>289</v>
      </c>
      <c r="OV9" t="s">
        <v>289</v>
      </c>
      <c r="OW9" t="s">
        <v>289</v>
      </c>
      <c r="OX9" t="s">
        <v>289</v>
      </c>
      <c r="OY9" t="s">
        <v>289</v>
      </c>
      <c r="OZ9" t="s">
        <v>289</v>
      </c>
      <c r="PA9" t="s">
        <v>289</v>
      </c>
      <c r="PB9" t="s">
        <v>289</v>
      </c>
      <c r="PC9" t="s">
        <v>289</v>
      </c>
      <c r="PD9" t="s">
        <v>289</v>
      </c>
      <c r="PE9" t="s">
        <v>289</v>
      </c>
      <c r="PF9" t="s">
        <v>289</v>
      </c>
      <c r="PG9" t="s">
        <v>289</v>
      </c>
      <c r="PH9" t="s">
        <v>289</v>
      </c>
      <c r="PI9" t="s">
        <v>289</v>
      </c>
      <c r="PJ9" t="s">
        <v>289</v>
      </c>
      <c r="PK9" t="s">
        <v>289</v>
      </c>
      <c r="PL9" t="s">
        <v>289</v>
      </c>
      <c r="PM9" t="s">
        <v>289</v>
      </c>
      <c r="PN9" t="s">
        <v>289</v>
      </c>
      <c r="PO9" t="s">
        <v>289</v>
      </c>
      <c r="PP9" t="s">
        <v>289</v>
      </c>
      <c r="PQ9" t="s">
        <v>289</v>
      </c>
      <c r="PR9" t="s">
        <v>289</v>
      </c>
      <c r="PS9" t="s">
        <v>289</v>
      </c>
      <c r="PT9" t="s">
        <v>289</v>
      </c>
      <c r="PU9" t="s">
        <v>289</v>
      </c>
      <c r="PV9" t="s">
        <v>289</v>
      </c>
      <c r="PW9" t="s">
        <v>289</v>
      </c>
      <c r="PX9" t="s">
        <v>289</v>
      </c>
      <c r="PY9" t="s">
        <v>289</v>
      </c>
      <c r="PZ9" t="s">
        <v>289</v>
      </c>
      <c r="QA9" t="s">
        <v>289</v>
      </c>
      <c r="QB9" t="s">
        <v>289</v>
      </c>
      <c r="QC9">
        <v>14449</v>
      </c>
      <c r="QD9">
        <v>15005</v>
      </c>
      <c r="QE9" t="s">
        <v>289</v>
      </c>
      <c r="QF9" t="s">
        <v>289</v>
      </c>
      <c r="QG9" t="s">
        <v>289</v>
      </c>
      <c r="QH9" t="s">
        <v>289</v>
      </c>
      <c r="QI9" t="s">
        <v>289</v>
      </c>
      <c r="QJ9" t="s">
        <v>289</v>
      </c>
      <c r="QK9" t="s">
        <v>289</v>
      </c>
      <c r="QL9" t="s">
        <v>289</v>
      </c>
      <c r="QM9" t="s">
        <v>289</v>
      </c>
      <c r="QN9" t="s">
        <v>289</v>
      </c>
      <c r="QO9" t="s">
        <v>289</v>
      </c>
      <c r="QP9" t="s">
        <v>289</v>
      </c>
      <c r="QQ9" t="s">
        <v>289</v>
      </c>
      <c r="QR9" t="s">
        <v>289</v>
      </c>
      <c r="QS9" t="s">
        <v>289</v>
      </c>
      <c r="QT9" t="s">
        <v>289</v>
      </c>
      <c r="QU9" t="s">
        <v>289</v>
      </c>
      <c r="QV9" t="s">
        <v>289</v>
      </c>
      <c r="QW9" t="s">
        <v>289</v>
      </c>
      <c r="QX9" t="s">
        <v>289</v>
      </c>
      <c r="QY9" t="s">
        <v>289</v>
      </c>
      <c r="QZ9" t="s">
        <v>289</v>
      </c>
      <c r="RA9" t="s">
        <v>289</v>
      </c>
      <c r="RB9" t="s">
        <v>289</v>
      </c>
      <c r="RC9" t="s">
        <v>289</v>
      </c>
      <c r="RD9" t="s">
        <v>289</v>
      </c>
      <c r="RE9" t="s">
        <v>289</v>
      </c>
      <c r="RF9">
        <v>8113</v>
      </c>
      <c r="RG9">
        <v>8016</v>
      </c>
      <c r="RH9">
        <v>7138</v>
      </c>
      <c r="RI9">
        <v>7363</v>
      </c>
      <c r="RJ9">
        <v>9399</v>
      </c>
      <c r="RK9">
        <v>10527</v>
      </c>
      <c r="RL9">
        <v>12098</v>
      </c>
      <c r="RM9">
        <v>14408</v>
      </c>
      <c r="RN9">
        <v>15548</v>
      </c>
      <c r="RO9" t="s">
        <v>289</v>
      </c>
      <c r="RP9" t="s">
        <v>289</v>
      </c>
      <c r="RQ9" t="s">
        <v>289</v>
      </c>
      <c r="RR9" t="s">
        <v>289</v>
      </c>
      <c r="RS9" t="s">
        <v>289</v>
      </c>
      <c r="RT9" t="s">
        <v>289</v>
      </c>
      <c r="RU9" t="s">
        <v>289</v>
      </c>
      <c r="RV9" t="s">
        <v>289</v>
      </c>
      <c r="RW9" t="s">
        <v>289</v>
      </c>
      <c r="RX9" t="s">
        <v>289</v>
      </c>
      <c r="RY9" t="s">
        <v>289</v>
      </c>
      <c r="RZ9" t="s">
        <v>289</v>
      </c>
      <c r="SA9" t="s">
        <v>289</v>
      </c>
      <c r="SB9" t="s">
        <v>289</v>
      </c>
      <c r="SC9" t="s">
        <v>289</v>
      </c>
      <c r="SD9" t="s">
        <v>289</v>
      </c>
      <c r="SE9" t="s">
        <v>289</v>
      </c>
      <c r="SF9" t="s">
        <v>289</v>
      </c>
      <c r="SG9" t="s">
        <v>289</v>
      </c>
      <c r="SH9" t="s">
        <v>289</v>
      </c>
      <c r="SI9" t="s">
        <v>289</v>
      </c>
      <c r="SJ9" t="s">
        <v>289</v>
      </c>
      <c r="SK9" t="s">
        <v>289</v>
      </c>
      <c r="SL9" t="s">
        <v>289</v>
      </c>
      <c r="SM9" t="s">
        <v>289</v>
      </c>
      <c r="SN9" t="s">
        <v>289</v>
      </c>
      <c r="SO9" t="s">
        <v>289</v>
      </c>
      <c r="SP9" t="s">
        <v>289</v>
      </c>
      <c r="SQ9" t="s">
        <v>289</v>
      </c>
      <c r="SR9" t="s">
        <v>289</v>
      </c>
      <c r="SS9" t="s">
        <v>289</v>
      </c>
      <c r="ST9" t="s">
        <v>289</v>
      </c>
      <c r="SU9" t="s">
        <v>289</v>
      </c>
      <c r="SV9" t="s">
        <v>289</v>
      </c>
      <c r="SW9" t="s">
        <v>289</v>
      </c>
      <c r="SX9" t="s">
        <v>289</v>
      </c>
      <c r="SY9" t="s">
        <v>289</v>
      </c>
      <c r="SZ9" t="s">
        <v>289</v>
      </c>
      <c r="TA9" t="s">
        <v>289</v>
      </c>
      <c r="TB9">
        <v>169</v>
      </c>
      <c r="TC9" t="s">
        <v>289</v>
      </c>
      <c r="TD9" t="s">
        <v>289</v>
      </c>
      <c r="TE9" t="s">
        <v>289</v>
      </c>
      <c r="TF9" t="s">
        <v>289</v>
      </c>
      <c r="TG9" t="s">
        <v>289</v>
      </c>
      <c r="TH9" t="s">
        <v>289</v>
      </c>
      <c r="TI9" t="s">
        <v>289</v>
      </c>
      <c r="TJ9" t="s">
        <v>289</v>
      </c>
      <c r="TK9" t="s">
        <v>289</v>
      </c>
      <c r="TL9" t="s">
        <v>289</v>
      </c>
      <c r="TM9" t="s">
        <v>289</v>
      </c>
      <c r="TN9" t="s">
        <v>289</v>
      </c>
      <c r="TO9" t="s">
        <v>289</v>
      </c>
      <c r="TP9" t="s">
        <v>289</v>
      </c>
      <c r="TQ9" t="s">
        <v>289</v>
      </c>
      <c r="TR9" t="s">
        <v>289</v>
      </c>
      <c r="TS9" t="s">
        <v>289</v>
      </c>
      <c r="TT9" t="s">
        <v>289</v>
      </c>
      <c r="TU9" t="s">
        <v>289</v>
      </c>
      <c r="TV9" t="s">
        <v>289</v>
      </c>
      <c r="TW9" t="s">
        <v>289</v>
      </c>
      <c r="TX9" t="s">
        <v>289</v>
      </c>
      <c r="TY9" t="s">
        <v>289</v>
      </c>
      <c r="TZ9" t="s">
        <v>289</v>
      </c>
      <c r="UA9" t="s">
        <v>289</v>
      </c>
      <c r="UB9" t="s">
        <v>289</v>
      </c>
      <c r="UC9" t="s">
        <v>289</v>
      </c>
      <c r="UD9" t="s">
        <v>289</v>
      </c>
      <c r="UE9" t="s">
        <v>289</v>
      </c>
      <c r="UF9" t="s">
        <v>289</v>
      </c>
      <c r="UG9" t="s">
        <v>289</v>
      </c>
      <c r="UH9" t="s">
        <v>289</v>
      </c>
      <c r="UI9" t="s">
        <v>289</v>
      </c>
      <c r="UJ9" t="s">
        <v>289</v>
      </c>
      <c r="UK9" t="s">
        <v>289</v>
      </c>
      <c r="UL9" t="s">
        <v>289</v>
      </c>
      <c r="UM9" t="s">
        <v>289</v>
      </c>
      <c r="UN9" t="s">
        <v>289</v>
      </c>
      <c r="UO9" t="s">
        <v>289</v>
      </c>
      <c r="UP9" t="s">
        <v>289</v>
      </c>
      <c r="UQ9" t="s">
        <v>289</v>
      </c>
      <c r="UR9" t="s">
        <v>289</v>
      </c>
      <c r="US9" t="s">
        <v>289</v>
      </c>
      <c r="UT9" t="s">
        <v>289</v>
      </c>
      <c r="UU9" t="s">
        <v>289</v>
      </c>
      <c r="UV9" t="s">
        <v>289</v>
      </c>
      <c r="UW9" t="s">
        <v>289</v>
      </c>
      <c r="UX9" t="s">
        <v>289</v>
      </c>
      <c r="UY9" t="s">
        <v>289</v>
      </c>
      <c r="UZ9" t="s">
        <v>289</v>
      </c>
      <c r="VA9" t="s">
        <v>289</v>
      </c>
      <c r="VB9" t="s">
        <v>289</v>
      </c>
      <c r="VC9" t="s">
        <v>289</v>
      </c>
      <c r="VD9" t="s">
        <v>289</v>
      </c>
      <c r="VE9" t="s">
        <v>289</v>
      </c>
      <c r="VF9" t="s">
        <v>289</v>
      </c>
      <c r="VG9" t="s">
        <v>289</v>
      </c>
      <c r="VH9" t="s">
        <v>289</v>
      </c>
      <c r="VI9" t="s">
        <v>289</v>
      </c>
      <c r="VJ9" t="s">
        <v>289</v>
      </c>
      <c r="VK9" t="s">
        <v>289</v>
      </c>
      <c r="VL9" t="s">
        <v>289</v>
      </c>
      <c r="VM9" t="s">
        <v>289</v>
      </c>
      <c r="VN9" t="s">
        <v>289</v>
      </c>
      <c r="VO9" t="s">
        <v>289</v>
      </c>
      <c r="VP9" t="s">
        <v>289</v>
      </c>
      <c r="VQ9" t="s">
        <v>289</v>
      </c>
      <c r="VR9" t="s">
        <v>289</v>
      </c>
      <c r="VS9" t="s">
        <v>289</v>
      </c>
      <c r="VT9" t="s">
        <v>289</v>
      </c>
      <c r="VU9" t="s">
        <v>289</v>
      </c>
      <c r="VV9" t="s">
        <v>289</v>
      </c>
      <c r="VW9" t="s">
        <v>289</v>
      </c>
      <c r="VX9" t="s">
        <v>289</v>
      </c>
      <c r="VY9" t="s">
        <v>289</v>
      </c>
      <c r="VZ9" t="s">
        <v>289</v>
      </c>
      <c r="WA9" t="s">
        <v>289</v>
      </c>
      <c r="WB9" t="s">
        <v>289</v>
      </c>
      <c r="WC9" t="s">
        <v>289</v>
      </c>
      <c r="WD9" t="s">
        <v>289</v>
      </c>
      <c r="WE9" t="s">
        <v>289</v>
      </c>
      <c r="WF9" t="s">
        <v>289</v>
      </c>
      <c r="WG9" t="s">
        <v>289</v>
      </c>
      <c r="WH9" t="s">
        <v>289</v>
      </c>
      <c r="WI9">
        <v>340</v>
      </c>
      <c r="WJ9">
        <v>550</v>
      </c>
      <c r="WK9">
        <v>1159</v>
      </c>
      <c r="WL9">
        <v>612</v>
      </c>
      <c r="WM9">
        <v>701</v>
      </c>
      <c r="WN9">
        <v>2498</v>
      </c>
      <c r="WO9">
        <v>5480</v>
      </c>
      <c r="WP9">
        <v>7003</v>
      </c>
      <c r="WQ9">
        <v>7408</v>
      </c>
      <c r="WR9">
        <v>9997</v>
      </c>
      <c r="WS9">
        <v>6931</v>
      </c>
      <c r="WT9" t="s">
        <v>289</v>
      </c>
      <c r="WU9" t="s">
        <v>289</v>
      </c>
      <c r="WV9" t="s">
        <v>289</v>
      </c>
      <c r="WW9" t="s">
        <v>289</v>
      </c>
      <c r="WX9" t="s">
        <v>289</v>
      </c>
      <c r="WY9" t="s">
        <v>289</v>
      </c>
      <c r="WZ9" t="s">
        <v>289</v>
      </c>
      <c r="XA9" t="s">
        <v>289</v>
      </c>
      <c r="XB9" t="s">
        <v>289</v>
      </c>
      <c r="XC9" t="s">
        <v>289</v>
      </c>
      <c r="XD9" t="s">
        <v>289</v>
      </c>
      <c r="XE9" t="s">
        <v>289</v>
      </c>
      <c r="XF9" t="s">
        <v>289</v>
      </c>
      <c r="XG9" t="s">
        <v>289</v>
      </c>
      <c r="XH9" t="s">
        <v>289</v>
      </c>
      <c r="XI9" t="s">
        <v>289</v>
      </c>
      <c r="XJ9" t="s">
        <v>289</v>
      </c>
      <c r="XK9" t="s">
        <v>289</v>
      </c>
      <c r="XL9" t="s">
        <v>289</v>
      </c>
      <c r="XM9" t="s">
        <v>289</v>
      </c>
      <c r="XN9" t="s">
        <v>289</v>
      </c>
      <c r="XO9" t="s">
        <v>289</v>
      </c>
      <c r="XP9" t="s">
        <v>289</v>
      </c>
      <c r="XQ9" t="s">
        <v>289</v>
      </c>
      <c r="XR9" t="s">
        <v>289</v>
      </c>
      <c r="XS9" t="s">
        <v>289</v>
      </c>
      <c r="XT9" t="s">
        <v>289</v>
      </c>
      <c r="XU9" t="s">
        <v>289</v>
      </c>
      <c r="XV9" t="s">
        <v>289</v>
      </c>
      <c r="XW9" t="s">
        <v>289</v>
      </c>
      <c r="XX9" t="s">
        <v>289</v>
      </c>
      <c r="XY9" t="s">
        <v>289</v>
      </c>
      <c r="XZ9" t="s">
        <v>289</v>
      </c>
      <c r="YA9" t="s">
        <v>289</v>
      </c>
      <c r="YB9" t="s">
        <v>289</v>
      </c>
      <c r="YC9" t="s">
        <v>289</v>
      </c>
      <c r="YD9" t="s">
        <v>289</v>
      </c>
      <c r="YE9" t="s">
        <v>289</v>
      </c>
      <c r="YF9" t="s">
        <v>289</v>
      </c>
      <c r="YG9" t="s">
        <v>289</v>
      </c>
      <c r="YH9" t="s">
        <v>289</v>
      </c>
      <c r="YI9" t="s">
        <v>289</v>
      </c>
      <c r="YJ9" t="s">
        <v>289</v>
      </c>
      <c r="YK9" t="s">
        <v>289</v>
      </c>
      <c r="YL9" t="s">
        <v>289</v>
      </c>
      <c r="YM9" t="s">
        <v>289</v>
      </c>
      <c r="YN9" t="s">
        <v>289</v>
      </c>
      <c r="YO9" t="s">
        <v>289</v>
      </c>
      <c r="YP9" t="s">
        <v>289</v>
      </c>
      <c r="YQ9" t="s">
        <v>289</v>
      </c>
      <c r="YR9" t="s">
        <v>289</v>
      </c>
      <c r="YS9" t="s">
        <v>289</v>
      </c>
      <c r="YT9" t="s">
        <v>289</v>
      </c>
      <c r="YU9" t="s">
        <v>289</v>
      </c>
      <c r="YV9" t="s">
        <v>289</v>
      </c>
      <c r="YW9" t="s">
        <v>289</v>
      </c>
      <c r="YX9" t="s">
        <v>289</v>
      </c>
      <c r="YY9" t="s">
        <v>289</v>
      </c>
      <c r="YZ9" t="s">
        <v>289</v>
      </c>
      <c r="ZA9" t="s">
        <v>289</v>
      </c>
      <c r="ZB9" t="s">
        <v>289</v>
      </c>
      <c r="ZC9" t="s">
        <v>289</v>
      </c>
      <c r="ZD9" t="s">
        <v>289</v>
      </c>
      <c r="ZE9" t="s">
        <v>289</v>
      </c>
      <c r="ZF9" t="s">
        <v>289</v>
      </c>
      <c r="ZG9" t="s">
        <v>289</v>
      </c>
      <c r="ZH9" t="s">
        <v>289</v>
      </c>
      <c r="ZI9" t="s">
        <v>289</v>
      </c>
      <c r="ZJ9" t="s">
        <v>289</v>
      </c>
      <c r="ZK9" t="s">
        <v>289</v>
      </c>
      <c r="ZL9" t="s">
        <v>289</v>
      </c>
      <c r="ZM9" t="s">
        <v>289</v>
      </c>
      <c r="ZN9" t="s">
        <v>289</v>
      </c>
      <c r="ZO9" t="s">
        <v>289</v>
      </c>
      <c r="ZP9" t="s">
        <v>289</v>
      </c>
      <c r="ZQ9" t="s">
        <v>289</v>
      </c>
      <c r="ZR9" t="s">
        <v>289</v>
      </c>
      <c r="ZS9" t="s">
        <v>289</v>
      </c>
      <c r="ZT9" t="s">
        <v>289</v>
      </c>
      <c r="ZU9" t="s">
        <v>289</v>
      </c>
      <c r="ZV9" t="s">
        <v>289</v>
      </c>
      <c r="ZW9" t="s">
        <v>289</v>
      </c>
      <c r="ZX9" t="s">
        <v>289</v>
      </c>
      <c r="ZY9" t="s">
        <v>289</v>
      </c>
      <c r="ZZ9">
        <v>9</v>
      </c>
      <c r="AAA9">
        <v>10</v>
      </c>
      <c r="AAB9">
        <v>10</v>
      </c>
      <c r="AAC9">
        <v>13</v>
      </c>
      <c r="AAD9">
        <v>15</v>
      </c>
      <c r="AAE9">
        <v>79</v>
      </c>
      <c r="AAF9">
        <v>80</v>
      </c>
      <c r="AAG9">
        <v>190</v>
      </c>
      <c r="AAH9">
        <v>296</v>
      </c>
      <c r="AAI9">
        <v>2449</v>
      </c>
      <c r="AAJ9">
        <v>1765</v>
      </c>
      <c r="AAK9" t="s">
        <v>289</v>
      </c>
      <c r="AAL9" t="s">
        <v>289</v>
      </c>
      <c r="AAM9" t="s">
        <v>289</v>
      </c>
      <c r="AAN9" t="s">
        <v>289</v>
      </c>
      <c r="AAO9" t="s">
        <v>289</v>
      </c>
      <c r="AAP9" t="s">
        <v>289</v>
      </c>
      <c r="AAQ9" t="s">
        <v>289</v>
      </c>
      <c r="AAR9" t="s">
        <v>289</v>
      </c>
      <c r="AAS9" t="s">
        <v>289</v>
      </c>
      <c r="AAT9">
        <v>0</v>
      </c>
      <c r="AAU9">
        <v>88</v>
      </c>
      <c r="AAV9">
        <v>1047</v>
      </c>
      <c r="AAW9">
        <v>3512</v>
      </c>
      <c r="AAX9">
        <v>4738</v>
      </c>
      <c r="AAY9">
        <v>3992</v>
      </c>
      <c r="AAZ9">
        <v>1577</v>
      </c>
      <c r="ABA9">
        <v>3518</v>
      </c>
      <c r="ABB9">
        <v>8087</v>
      </c>
      <c r="ABC9">
        <v>7996</v>
      </c>
      <c r="ABD9" t="s">
        <v>289</v>
      </c>
      <c r="ABE9" t="s">
        <v>289</v>
      </c>
      <c r="ABF9" t="s">
        <v>289</v>
      </c>
      <c r="ABG9" t="s">
        <v>289</v>
      </c>
      <c r="ABH9" t="s">
        <v>289</v>
      </c>
      <c r="ABI9" t="s">
        <v>289</v>
      </c>
      <c r="ABJ9" t="s">
        <v>289</v>
      </c>
      <c r="ABK9" t="s">
        <v>289</v>
      </c>
      <c r="ABL9" t="s">
        <v>289</v>
      </c>
      <c r="ABM9" t="s">
        <v>289</v>
      </c>
      <c r="ABN9" t="s">
        <v>289</v>
      </c>
      <c r="ABO9" t="s">
        <v>289</v>
      </c>
      <c r="ABP9" t="s">
        <v>289</v>
      </c>
      <c r="ABQ9" t="s">
        <v>289</v>
      </c>
      <c r="ABR9" t="s">
        <v>289</v>
      </c>
      <c r="ABS9" t="s">
        <v>289</v>
      </c>
      <c r="ABT9" t="s">
        <v>289</v>
      </c>
      <c r="ABU9" t="s">
        <v>289</v>
      </c>
      <c r="ABV9" t="s">
        <v>289</v>
      </c>
      <c r="ABW9" t="s">
        <v>289</v>
      </c>
      <c r="ABX9" t="s">
        <v>289</v>
      </c>
      <c r="ABY9" t="s">
        <v>289</v>
      </c>
      <c r="ABZ9" t="s">
        <v>289</v>
      </c>
      <c r="ACA9" t="s">
        <v>289</v>
      </c>
      <c r="ACB9" t="s">
        <v>289</v>
      </c>
      <c r="ACC9" t="s">
        <v>289</v>
      </c>
      <c r="ACD9" t="s">
        <v>289</v>
      </c>
      <c r="ACE9" t="s">
        <v>289</v>
      </c>
      <c r="ACF9" t="s">
        <v>289</v>
      </c>
      <c r="ACG9" t="s">
        <v>289</v>
      </c>
      <c r="ACH9" t="s">
        <v>289</v>
      </c>
      <c r="ACI9" t="s">
        <v>289</v>
      </c>
      <c r="ACJ9" t="s">
        <v>289</v>
      </c>
      <c r="ACK9" t="s">
        <v>289</v>
      </c>
      <c r="ACL9" t="s">
        <v>289</v>
      </c>
      <c r="ACM9" t="s">
        <v>289</v>
      </c>
      <c r="ACN9" t="s">
        <v>289</v>
      </c>
      <c r="ACO9" t="s">
        <v>289</v>
      </c>
      <c r="ACP9" t="s">
        <v>289</v>
      </c>
      <c r="ACQ9" t="s">
        <v>289</v>
      </c>
      <c r="ACR9" t="s">
        <v>289</v>
      </c>
      <c r="ACS9" t="s">
        <v>289</v>
      </c>
      <c r="ACT9" t="s">
        <v>289</v>
      </c>
      <c r="ACU9" t="s">
        <v>289</v>
      </c>
      <c r="ACV9" t="s">
        <v>289</v>
      </c>
      <c r="ACW9" t="s">
        <v>289</v>
      </c>
      <c r="ACX9" t="s">
        <v>289</v>
      </c>
      <c r="ACY9" t="s">
        <v>289</v>
      </c>
      <c r="ACZ9" t="s">
        <v>289</v>
      </c>
      <c r="ADA9" t="s">
        <v>289</v>
      </c>
      <c r="ADB9" t="s">
        <v>289</v>
      </c>
      <c r="ADC9" t="s">
        <v>289</v>
      </c>
      <c r="ADD9" t="s">
        <v>289</v>
      </c>
      <c r="ADE9" t="s">
        <v>289</v>
      </c>
      <c r="ADF9" t="s">
        <v>289</v>
      </c>
      <c r="ADG9" t="s">
        <v>289</v>
      </c>
      <c r="ADH9" t="s">
        <v>289</v>
      </c>
      <c r="ADI9" t="s">
        <v>289</v>
      </c>
      <c r="ADJ9" t="s">
        <v>289</v>
      </c>
      <c r="ADK9" t="s">
        <v>289</v>
      </c>
      <c r="ADL9" t="s">
        <v>289</v>
      </c>
      <c r="ADM9" t="s">
        <v>289</v>
      </c>
      <c r="ADN9" t="s">
        <v>289</v>
      </c>
      <c r="ADO9" t="s">
        <v>289</v>
      </c>
      <c r="ADP9" t="s">
        <v>289</v>
      </c>
      <c r="ADQ9" t="s">
        <v>289</v>
      </c>
      <c r="ADR9" t="s">
        <v>289</v>
      </c>
      <c r="ADS9" t="s">
        <v>289</v>
      </c>
      <c r="ADT9" t="s">
        <v>289</v>
      </c>
      <c r="ADU9" t="s">
        <v>289</v>
      </c>
      <c r="ADV9" t="s">
        <v>289</v>
      </c>
      <c r="ADW9" t="s">
        <v>289</v>
      </c>
      <c r="ADX9" t="s">
        <v>289</v>
      </c>
      <c r="ADY9" t="s">
        <v>289</v>
      </c>
      <c r="ADZ9" t="s">
        <v>289</v>
      </c>
      <c r="AEA9" t="s">
        <v>289</v>
      </c>
      <c r="AEB9" t="s">
        <v>289</v>
      </c>
      <c r="AEC9" t="s">
        <v>289</v>
      </c>
      <c r="AED9" t="s">
        <v>289</v>
      </c>
      <c r="AEE9" t="s">
        <v>289</v>
      </c>
      <c r="AEF9" t="s">
        <v>289</v>
      </c>
      <c r="AEG9" t="s">
        <v>289</v>
      </c>
      <c r="AEH9" t="s">
        <v>289</v>
      </c>
      <c r="AEI9" t="s">
        <v>289</v>
      </c>
      <c r="AEJ9" t="s">
        <v>289</v>
      </c>
      <c r="AEK9" t="s">
        <v>289</v>
      </c>
      <c r="AEL9" t="s">
        <v>289</v>
      </c>
      <c r="AEM9" t="s">
        <v>289</v>
      </c>
      <c r="AEN9" t="s">
        <v>289</v>
      </c>
      <c r="AEO9" t="s">
        <v>289</v>
      </c>
      <c r="AEP9" t="s">
        <v>289</v>
      </c>
      <c r="AEQ9" t="s">
        <v>289</v>
      </c>
      <c r="AER9" t="s">
        <v>289</v>
      </c>
      <c r="AES9" t="s">
        <v>289</v>
      </c>
      <c r="AET9" t="s">
        <v>289</v>
      </c>
      <c r="AEU9" t="s">
        <v>289</v>
      </c>
      <c r="AEV9" t="s">
        <v>289</v>
      </c>
      <c r="AEW9" t="s">
        <v>289</v>
      </c>
      <c r="AEX9" t="s">
        <v>289</v>
      </c>
      <c r="AEY9" t="s">
        <v>289</v>
      </c>
      <c r="AEZ9" t="s">
        <v>289</v>
      </c>
      <c r="AFA9" t="s">
        <v>289</v>
      </c>
      <c r="AFB9" t="s">
        <v>289</v>
      </c>
      <c r="AFC9" t="s">
        <v>289</v>
      </c>
      <c r="AFD9" t="s">
        <v>289</v>
      </c>
      <c r="AFE9" t="s">
        <v>289</v>
      </c>
      <c r="AFF9" t="s">
        <v>289</v>
      </c>
      <c r="AFG9" t="s">
        <v>289</v>
      </c>
      <c r="AFH9" t="s">
        <v>289</v>
      </c>
      <c r="AFI9" t="s">
        <v>289</v>
      </c>
      <c r="AFJ9" t="s">
        <v>289</v>
      </c>
      <c r="AFK9" t="s">
        <v>289</v>
      </c>
      <c r="AFL9" t="s">
        <v>289</v>
      </c>
      <c r="AFM9" t="s">
        <v>289</v>
      </c>
      <c r="AFN9" t="s">
        <v>289</v>
      </c>
      <c r="AFO9" t="s">
        <v>289</v>
      </c>
      <c r="AFP9" t="s">
        <v>289</v>
      </c>
      <c r="AFQ9" t="s">
        <v>289</v>
      </c>
      <c r="AFR9" t="s">
        <v>289</v>
      </c>
      <c r="AFS9" t="s">
        <v>289</v>
      </c>
      <c r="AFT9" t="s">
        <v>289</v>
      </c>
      <c r="AFU9" t="s">
        <v>289</v>
      </c>
      <c r="AFV9">
        <v>815</v>
      </c>
      <c r="AFW9">
        <v>734</v>
      </c>
      <c r="AFX9">
        <v>1077</v>
      </c>
      <c r="AFY9">
        <v>11656</v>
      </c>
      <c r="AFZ9">
        <v>1326</v>
      </c>
      <c r="AGA9">
        <v>2013</v>
      </c>
      <c r="AGB9">
        <v>3704</v>
      </c>
      <c r="AGC9">
        <v>2982</v>
      </c>
      <c r="AGD9">
        <v>3253</v>
      </c>
      <c r="AGE9">
        <v>4758</v>
      </c>
      <c r="AGF9">
        <v>4863</v>
      </c>
      <c r="AGG9" t="s">
        <v>289</v>
      </c>
      <c r="AGH9" t="s">
        <v>289</v>
      </c>
      <c r="AGI9" t="s">
        <v>289</v>
      </c>
      <c r="AGJ9" t="s">
        <v>289</v>
      </c>
      <c r="AGK9" t="s">
        <v>289</v>
      </c>
      <c r="AGL9" t="s">
        <v>289</v>
      </c>
      <c r="AGM9" t="s">
        <v>289</v>
      </c>
      <c r="AGN9" t="s">
        <v>289</v>
      </c>
      <c r="AGO9" t="s">
        <v>289</v>
      </c>
      <c r="AGP9" t="s">
        <v>289</v>
      </c>
      <c r="AGQ9" t="s">
        <v>289</v>
      </c>
      <c r="AGR9" t="s">
        <v>289</v>
      </c>
      <c r="AGS9" t="s">
        <v>289</v>
      </c>
      <c r="AGT9">
        <v>54</v>
      </c>
      <c r="AGU9">
        <v>54</v>
      </c>
      <c r="AGV9">
        <v>54</v>
      </c>
      <c r="AGW9">
        <v>54</v>
      </c>
      <c r="AGX9">
        <v>0</v>
      </c>
      <c r="AGY9">
        <v>5046</v>
      </c>
      <c r="AGZ9" t="s">
        <v>289</v>
      </c>
      <c r="AHA9" t="s">
        <v>289</v>
      </c>
      <c r="AHB9" t="s">
        <v>289</v>
      </c>
      <c r="AHC9" t="s">
        <v>289</v>
      </c>
      <c r="AHD9" t="s">
        <v>289</v>
      </c>
      <c r="AHE9" t="s">
        <v>289</v>
      </c>
      <c r="AHF9" t="s">
        <v>289</v>
      </c>
      <c r="AHG9" t="s">
        <v>289</v>
      </c>
      <c r="AHH9" t="s">
        <v>289</v>
      </c>
      <c r="AHI9" t="s">
        <v>289</v>
      </c>
      <c r="AHJ9" t="s">
        <v>289</v>
      </c>
      <c r="AHK9" t="s">
        <v>289</v>
      </c>
      <c r="AHL9" t="s">
        <v>289</v>
      </c>
      <c r="AHM9" t="s">
        <v>289</v>
      </c>
      <c r="AHN9" t="s">
        <v>289</v>
      </c>
      <c r="AHO9" t="s">
        <v>289</v>
      </c>
      <c r="AHP9" t="s">
        <v>289</v>
      </c>
      <c r="AHQ9" t="s">
        <v>289</v>
      </c>
      <c r="AHR9" t="s">
        <v>289</v>
      </c>
      <c r="AHS9" t="s">
        <v>289</v>
      </c>
      <c r="AHT9" t="s">
        <v>289</v>
      </c>
      <c r="AHU9" t="s">
        <v>289</v>
      </c>
      <c r="AHV9" t="s">
        <v>289</v>
      </c>
      <c r="AHW9" t="s">
        <v>289</v>
      </c>
      <c r="AHX9" t="s">
        <v>289</v>
      </c>
      <c r="AHY9" t="s">
        <v>289</v>
      </c>
      <c r="AHZ9" t="s">
        <v>289</v>
      </c>
      <c r="AIA9" t="s">
        <v>289</v>
      </c>
      <c r="AIB9" t="s">
        <v>289</v>
      </c>
      <c r="AIC9" t="s">
        <v>289</v>
      </c>
      <c r="AID9" t="s">
        <v>289</v>
      </c>
      <c r="AIE9" t="s">
        <v>289</v>
      </c>
      <c r="AIF9" t="s">
        <v>289</v>
      </c>
      <c r="AIG9" t="s">
        <v>289</v>
      </c>
      <c r="AIH9" t="s">
        <v>289</v>
      </c>
      <c r="AII9" t="s">
        <v>289</v>
      </c>
      <c r="AIJ9" t="s">
        <v>289</v>
      </c>
      <c r="AIK9" t="s">
        <v>289</v>
      </c>
      <c r="AIL9" t="s">
        <v>289</v>
      </c>
      <c r="AIM9" t="s">
        <v>289</v>
      </c>
      <c r="AIN9" t="s">
        <v>289</v>
      </c>
      <c r="AIO9" t="s">
        <v>289</v>
      </c>
      <c r="AIP9" t="s">
        <v>289</v>
      </c>
      <c r="AIQ9" t="s">
        <v>289</v>
      </c>
      <c r="AIR9" t="s">
        <v>289</v>
      </c>
      <c r="AIS9" t="s">
        <v>289</v>
      </c>
      <c r="AIT9">
        <v>28578</v>
      </c>
      <c r="AIU9">
        <v>29196</v>
      </c>
      <c r="AIV9">
        <v>27543</v>
      </c>
      <c r="AIW9">
        <v>38064</v>
      </c>
      <c r="AIX9">
        <v>39600</v>
      </c>
      <c r="AIY9">
        <v>47951</v>
      </c>
      <c r="AIZ9">
        <v>57822</v>
      </c>
      <c r="AJA9">
        <v>63731</v>
      </c>
      <c r="AJB9">
        <v>69738</v>
      </c>
      <c r="AJC9">
        <v>57453</v>
      </c>
      <c r="AJD9">
        <v>70903</v>
      </c>
      <c r="AJE9" t="s">
        <v>289</v>
      </c>
      <c r="AJF9" t="s">
        <v>289</v>
      </c>
      <c r="AJG9" t="s">
        <v>289</v>
      </c>
      <c r="AJH9" t="s">
        <v>289</v>
      </c>
      <c r="AJI9" t="s">
        <v>289</v>
      </c>
      <c r="AJJ9" t="s">
        <v>289</v>
      </c>
      <c r="AJK9" t="s">
        <v>289</v>
      </c>
      <c r="AJL9" t="s">
        <v>289</v>
      </c>
      <c r="AJM9">
        <v>125678</v>
      </c>
      <c r="AJN9">
        <v>124547</v>
      </c>
      <c r="AJO9">
        <v>122245</v>
      </c>
      <c r="AJP9">
        <v>137590</v>
      </c>
      <c r="AJQ9">
        <v>164043</v>
      </c>
      <c r="AJR9">
        <v>180902</v>
      </c>
      <c r="AJS9">
        <v>208646</v>
      </c>
      <c r="AJT9">
        <v>252653</v>
      </c>
      <c r="AJU9">
        <v>274117</v>
      </c>
      <c r="AJV9">
        <v>262833</v>
      </c>
      <c r="AJW9">
        <v>282045</v>
      </c>
      <c r="AJX9" t="s">
        <v>289</v>
      </c>
      <c r="AJY9" t="s">
        <v>289</v>
      </c>
      <c r="AJZ9" t="s">
        <v>289</v>
      </c>
      <c r="AKA9" t="s">
        <v>289</v>
      </c>
      <c r="AKB9" t="s">
        <v>289</v>
      </c>
      <c r="AKC9" t="s">
        <v>289</v>
      </c>
      <c r="AKD9" t="s">
        <v>289</v>
      </c>
      <c r="AKE9" t="s">
        <v>289</v>
      </c>
      <c r="AKF9" t="s">
        <v>289</v>
      </c>
      <c r="AKG9" t="s">
        <v>289</v>
      </c>
      <c r="AKH9" t="s">
        <v>289</v>
      </c>
      <c r="AKI9" t="s">
        <v>289</v>
      </c>
      <c r="AKJ9" t="s">
        <v>289</v>
      </c>
      <c r="AKK9" t="s">
        <v>289</v>
      </c>
      <c r="AKL9" t="s">
        <v>289</v>
      </c>
      <c r="AKM9" t="s">
        <v>289</v>
      </c>
      <c r="AKN9" t="s">
        <v>289</v>
      </c>
      <c r="AKO9" t="s">
        <v>289</v>
      </c>
      <c r="AKP9" t="s">
        <v>289</v>
      </c>
      <c r="AKQ9" t="s">
        <v>289</v>
      </c>
      <c r="AKR9" t="s">
        <v>289</v>
      </c>
      <c r="AKS9" t="s">
        <v>289</v>
      </c>
      <c r="AKT9" t="s">
        <v>289</v>
      </c>
      <c r="AKU9" t="s">
        <v>289</v>
      </c>
      <c r="AKV9" t="s">
        <v>289</v>
      </c>
      <c r="AKW9" t="s">
        <v>289</v>
      </c>
      <c r="AKX9" t="s">
        <v>289</v>
      </c>
      <c r="AKY9">
        <v>80460</v>
      </c>
      <c r="AKZ9">
        <v>76804</v>
      </c>
      <c r="ALA9">
        <v>87597</v>
      </c>
      <c r="ALB9">
        <v>123235</v>
      </c>
      <c r="ALC9">
        <v>132317</v>
      </c>
      <c r="ALD9">
        <v>161413</v>
      </c>
      <c r="ALE9">
        <v>190164</v>
      </c>
      <c r="ALF9">
        <v>211234</v>
      </c>
      <c r="ALG9">
        <v>241564</v>
      </c>
      <c r="ALH9">
        <v>262312</v>
      </c>
      <c r="ALI9">
        <v>283824</v>
      </c>
      <c r="ALJ9" t="s">
        <v>289</v>
      </c>
      <c r="ALK9" t="s">
        <v>289</v>
      </c>
      <c r="ALL9" t="s">
        <v>289</v>
      </c>
      <c r="ALM9" t="s">
        <v>289</v>
      </c>
      <c r="ALN9" t="s">
        <v>289</v>
      </c>
      <c r="ALO9" t="s">
        <v>289</v>
      </c>
      <c r="ALP9" t="s">
        <v>289</v>
      </c>
      <c r="ALQ9" t="s">
        <v>289</v>
      </c>
      <c r="ALR9">
        <v>34242</v>
      </c>
      <c r="ALS9">
        <v>28828</v>
      </c>
      <c r="ALT9">
        <v>38372</v>
      </c>
      <c r="ALU9">
        <v>49134</v>
      </c>
      <c r="ALV9">
        <v>64000</v>
      </c>
      <c r="ALW9">
        <v>79338</v>
      </c>
      <c r="ALX9">
        <v>89309</v>
      </c>
      <c r="ALY9">
        <v>101062</v>
      </c>
      <c r="ALZ9">
        <v>117511</v>
      </c>
      <c r="AMA9">
        <v>138833</v>
      </c>
      <c r="AMB9">
        <v>142940</v>
      </c>
      <c r="AMC9" t="s">
        <v>289</v>
      </c>
      <c r="AMD9" t="s">
        <v>289</v>
      </c>
      <c r="AME9" t="s">
        <v>289</v>
      </c>
      <c r="AMF9" t="s">
        <v>289</v>
      </c>
      <c r="AMG9" t="s">
        <v>289</v>
      </c>
      <c r="AMH9" t="s">
        <v>289</v>
      </c>
      <c r="AMI9" t="s">
        <v>289</v>
      </c>
      <c r="AMJ9" t="s">
        <v>289</v>
      </c>
      <c r="AMK9">
        <v>36743</v>
      </c>
      <c r="AML9">
        <v>33830</v>
      </c>
      <c r="AMM9">
        <v>38851</v>
      </c>
      <c r="AMN9">
        <v>53498</v>
      </c>
      <c r="AMO9">
        <v>67209</v>
      </c>
      <c r="AMP9">
        <v>76124</v>
      </c>
      <c r="AMQ9">
        <v>96385</v>
      </c>
      <c r="AMR9">
        <v>103415</v>
      </c>
      <c r="AMS9">
        <v>115736</v>
      </c>
      <c r="AMT9">
        <v>126354</v>
      </c>
      <c r="AMU9">
        <v>126115</v>
      </c>
      <c r="AMV9" t="s">
        <v>289</v>
      </c>
      <c r="AMW9" t="s">
        <v>289</v>
      </c>
      <c r="AMX9" t="s">
        <v>289</v>
      </c>
      <c r="AMY9" t="s">
        <v>289</v>
      </c>
      <c r="AMZ9" t="s">
        <v>289</v>
      </c>
      <c r="ANA9" t="s">
        <v>289</v>
      </c>
      <c r="ANB9" t="s">
        <v>289</v>
      </c>
      <c r="ANC9" t="s">
        <v>289</v>
      </c>
      <c r="AND9">
        <v>14840</v>
      </c>
      <c r="ANE9">
        <v>15666</v>
      </c>
      <c r="ANF9">
        <v>17271</v>
      </c>
      <c r="ANG9">
        <v>20649</v>
      </c>
      <c r="ANH9">
        <v>22834</v>
      </c>
      <c r="ANI9">
        <v>25368</v>
      </c>
      <c r="ANJ9">
        <v>29157</v>
      </c>
      <c r="ANK9">
        <v>29626</v>
      </c>
      <c r="ANL9">
        <v>32786</v>
      </c>
      <c r="ANM9">
        <v>37168</v>
      </c>
      <c r="ANN9">
        <v>43840</v>
      </c>
      <c r="ANO9" t="s">
        <v>289</v>
      </c>
      <c r="ANP9" t="s">
        <v>289</v>
      </c>
      <c r="ANQ9" t="s">
        <v>289</v>
      </c>
      <c r="ANR9" t="s">
        <v>289</v>
      </c>
      <c r="ANS9" t="s">
        <v>289</v>
      </c>
      <c r="ANT9" t="s">
        <v>289</v>
      </c>
      <c r="ANU9" t="s">
        <v>289</v>
      </c>
      <c r="ANV9" t="s">
        <v>289</v>
      </c>
      <c r="ANW9" t="s">
        <v>289</v>
      </c>
      <c r="ANX9" t="s">
        <v>289</v>
      </c>
      <c r="ANY9" t="s">
        <v>289</v>
      </c>
      <c r="ANZ9" t="s">
        <v>289</v>
      </c>
      <c r="AOA9" t="s">
        <v>289</v>
      </c>
      <c r="AOB9" t="s">
        <v>289</v>
      </c>
      <c r="AOC9" t="s">
        <v>289</v>
      </c>
      <c r="AOD9" t="s">
        <v>289</v>
      </c>
      <c r="AOE9" t="s">
        <v>289</v>
      </c>
      <c r="AOF9" t="s">
        <v>289</v>
      </c>
      <c r="AOG9" t="s">
        <v>289</v>
      </c>
      <c r="AOH9" t="s">
        <v>289</v>
      </c>
      <c r="AOI9" t="s">
        <v>289</v>
      </c>
      <c r="AOJ9" t="s">
        <v>289</v>
      </c>
      <c r="AOK9" t="s">
        <v>289</v>
      </c>
      <c r="AOL9" t="s">
        <v>289</v>
      </c>
      <c r="AOM9" t="s">
        <v>289</v>
      </c>
      <c r="AON9" t="s">
        <v>289</v>
      </c>
      <c r="AOO9" t="s">
        <v>289</v>
      </c>
      <c r="AOP9" t="s">
        <v>289</v>
      </c>
      <c r="AOQ9" t="s">
        <v>289</v>
      </c>
      <c r="AOR9" t="s">
        <v>289</v>
      </c>
      <c r="AOS9" t="s">
        <v>289</v>
      </c>
      <c r="AOT9" t="s">
        <v>289</v>
      </c>
      <c r="AOU9" t="s">
        <v>289</v>
      </c>
      <c r="AOV9" t="s">
        <v>289</v>
      </c>
      <c r="AOW9" t="s">
        <v>289</v>
      </c>
      <c r="AOX9" t="s">
        <v>289</v>
      </c>
      <c r="AOY9" t="s">
        <v>289</v>
      </c>
      <c r="AOZ9" t="s">
        <v>289</v>
      </c>
      <c r="APA9" t="s">
        <v>289</v>
      </c>
      <c r="APB9" t="s">
        <v>289</v>
      </c>
      <c r="APC9" t="s">
        <v>289</v>
      </c>
      <c r="APD9" t="s">
        <v>289</v>
      </c>
      <c r="APE9" t="s">
        <v>289</v>
      </c>
      <c r="APF9" t="s">
        <v>289</v>
      </c>
      <c r="APG9" t="s">
        <v>289</v>
      </c>
      <c r="APH9" t="s">
        <v>289</v>
      </c>
      <c r="API9">
        <v>5930</v>
      </c>
      <c r="APJ9">
        <v>5308</v>
      </c>
      <c r="APK9">
        <v>3931</v>
      </c>
      <c r="APL9">
        <v>4099</v>
      </c>
      <c r="APM9">
        <v>5340</v>
      </c>
      <c r="APN9">
        <v>5779</v>
      </c>
      <c r="APO9">
        <v>6753</v>
      </c>
      <c r="APP9">
        <v>7301</v>
      </c>
      <c r="APQ9">
        <v>8540</v>
      </c>
      <c r="APR9">
        <v>8038</v>
      </c>
      <c r="APS9">
        <v>7492</v>
      </c>
      <c r="APT9" t="s">
        <v>289</v>
      </c>
      <c r="APU9" t="s">
        <v>289</v>
      </c>
      <c r="APV9" t="s">
        <v>289</v>
      </c>
      <c r="APW9" t="s">
        <v>289</v>
      </c>
      <c r="APX9" t="s">
        <v>289</v>
      </c>
      <c r="APY9" t="s">
        <v>289</v>
      </c>
      <c r="APZ9" t="s">
        <v>289</v>
      </c>
      <c r="AQA9" t="s">
        <v>289</v>
      </c>
      <c r="AQB9" t="s">
        <v>289</v>
      </c>
      <c r="AQC9" t="s">
        <v>289</v>
      </c>
      <c r="AQD9" t="s">
        <v>289</v>
      </c>
      <c r="AQE9" t="s">
        <v>289</v>
      </c>
      <c r="AQF9" t="s">
        <v>289</v>
      </c>
      <c r="AQG9" t="s">
        <v>289</v>
      </c>
      <c r="AQH9" t="s">
        <v>289</v>
      </c>
      <c r="AQI9" t="s">
        <v>289</v>
      </c>
      <c r="AQJ9" t="s">
        <v>289</v>
      </c>
      <c r="AQK9" t="s">
        <v>289</v>
      </c>
      <c r="AQL9" t="s">
        <v>289</v>
      </c>
      <c r="AQM9" t="s">
        <v>289</v>
      </c>
      <c r="AQN9" t="s">
        <v>289</v>
      </c>
      <c r="AQO9" t="s">
        <v>289</v>
      </c>
      <c r="AQP9" t="s">
        <v>289</v>
      </c>
      <c r="AQQ9" t="s">
        <v>289</v>
      </c>
      <c r="AQR9" t="s">
        <v>289</v>
      </c>
      <c r="AQS9" t="s">
        <v>289</v>
      </c>
      <c r="AQT9" t="s">
        <v>289</v>
      </c>
      <c r="AQU9">
        <v>1895</v>
      </c>
      <c r="AQV9">
        <v>2259</v>
      </c>
      <c r="AQW9">
        <v>2693</v>
      </c>
      <c r="AQX9">
        <v>2777</v>
      </c>
      <c r="AQY9">
        <v>3772</v>
      </c>
      <c r="AQZ9">
        <v>4292</v>
      </c>
      <c r="ARA9">
        <v>4707</v>
      </c>
      <c r="ARB9">
        <v>5210</v>
      </c>
      <c r="ARC9">
        <v>5631</v>
      </c>
      <c r="ARD9">
        <v>4853</v>
      </c>
      <c r="ARE9">
        <v>5766</v>
      </c>
      <c r="ARF9" t="s">
        <v>289</v>
      </c>
      <c r="ARG9" t="s">
        <v>289</v>
      </c>
      <c r="ARH9" t="s">
        <v>289</v>
      </c>
      <c r="ARI9" t="s">
        <v>289</v>
      </c>
      <c r="ARJ9" t="s">
        <v>289</v>
      </c>
      <c r="ARK9" t="s">
        <v>289</v>
      </c>
      <c r="ARL9" t="s">
        <v>289</v>
      </c>
      <c r="ARM9" t="s">
        <v>289</v>
      </c>
      <c r="ARN9" t="s">
        <v>289</v>
      </c>
      <c r="ARO9" t="s">
        <v>289</v>
      </c>
      <c r="ARP9" t="s">
        <v>289</v>
      </c>
      <c r="ARQ9" t="s">
        <v>289</v>
      </c>
      <c r="ARR9" t="s">
        <v>289</v>
      </c>
      <c r="ARS9" t="s">
        <v>289</v>
      </c>
      <c r="ART9" t="s">
        <v>289</v>
      </c>
      <c r="ARU9" t="s">
        <v>289</v>
      </c>
      <c r="ARV9" t="s">
        <v>289</v>
      </c>
      <c r="ARW9" t="s">
        <v>289</v>
      </c>
      <c r="ARX9" t="s">
        <v>289</v>
      </c>
      <c r="ARY9" t="s">
        <v>289</v>
      </c>
      <c r="ARZ9" t="s">
        <v>289</v>
      </c>
      <c r="ASA9" t="s">
        <v>289</v>
      </c>
      <c r="ASB9" t="s">
        <v>289</v>
      </c>
      <c r="ASC9" t="s">
        <v>289</v>
      </c>
      <c r="ASD9" t="s">
        <v>289</v>
      </c>
      <c r="ASE9" t="s">
        <v>289</v>
      </c>
      <c r="ASF9" t="s">
        <v>289</v>
      </c>
      <c r="ASG9" t="s">
        <v>289</v>
      </c>
      <c r="ASH9" t="s">
        <v>289</v>
      </c>
      <c r="ASI9" t="s">
        <v>289</v>
      </c>
      <c r="ASJ9" t="s">
        <v>289</v>
      </c>
      <c r="ASK9" t="s">
        <v>289</v>
      </c>
      <c r="ASL9" t="s">
        <v>289</v>
      </c>
      <c r="ASM9" t="s">
        <v>289</v>
      </c>
      <c r="ASN9" t="s">
        <v>289</v>
      </c>
      <c r="ASO9" t="s">
        <v>289</v>
      </c>
      <c r="ASP9" t="s">
        <v>289</v>
      </c>
      <c r="ASQ9" t="s">
        <v>289</v>
      </c>
      <c r="ASR9" t="s">
        <v>289</v>
      </c>
      <c r="ASS9" t="s">
        <v>289</v>
      </c>
      <c r="AST9" t="s">
        <v>289</v>
      </c>
      <c r="ASU9" t="s">
        <v>289</v>
      </c>
      <c r="ASV9" t="s">
        <v>289</v>
      </c>
      <c r="ASW9" t="s">
        <v>289</v>
      </c>
      <c r="ASX9" t="s">
        <v>289</v>
      </c>
      <c r="ASY9" t="s">
        <v>289</v>
      </c>
      <c r="ASZ9" t="s">
        <v>289</v>
      </c>
      <c r="ATA9" t="s">
        <v>289</v>
      </c>
      <c r="ATB9" t="s">
        <v>289</v>
      </c>
      <c r="ATC9" t="s">
        <v>289</v>
      </c>
      <c r="ATD9" t="s">
        <v>289</v>
      </c>
      <c r="ATE9" t="s">
        <v>289</v>
      </c>
      <c r="ATF9" t="s">
        <v>289</v>
      </c>
      <c r="ATG9" t="s">
        <v>289</v>
      </c>
      <c r="ATH9" t="s">
        <v>289</v>
      </c>
      <c r="ATI9" t="s">
        <v>289</v>
      </c>
      <c r="ATJ9" t="s">
        <v>289</v>
      </c>
      <c r="ATK9" t="s">
        <v>289</v>
      </c>
      <c r="ATL9" t="s">
        <v>289</v>
      </c>
      <c r="ATM9" t="s">
        <v>289</v>
      </c>
      <c r="ATN9" t="s">
        <v>289</v>
      </c>
      <c r="ATO9" t="s">
        <v>289</v>
      </c>
      <c r="ATP9" t="s">
        <v>289</v>
      </c>
      <c r="ATQ9" t="s">
        <v>289</v>
      </c>
      <c r="ATR9" t="s">
        <v>289</v>
      </c>
      <c r="ATS9" t="s">
        <v>289</v>
      </c>
      <c r="ATT9" t="s">
        <v>289</v>
      </c>
      <c r="ATU9" t="s">
        <v>289</v>
      </c>
      <c r="ATV9" t="s">
        <v>289</v>
      </c>
      <c r="ATW9" t="s">
        <v>289</v>
      </c>
      <c r="ATX9" t="s">
        <v>289</v>
      </c>
      <c r="ATY9" t="s">
        <v>289</v>
      </c>
      <c r="ATZ9" t="s">
        <v>289</v>
      </c>
      <c r="AUA9" t="s">
        <v>289</v>
      </c>
      <c r="AUB9" t="s">
        <v>289</v>
      </c>
      <c r="AUC9" t="s">
        <v>289</v>
      </c>
      <c r="AUD9" t="s">
        <v>289</v>
      </c>
      <c r="AUE9" t="s">
        <v>289</v>
      </c>
      <c r="AUF9" t="s">
        <v>289</v>
      </c>
      <c r="AUG9" t="s">
        <v>289</v>
      </c>
      <c r="AUH9" t="s">
        <v>289</v>
      </c>
      <c r="AUI9" t="s">
        <v>289</v>
      </c>
      <c r="AUJ9" t="s">
        <v>289</v>
      </c>
      <c r="AUK9" t="s">
        <v>289</v>
      </c>
      <c r="AUL9" t="s">
        <v>289</v>
      </c>
      <c r="AUM9" t="s">
        <v>289</v>
      </c>
      <c r="AUN9" t="s">
        <v>289</v>
      </c>
      <c r="AUO9" t="s">
        <v>289</v>
      </c>
      <c r="AUP9" t="s">
        <v>289</v>
      </c>
      <c r="AUQ9" t="s">
        <v>289</v>
      </c>
      <c r="AUR9" t="s">
        <v>289</v>
      </c>
      <c r="AUS9" t="s">
        <v>289</v>
      </c>
      <c r="AUT9" t="s">
        <v>289</v>
      </c>
      <c r="AUU9" t="s">
        <v>289</v>
      </c>
      <c r="AUV9" t="s">
        <v>289</v>
      </c>
      <c r="AUW9" t="s">
        <v>289</v>
      </c>
      <c r="AUX9" t="s">
        <v>289</v>
      </c>
      <c r="AUY9" t="s">
        <v>289</v>
      </c>
      <c r="AUZ9" t="s">
        <v>289</v>
      </c>
      <c r="AVA9" t="s">
        <v>289</v>
      </c>
      <c r="AVB9" t="s">
        <v>289</v>
      </c>
      <c r="AVC9" t="s">
        <v>289</v>
      </c>
      <c r="AVD9" t="s">
        <v>289</v>
      </c>
      <c r="AVE9">
        <v>8385</v>
      </c>
      <c r="AVF9">
        <v>8482</v>
      </c>
      <c r="AVG9">
        <v>11223</v>
      </c>
      <c r="AVH9">
        <v>14535</v>
      </c>
      <c r="AVI9">
        <v>16895</v>
      </c>
      <c r="AVJ9">
        <v>30392</v>
      </c>
      <c r="AVK9">
        <v>23201</v>
      </c>
      <c r="AVL9">
        <v>25818</v>
      </c>
      <c r="AVM9">
        <v>36078</v>
      </c>
      <c r="AVN9">
        <v>41944</v>
      </c>
      <c r="AVO9">
        <v>40042</v>
      </c>
      <c r="AVP9" t="s">
        <v>289</v>
      </c>
      <c r="AVQ9" t="s">
        <v>289</v>
      </c>
      <c r="AVR9" t="s">
        <v>289</v>
      </c>
      <c r="AVS9" t="s">
        <v>289</v>
      </c>
      <c r="AVT9" t="s">
        <v>289</v>
      </c>
      <c r="AVU9" t="s">
        <v>289</v>
      </c>
      <c r="AVV9" t="s">
        <v>289</v>
      </c>
      <c r="AVW9" t="s">
        <v>289</v>
      </c>
      <c r="AVX9" t="s">
        <v>289</v>
      </c>
      <c r="AVY9" t="s">
        <v>289</v>
      </c>
      <c r="AVZ9" t="s">
        <v>289</v>
      </c>
      <c r="AWA9" t="s">
        <v>289</v>
      </c>
      <c r="AWB9" t="s">
        <v>289</v>
      </c>
      <c r="AWC9" t="s">
        <v>289</v>
      </c>
      <c r="AWD9" t="s">
        <v>289</v>
      </c>
      <c r="AWE9" t="s">
        <v>289</v>
      </c>
      <c r="AWF9" t="s">
        <v>289</v>
      </c>
      <c r="AWG9" t="s">
        <v>289</v>
      </c>
      <c r="AWH9" t="s">
        <v>289</v>
      </c>
      <c r="AWI9" t="s">
        <v>289</v>
      </c>
      <c r="AWJ9" t="s">
        <v>289</v>
      </c>
      <c r="AWK9" t="s">
        <v>289</v>
      </c>
      <c r="AWL9" t="s">
        <v>289</v>
      </c>
      <c r="AWM9" t="s">
        <v>289</v>
      </c>
      <c r="AWN9" t="s">
        <v>289</v>
      </c>
      <c r="AWO9" t="s">
        <v>289</v>
      </c>
      <c r="AWP9" t="s">
        <v>289</v>
      </c>
      <c r="AWQ9" t="s">
        <v>289</v>
      </c>
      <c r="AWR9" t="s">
        <v>289</v>
      </c>
      <c r="AWS9" t="s">
        <v>289</v>
      </c>
      <c r="AWT9" t="s">
        <v>289</v>
      </c>
      <c r="AWU9" t="s">
        <v>289</v>
      </c>
      <c r="AWV9" t="s">
        <v>289</v>
      </c>
      <c r="AWW9" t="s">
        <v>289</v>
      </c>
      <c r="AWX9" t="s">
        <v>289</v>
      </c>
      <c r="AWY9" t="s">
        <v>289</v>
      </c>
      <c r="AWZ9" t="s">
        <v>289</v>
      </c>
      <c r="AXA9" t="s">
        <v>289</v>
      </c>
      <c r="AXB9" t="s">
        <v>289</v>
      </c>
      <c r="AXC9" t="s">
        <v>289</v>
      </c>
      <c r="AXD9" t="s">
        <v>289</v>
      </c>
      <c r="AXE9" t="s">
        <v>289</v>
      </c>
      <c r="AXF9" t="s">
        <v>289</v>
      </c>
      <c r="AXG9" t="s">
        <v>289</v>
      </c>
      <c r="AXH9" t="s">
        <v>289</v>
      </c>
      <c r="AXI9" t="s">
        <v>289</v>
      </c>
      <c r="AXJ9" t="s">
        <v>289</v>
      </c>
      <c r="AXK9" t="s">
        <v>289</v>
      </c>
      <c r="AXL9" t="s">
        <v>289</v>
      </c>
      <c r="AXM9" t="s">
        <v>289</v>
      </c>
      <c r="AXN9" t="s">
        <v>289</v>
      </c>
      <c r="AXO9" t="s">
        <v>289</v>
      </c>
      <c r="AXP9" t="s">
        <v>289</v>
      </c>
      <c r="AXQ9">
        <v>13213</v>
      </c>
      <c r="AXR9">
        <v>15548</v>
      </c>
      <c r="AXS9">
        <v>14427</v>
      </c>
      <c r="AXT9">
        <v>15005</v>
      </c>
      <c r="AXU9" t="s">
        <v>289</v>
      </c>
      <c r="AXV9" t="s">
        <v>289</v>
      </c>
      <c r="AXW9" t="s">
        <v>289</v>
      </c>
      <c r="AXX9" t="s">
        <v>289</v>
      </c>
      <c r="AXY9" t="s">
        <v>289</v>
      </c>
      <c r="AXZ9" t="s">
        <v>289</v>
      </c>
      <c r="AYA9" t="s">
        <v>289</v>
      </c>
      <c r="AYB9" t="s">
        <v>289</v>
      </c>
      <c r="AYC9" t="s">
        <v>289</v>
      </c>
      <c r="AYD9" t="s">
        <v>289</v>
      </c>
      <c r="AYE9" t="s">
        <v>289</v>
      </c>
      <c r="AYF9" t="s">
        <v>289</v>
      </c>
      <c r="AYG9" t="s">
        <v>289</v>
      </c>
      <c r="AYH9" t="s">
        <v>289</v>
      </c>
      <c r="AYI9" t="s">
        <v>289</v>
      </c>
      <c r="AYJ9" t="s">
        <v>289</v>
      </c>
      <c r="AYK9" t="s">
        <v>289</v>
      </c>
      <c r="AYL9" t="s">
        <v>289</v>
      </c>
      <c r="AYM9" t="s">
        <v>289</v>
      </c>
      <c r="AYN9" t="s">
        <v>289</v>
      </c>
      <c r="AYO9" t="s">
        <v>289</v>
      </c>
      <c r="AYP9" t="s">
        <v>289</v>
      </c>
      <c r="AYQ9" t="s">
        <v>289</v>
      </c>
      <c r="AYR9" t="s">
        <v>289</v>
      </c>
      <c r="AYS9" t="s">
        <v>289</v>
      </c>
      <c r="AYT9" t="s">
        <v>289</v>
      </c>
      <c r="AYU9" t="s">
        <v>289</v>
      </c>
      <c r="AYV9" t="s">
        <v>289</v>
      </c>
      <c r="AYW9" t="s">
        <v>289</v>
      </c>
      <c r="AYX9" t="s">
        <v>289</v>
      </c>
      <c r="AYY9" t="s">
        <v>289</v>
      </c>
      <c r="AYZ9" t="s">
        <v>289</v>
      </c>
      <c r="AZA9" t="s">
        <v>289</v>
      </c>
      <c r="AZB9" t="s">
        <v>289</v>
      </c>
      <c r="AZC9" t="s">
        <v>289</v>
      </c>
      <c r="AZD9" t="s">
        <v>289</v>
      </c>
      <c r="AZE9" t="s">
        <v>289</v>
      </c>
      <c r="AZF9" t="s">
        <v>289</v>
      </c>
      <c r="AZG9" t="s">
        <v>289</v>
      </c>
      <c r="AZH9" t="s">
        <v>289</v>
      </c>
      <c r="AZI9" t="s">
        <v>289</v>
      </c>
      <c r="AZJ9" t="s">
        <v>289</v>
      </c>
      <c r="AZK9" t="s">
        <v>289</v>
      </c>
      <c r="AZL9" t="s">
        <v>289</v>
      </c>
      <c r="AZM9" t="s">
        <v>289</v>
      </c>
      <c r="AZN9" t="s">
        <v>289</v>
      </c>
      <c r="AZO9">
        <v>7018</v>
      </c>
      <c r="AZP9">
        <v>5742</v>
      </c>
      <c r="AZQ9">
        <v>4477</v>
      </c>
      <c r="AZR9">
        <v>4352</v>
      </c>
      <c r="AZS9">
        <v>3897</v>
      </c>
      <c r="AZT9">
        <v>3395</v>
      </c>
      <c r="AZU9">
        <v>2957</v>
      </c>
      <c r="AZV9">
        <v>2923</v>
      </c>
      <c r="AZW9">
        <v>2565</v>
      </c>
      <c r="AZX9">
        <v>3285</v>
      </c>
      <c r="AZY9">
        <v>3107</v>
      </c>
      <c r="AZZ9" t="s">
        <v>289</v>
      </c>
      <c r="BAA9" t="s">
        <v>289</v>
      </c>
      <c r="BAB9" t="s">
        <v>289</v>
      </c>
      <c r="BAC9" t="s">
        <v>289</v>
      </c>
      <c r="BAD9" t="s">
        <v>289</v>
      </c>
      <c r="BAE9" t="s">
        <v>289</v>
      </c>
      <c r="BAF9" t="s">
        <v>289</v>
      </c>
      <c r="BAG9" t="s">
        <v>289</v>
      </c>
      <c r="BAH9" t="s">
        <v>289</v>
      </c>
      <c r="BAI9" t="s">
        <v>289</v>
      </c>
      <c r="BAJ9" t="s">
        <v>289</v>
      </c>
      <c r="BAK9" t="s">
        <v>289</v>
      </c>
      <c r="BAL9" t="s">
        <v>289</v>
      </c>
      <c r="BAM9" t="s">
        <v>289</v>
      </c>
      <c r="BAN9" t="s">
        <v>289</v>
      </c>
      <c r="BAO9" t="s">
        <v>289</v>
      </c>
      <c r="BAP9" t="s">
        <v>289</v>
      </c>
      <c r="BAQ9" t="s">
        <v>289</v>
      </c>
      <c r="BAR9" t="s">
        <v>289</v>
      </c>
      <c r="BAS9" t="s">
        <v>289</v>
      </c>
      <c r="BAT9" t="s">
        <v>289</v>
      </c>
      <c r="BAU9" t="s">
        <v>289</v>
      </c>
      <c r="BAV9" t="s">
        <v>289</v>
      </c>
      <c r="BAW9" t="s">
        <v>289</v>
      </c>
      <c r="BAX9" t="s">
        <v>289</v>
      </c>
      <c r="BAY9" t="s">
        <v>289</v>
      </c>
      <c r="BAZ9" t="s">
        <v>289</v>
      </c>
      <c r="BBA9" t="s">
        <v>289</v>
      </c>
      <c r="BBB9" t="s">
        <v>289</v>
      </c>
      <c r="BBC9" t="s">
        <v>289</v>
      </c>
      <c r="BBD9" t="s">
        <v>289</v>
      </c>
      <c r="BBE9" t="s">
        <v>289</v>
      </c>
      <c r="BBF9" t="s">
        <v>289</v>
      </c>
      <c r="BBG9" t="s">
        <v>289</v>
      </c>
      <c r="BBH9" t="s">
        <v>289</v>
      </c>
      <c r="BBI9" t="s">
        <v>289</v>
      </c>
      <c r="BBJ9" t="s">
        <v>289</v>
      </c>
      <c r="BBK9" t="s">
        <v>289</v>
      </c>
      <c r="BBL9" t="s">
        <v>289</v>
      </c>
      <c r="BBM9" t="s">
        <v>289</v>
      </c>
      <c r="BBN9" t="s">
        <v>289</v>
      </c>
      <c r="BBO9" t="s">
        <v>289</v>
      </c>
      <c r="BBP9" t="s">
        <v>289</v>
      </c>
      <c r="BBQ9" t="s">
        <v>289</v>
      </c>
      <c r="BBR9" t="s">
        <v>289</v>
      </c>
      <c r="BBS9" t="s">
        <v>289</v>
      </c>
      <c r="BBT9" t="s">
        <v>289</v>
      </c>
      <c r="BBU9" t="s">
        <v>289</v>
      </c>
      <c r="BBV9" t="s">
        <v>289</v>
      </c>
      <c r="BBW9" t="s">
        <v>289</v>
      </c>
      <c r="BBX9" t="s">
        <v>289</v>
      </c>
      <c r="BBY9" t="s">
        <v>289</v>
      </c>
      <c r="BBZ9" t="s">
        <v>289</v>
      </c>
      <c r="BCA9" t="s">
        <v>289</v>
      </c>
      <c r="BCB9" t="s">
        <v>289</v>
      </c>
      <c r="BCC9" t="s">
        <v>289</v>
      </c>
      <c r="BCD9" t="s">
        <v>289</v>
      </c>
      <c r="BCE9" t="s">
        <v>289</v>
      </c>
      <c r="BCF9" t="s">
        <v>289</v>
      </c>
      <c r="BCG9" t="s">
        <v>289</v>
      </c>
      <c r="BCH9" t="s">
        <v>289</v>
      </c>
      <c r="BCI9" t="s">
        <v>289</v>
      </c>
      <c r="BCJ9" t="s">
        <v>289</v>
      </c>
      <c r="BCK9" t="s">
        <v>289</v>
      </c>
      <c r="BCL9" t="s">
        <v>289</v>
      </c>
      <c r="BCM9">
        <v>14633</v>
      </c>
      <c r="BCN9">
        <v>9607</v>
      </c>
      <c r="BCO9">
        <v>15372</v>
      </c>
      <c r="BCP9">
        <v>17002</v>
      </c>
      <c r="BCQ9">
        <v>25623</v>
      </c>
      <c r="BCR9">
        <v>38635</v>
      </c>
      <c r="BCS9">
        <v>35402</v>
      </c>
      <c r="BCT9">
        <v>40170</v>
      </c>
      <c r="BCU9">
        <v>51997</v>
      </c>
      <c r="BCV9">
        <v>61592</v>
      </c>
      <c r="BCW9">
        <v>62265</v>
      </c>
      <c r="BCX9" t="s">
        <v>289</v>
      </c>
      <c r="BCY9" t="s">
        <v>289</v>
      </c>
      <c r="BCZ9" t="s">
        <v>289</v>
      </c>
      <c r="BDA9" t="s">
        <v>289</v>
      </c>
      <c r="BDB9" t="s">
        <v>289</v>
      </c>
      <c r="BDC9" t="s">
        <v>289</v>
      </c>
      <c r="BDD9" t="s">
        <v>289</v>
      </c>
      <c r="BDE9" t="s">
        <v>289</v>
      </c>
      <c r="BDF9">
        <v>34242</v>
      </c>
      <c r="BDG9">
        <v>28828</v>
      </c>
      <c r="BDH9">
        <v>38372</v>
      </c>
      <c r="BDI9">
        <v>49134</v>
      </c>
      <c r="BDJ9">
        <v>64000</v>
      </c>
      <c r="BDK9">
        <v>79338</v>
      </c>
      <c r="BDL9">
        <v>89309</v>
      </c>
      <c r="BDM9">
        <v>101062</v>
      </c>
      <c r="BDN9">
        <v>117511</v>
      </c>
      <c r="BDO9">
        <v>138833</v>
      </c>
      <c r="BDP9">
        <v>142940</v>
      </c>
      <c r="BDQ9" t="s">
        <v>289</v>
      </c>
      <c r="BDR9" t="s">
        <v>289</v>
      </c>
      <c r="BDS9" t="s">
        <v>289</v>
      </c>
      <c r="BDT9" t="s">
        <v>289</v>
      </c>
      <c r="BDU9" t="s">
        <v>289</v>
      </c>
      <c r="BDV9" t="s">
        <v>289</v>
      </c>
      <c r="BDW9" t="s">
        <v>289</v>
      </c>
      <c r="BDX9" t="s">
        <v>289</v>
      </c>
      <c r="BDY9">
        <v>36743</v>
      </c>
      <c r="BDZ9">
        <v>33830</v>
      </c>
      <c r="BEA9">
        <v>38851</v>
      </c>
      <c r="BEB9">
        <v>53498</v>
      </c>
      <c r="BEC9">
        <v>67209</v>
      </c>
      <c r="BED9">
        <v>76124</v>
      </c>
      <c r="BEE9">
        <v>96385</v>
      </c>
      <c r="BEF9">
        <v>103415</v>
      </c>
      <c r="BEG9">
        <v>115736</v>
      </c>
      <c r="BEH9">
        <v>126354</v>
      </c>
      <c r="BEI9">
        <v>126115</v>
      </c>
      <c r="BEJ9" t="s">
        <v>289</v>
      </c>
      <c r="BEK9" t="s">
        <v>289</v>
      </c>
      <c r="BEL9" t="s">
        <v>289</v>
      </c>
      <c r="BEM9" t="s">
        <v>289</v>
      </c>
      <c r="BEN9" t="s">
        <v>289</v>
      </c>
      <c r="BEO9" t="s">
        <v>289</v>
      </c>
      <c r="BEP9" t="s">
        <v>289</v>
      </c>
      <c r="BEQ9" t="s">
        <v>289</v>
      </c>
      <c r="BER9">
        <v>14840</v>
      </c>
      <c r="BES9">
        <v>15666</v>
      </c>
      <c r="BET9">
        <v>17271</v>
      </c>
      <c r="BEU9">
        <v>20649</v>
      </c>
      <c r="BEV9">
        <v>22834</v>
      </c>
      <c r="BEW9">
        <v>25368</v>
      </c>
      <c r="BEX9">
        <v>29157</v>
      </c>
      <c r="BEY9">
        <v>29626</v>
      </c>
      <c r="BEZ9">
        <v>32786</v>
      </c>
      <c r="BFA9">
        <v>37168</v>
      </c>
      <c r="BFB9">
        <v>43840</v>
      </c>
      <c r="BFC9" t="s">
        <v>289</v>
      </c>
      <c r="BFD9" t="s">
        <v>289</v>
      </c>
      <c r="BFE9" t="s">
        <v>289</v>
      </c>
      <c r="BFF9" t="s">
        <v>289</v>
      </c>
      <c r="BFG9" t="s">
        <v>289</v>
      </c>
      <c r="BFH9" t="s">
        <v>289</v>
      </c>
      <c r="BFI9" t="s">
        <v>289</v>
      </c>
      <c r="BFJ9" t="s">
        <v>289</v>
      </c>
      <c r="BFK9">
        <v>20</v>
      </c>
      <c r="BFL9">
        <v>0</v>
      </c>
      <c r="BFM9">
        <v>0</v>
      </c>
      <c r="BFN9">
        <v>26</v>
      </c>
      <c r="BFO9">
        <v>509</v>
      </c>
      <c r="BFP9">
        <v>509</v>
      </c>
      <c r="BFQ9">
        <v>590</v>
      </c>
      <c r="BFR9">
        <v>134</v>
      </c>
      <c r="BFS9">
        <v>136</v>
      </c>
      <c r="BFT9">
        <v>583</v>
      </c>
      <c r="BFU9">
        <v>827</v>
      </c>
      <c r="BFV9" t="s">
        <v>289</v>
      </c>
      <c r="BFW9" t="s">
        <v>289</v>
      </c>
      <c r="BFX9" t="s">
        <v>289</v>
      </c>
      <c r="BFY9" t="s">
        <v>289</v>
      </c>
      <c r="BFZ9" t="s">
        <v>289</v>
      </c>
      <c r="BGA9" t="s">
        <v>289</v>
      </c>
      <c r="BGB9" t="s">
        <v>289</v>
      </c>
      <c r="BGC9" t="s">
        <v>289</v>
      </c>
      <c r="BGD9">
        <v>28578</v>
      </c>
      <c r="BGE9">
        <v>29196</v>
      </c>
      <c r="BGF9">
        <v>27543</v>
      </c>
      <c r="BGG9">
        <v>38064</v>
      </c>
      <c r="BGH9">
        <v>39600</v>
      </c>
      <c r="BGI9">
        <v>47951</v>
      </c>
      <c r="BGJ9">
        <v>57822</v>
      </c>
      <c r="BGK9">
        <v>63731</v>
      </c>
      <c r="BGL9">
        <v>72981</v>
      </c>
      <c r="BGM9">
        <v>61943</v>
      </c>
      <c r="BGN9">
        <v>70903</v>
      </c>
      <c r="BGO9" t="s">
        <v>289</v>
      </c>
      <c r="BGP9" t="s">
        <v>289</v>
      </c>
      <c r="BGQ9" t="s">
        <v>289</v>
      </c>
      <c r="BGR9" t="s">
        <v>289</v>
      </c>
      <c r="BGS9" t="s">
        <v>289</v>
      </c>
      <c r="BGT9" t="s">
        <v>289</v>
      </c>
      <c r="BGU9" t="s">
        <v>289</v>
      </c>
      <c r="BGV9" t="s">
        <v>289</v>
      </c>
      <c r="BGW9">
        <v>564</v>
      </c>
      <c r="BGX9">
        <v>310</v>
      </c>
      <c r="BGY9">
        <v>820</v>
      </c>
      <c r="BGZ9">
        <v>1560</v>
      </c>
      <c r="BHA9">
        <v>6246</v>
      </c>
      <c r="BHB9">
        <v>2813</v>
      </c>
      <c r="BHC9">
        <v>7426</v>
      </c>
      <c r="BHD9">
        <v>2175</v>
      </c>
      <c r="BHE9">
        <v>5178</v>
      </c>
      <c r="BHF9">
        <v>3672</v>
      </c>
      <c r="BHG9">
        <v>5933</v>
      </c>
      <c r="BHH9" t="s">
        <v>289</v>
      </c>
      <c r="BHI9" t="s">
        <v>289</v>
      </c>
      <c r="BHJ9" t="s">
        <v>289</v>
      </c>
      <c r="BHK9" t="s">
        <v>289</v>
      </c>
      <c r="BHL9" t="s">
        <v>289</v>
      </c>
      <c r="BHM9" t="s">
        <v>289</v>
      </c>
      <c r="BHN9" t="s">
        <v>289</v>
      </c>
      <c r="BHO9" t="s">
        <v>289</v>
      </c>
      <c r="BHP9">
        <v>404</v>
      </c>
      <c r="BHQ9">
        <v>286</v>
      </c>
      <c r="BHR9">
        <v>795</v>
      </c>
      <c r="BHS9">
        <v>1552</v>
      </c>
      <c r="BHT9">
        <v>6237</v>
      </c>
      <c r="BHU9">
        <v>2801</v>
      </c>
      <c r="BHV9">
        <v>7398</v>
      </c>
      <c r="BHW9">
        <v>2160</v>
      </c>
      <c r="BHX9">
        <v>5178</v>
      </c>
      <c r="BHY9">
        <v>3672</v>
      </c>
      <c r="BHZ9">
        <v>5933</v>
      </c>
      <c r="BIA9" t="s">
        <v>289</v>
      </c>
      <c r="BIB9" t="s">
        <v>289</v>
      </c>
      <c r="BIC9" t="s">
        <v>289</v>
      </c>
      <c r="BID9" t="s">
        <v>289</v>
      </c>
      <c r="BIE9" t="s">
        <v>289</v>
      </c>
      <c r="BIF9" t="s">
        <v>289</v>
      </c>
      <c r="BIG9" t="s">
        <v>289</v>
      </c>
      <c r="BIH9" t="s">
        <v>289</v>
      </c>
      <c r="BII9">
        <v>80460</v>
      </c>
      <c r="BIJ9">
        <v>76804</v>
      </c>
      <c r="BIK9">
        <v>87597</v>
      </c>
      <c r="BIL9">
        <v>123235</v>
      </c>
      <c r="BIM9">
        <v>132317</v>
      </c>
      <c r="BIN9">
        <v>161413</v>
      </c>
      <c r="BIO9">
        <v>190164</v>
      </c>
      <c r="BIP9">
        <v>211234</v>
      </c>
      <c r="BIQ9">
        <v>241564</v>
      </c>
      <c r="BIR9">
        <v>262312</v>
      </c>
      <c r="BIS9">
        <v>283824</v>
      </c>
      <c r="BIT9" t="s">
        <v>289</v>
      </c>
      <c r="BIU9" t="s">
        <v>289</v>
      </c>
      <c r="BIV9" t="s">
        <v>289</v>
      </c>
      <c r="BIW9" t="s">
        <v>289</v>
      </c>
      <c r="BIX9" t="s">
        <v>289</v>
      </c>
      <c r="BIY9" t="s">
        <v>289</v>
      </c>
      <c r="BIZ9" t="s">
        <v>289</v>
      </c>
      <c r="BJA9" t="s">
        <v>289</v>
      </c>
      <c r="BJB9" t="s">
        <v>289</v>
      </c>
      <c r="BJC9" t="s">
        <v>289</v>
      </c>
      <c r="BJD9" t="s">
        <v>289</v>
      </c>
      <c r="BJE9" t="s">
        <v>289</v>
      </c>
      <c r="BJF9" t="s">
        <v>289</v>
      </c>
      <c r="BJG9" t="s">
        <v>289</v>
      </c>
      <c r="BJH9" t="s">
        <v>289</v>
      </c>
      <c r="BJI9" t="s">
        <v>289</v>
      </c>
      <c r="BJJ9" t="s">
        <v>289</v>
      </c>
      <c r="BJK9" t="s">
        <v>289</v>
      </c>
      <c r="BJL9" t="s">
        <v>289</v>
      </c>
      <c r="BJM9" t="s">
        <v>289</v>
      </c>
      <c r="BJN9" t="s">
        <v>289</v>
      </c>
      <c r="BJO9" t="s">
        <v>289</v>
      </c>
      <c r="BJP9" t="s">
        <v>289</v>
      </c>
      <c r="BJQ9" t="s">
        <v>289</v>
      </c>
      <c r="BJR9" t="s">
        <v>289</v>
      </c>
      <c r="BJS9" t="s">
        <v>289</v>
      </c>
      <c r="BJT9" t="s">
        <v>289</v>
      </c>
      <c r="BJU9">
        <v>-3400</v>
      </c>
      <c r="BJV9">
        <v>-4466</v>
      </c>
      <c r="BJW9">
        <v>-4714</v>
      </c>
      <c r="BJX9">
        <v>-8646</v>
      </c>
      <c r="BJY9">
        <v>-8677</v>
      </c>
      <c r="BJZ9">
        <v>-12669</v>
      </c>
      <c r="BKA9">
        <v>-17037</v>
      </c>
      <c r="BKB9">
        <v>-13574</v>
      </c>
      <c r="BKC9">
        <v>-11807</v>
      </c>
      <c r="BKD9">
        <v>-9986</v>
      </c>
      <c r="BKE9">
        <v>-11352</v>
      </c>
      <c r="BKF9" t="s">
        <v>289</v>
      </c>
      <c r="BKG9" t="s">
        <v>289</v>
      </c>
      <c r="BKH9" t="s">
        <v>289</v>
      </c>
      <c r="BKI9" t="s">
        <v>289</v>
      </c>
      <c r="BKJ9" t="s">
        <v>289</v>
      </c>
      <c r="BKK9" t="s">
        <v>289</v>
      </c>
      <c r="BKL9" t="s">
        <v>289</v>
      </c>
      <c r="BKM9" t="s">
        <v>289</v>
      </c>
      <c r="BKN9">
        <v>8113</v>
      </c>
      <c r="BKO9">
        <v>8016</v>
      </c>
      <c r="BKP9">
        <v>7138</v>
      </c>
      <c r="BKQ9">
        <v>7363</v>
      </c>
      <c r="BKR9">
        <v>9399</v>
      </c>
      <c r="BKS9">
        <v>10527</v>
      </c>
      <c r="BKT9">
        <v>12098</v>
      </c>
      <c r="BKU9">
        <v>14408</v>
      </c>
      <c r="BKV9">
        <v>15548</v>
      </c>
      <c r="BKW9">
        <v>14427</v>
      </c>
      <c r="BKX9">
        <v>15005</v>
      </c>
      <c r="BKY9" t="s">
        <v>289</v>
      </c>
      <c r="BKZ9" t="s">
        <v>289</v>
      </c>
      <c r="BLA9" t="s">
        <v>289</v>
      </c>
      <c r="BLB9" t="s">
        <v>289</v>
      </c>
      <c r="BLC9" t="s">
        <v>289</v>
      </c>
      <c r="BLD9" t="s">
        <v>289</v>
      </c>
      <c r="BLE9" t="s">
        <v>289</v>
      </c>
      <c r="BLF9" t="s">
        <v>289</v>
      </c>
      <c r="BLG9">
        <v>1991</v>
      </c>
      <c r="BLH9">
        <v>-62</v>
      </c>
      <c r="BLI9">
        <v>965</v>
      </c>
      <c r="BLJ9">
        <v>2805</v>
      </c>
      <c r="BLK9">
        <v>9442</v>
      </c>
      <c r="BLL9">
        <v>10390</v>
      </c>
      <c r="BLM9">
        <v>14085</v>
      </c>
      <c r="BLN9">
        <v>14190</v>
      </c>
      <c r="BLO9">
        <v>13598</v>
      </c>
      <c r="BLP9">
        <v>9878</v>
      </c>
      <c r="BLQ9">
        <v>21226</v>
      </c>
      <c r="BLR9" t="s">
        <v>289</v>
      </c>
      <c r="BLS9" t="s">
        <v>289</v>
      </c>
      <c r="BLT9" t="s">
        <v>289</v>
      </c>
      <c r="BLU9" t="s">
        <v>289</v>
      </c>
      <c r="BLV9" t="s">
        <v>289</v>
      </c>
      <c r="BLW9" t="s">
        <v>289</v>
      </c>
      <c r="BLX9" t="s">
        <v>289</v>
      </c>
      <c r="BLY9" t="s">
        <v>289</v>
      </c>
      <c r="BLZ9">
        <v>10104</v>
      </c>
      <c r="BMA9">
        <v>7954</v>
      </c>
      <c r="BMB9">
        <v>8103</v>
      </c>
      <c r="BMC9">
        <v>10168</v>
      </c>
      <c r="BMD9">
        <v>18841</v>
      </c>
      <c r="BME9">
        <v>20917</v>
      </c>
      <c r="BMF9">
        <v>26183</v>
      </c>
      <c r="BMG9">
        <v>28598</v>
      </c>
      <c r="BMH9">
        <v>29146</v>
      </c>
      <c r="BMI9">
        <v>24305</v>
      </c>
      <c r="BMJ9">
        <v>36231</v>
      </c>
      <c r="BMK9" t="s">
        <v>289</v>
      </c>
      <c r="BML9" t="s">
        <v>289</v>
      </c>
      <c r="BMM9" t="s">
        <v>289</v>
      </c>
      <c r="BMN9" t="s">
        <v>289</v>
      </c>
      <c r="BMO9" t="s">
        <v>289</v>
      </c>
      <c r="BMP9" t="s">
        <v>289</v>
      </c>
      <c r="BMQ9" t="s">
        <v>289</v>
      </c>
      <c r="BMR9" t="s">
        <v>289</v>
      </c>
      <c r="BMS9">
        <v>10456</v>
      </c>
      <c r="BMT9">
        <v>8089</v>
      </c>
      <c r="BMU9">
        <v>8203</v>
      </c>
      <c r="BMV9">
        <v>10335</v>
      </c>
      <c r="BMW9">
        <v>18972</v>
      </c>
      <c r="BMX9">
        <v>21683</v>
      </c>
      <c r="BMY9">
        <v>26406</v>
      </c>
      <c r="BMZ9">
        <v>29572</v>
      </c>
      <c r="BNA9">
        <v>29514</v>
      </c>
      <c r="BNB9">
        <v>23248</v>
      </c>
      <c r="BNC9">
        <v>36331</v>
      </c>
      <c r="BND9" t="s">
        <v>289</v>
      </c>
      <c r="BNE9" t="s">
        <v>289</v>
      </c>
      <c r="BNF9" t="s">
        <v>289</v>
      </c>
      <c r="BNG9" t="s">
        <v>289</v>
      </c>
      <c r="BNH9" t="s">
        <v>289</v>
      </c>
      <c r="BNI9" t="s">
        <v>289</v>
      </c>
      <c r="BNJ9" t="s">
        <v>289</v>
      </c>
      <c r="BNK9" t="s">
        <v>289</v>
      </c>
      <c r="BNL9" t="s">
        <v>289</v>
      </c>
      <c r="BNM9" t="s">
        <v>289</v>
      </c>
      <c r="BNN9" t="s">
        <v>289</v>
      </c>
      <c r="BNO9" t="s">
        <v>289</v>
      </c>
      <c r="BNP9" t="s">
        <v>289</v>
      </c>
      <c r="BNQ9" t="s">
        <v>289</v>
      </c>
      <c r="BNR9" t="s">
        <v>289</v>
      </c>
      <c r="BNS9" t="s">
        <v>289</v>
      </c>
      <c r="BNT9" t="s">
        <v>289</v>
      </c>
      <c r="BNU9" t="s">
        <v>289</v>
      </c>
      <c r="BNV9">
        <v>282045</v>
      </c>
      <c r="BNW9" t="s">
        <v>289</v>
      </c>
      <c r="BNX9" t="s">
        <v>289</v>
      </c>
      <c r="BNY9" t="s">
        <v>289</v>
      </c>
      <c r="BNZ9" t="s">
        <v>289</v>
      </c>
      <c r="BOA9" t="s">
        <v>289</v>
      </c>
      <c r="BOB9" t="s">
        <v>289</v>
      </c>
      <c r="BOC9" t="s">
        <v>289</v>
      </c>
      <c r="BOD9" t="s">
        <v>289</v>
      </c>
      <c r="BOE9">
        <v>6173</v>
      </c>
      <c r="BOF9">
        <v>5758</v>
      </c>
      <c r="BOG9">
        <v>4438</v>
      </c>
      <c r="BOH9">
        <v>4584</v>
      </c>
      <c r="BOI9">
        <v>5627</v>
      </c>
      <c r="BOJ9">
        <v>6232</v>
      </c>
      <c r="BOK9">
        <v>12064</v>
      </c>
      <c r="BOL9">
        <v>13174</v>
      </c>
      <c r="BOM9">
        <v>15538</v>
      </c>
      <c r="BON9">
        <v>9596</v>
      </c>
      <c r="BOO9">
        <v>9239</v>
      </c>
      <c r="BOP9" t="s">
        <v>289</v>
      </c>
      <c r="BOQ9" t="s">
        <v>289</v>
      </c>
      <c r="BOR9" t="s">
        <v>289</v>
      </c>
      <c r="BOS9" t="s">
        <v>289</v>
      </c>
      <c r="BOT9" t="s">
        <v>289</v>
      </c>
      <c r="BOU9" t="s">
        <v>289</v>
      </c>
      <c r="BOV9" t="s">
        <v>289</v>
      </c>
      <c r="BOW9" t="s">
        <v>289</v>
      </c>
      <c r="BOX9">
        <v>1991</v>
      </c>
      <c r="BOY9">
        <v>-62</v>
      </c>
      <c r="BOZ9">
        <v>965</v>
      </c>
      <c r="BPA9">
        <v>2805</v>
      </c>
      <c r="BPB9">
        <v>9442</v>
      </c>
      <c r="BPC9">
        <v>10390</v>
      </c>
      <c r="BPD9">
        <v>14085</v>
      </c>
      <c r="BPE9">
        <v>14190</v>
      </c>
      <c r="BPF9">
        <v>13598</v>
      </c>
      <c r="BPG9">
        <v>9878</v>
      </c>
      <c r="BPH9">
        <v>21226</v>
      </c>
      <c r="BPI9" t="s">
        <v>289</v>
      </c>
      <c r="BPJ9" t="s">
        <v>289</v>
      </c>
      <c r="BPK9" t="s">
        <v>289</v>
      </c>
      <c r="BPL9" t="s">
        <v>289</v>
      </c>
      <c r="BPM9" t="s">
        <v>289</v>
      </c>
      <c r="BPN9" t="s">
        <v>289</v>
      </c>
      <c r="BPO9" t="s">
        <v>289</v>
      </c>
      <c r="BPP9" t="s">
        <v>289</v>
      </c>
      <c r="BPQ9">
        <v>-5933</v>
      </c>
      <c r="BPR9">
        <v>-2240</v>
      </c>
      <c r="BPS9">
        <v>-2607</v>
      </c>
      <c r="BPT9">
        <v>856</v>
      </c>
      <c r="BPU9">
        <v>-7721</v>
      </c>
      <c r="BPV9">
        <v>-18951</v>
      </c>
      <c r="BPW9">
        <v>-12611</v>
      </c>
      <c r="BPX9">
        <v>-18099</v>
      </c>
      <c r="BPY9">
        <v>-19129</v>
      </c>
      <c r="BPZ9">
        <v>-34360</v>
      </c>
      <c r="BQA9">
        <v>-37875</v>
      </c>
      <c r="BQB9" t="s">
        <v>289</v>
      </c>
      <c r="BQC9" t="s">
        <v>289</v>
      </c>
      <c r="BQD9" t="s">
        <v>289</v>
      </c>
      <c r="BQE9" t="s">
        <v>289</v>
      </c>
      <c r="BQF9" t="s">
        <v>289</v>
      </c>
      <c r="BQG9" t="s">
        <v>289</v>
      </c>
      <c r="BQH9" t="s">
        <v>289</v>
      </c>
      <c r="BQI9" t="s">
        <v>289</v>
      </c>
      <c r="BQJ9">
        <v>125678</v>
      </c>
      <c r="BQK9">
        <v>124547</v>
      </c>
      <c r="BQL9">
        <v>122245</v>
      </c>
      <c r="BQM9">
        <v>137590</v>
      </c>
      <c r="BQN9">
        <v>164043</v>
      </c>
      <c r="BQO9">
        <v>180902</v>
      </c>
      <c r="BQP9">
        <v>208646</v>
      </c>
      <c r="BQQ9">
        <v>252653</v>
      </c>
      <c r="BQR9">
        <v>274117</v>
      </c>
      <c r="BQS9">
        <v>262833</v>
      </c>
      <c r="BQT9">
        <v>282045</v>
      </c>
      <c r="BQU9" t="s">
        <v>289</v>
      </c>
      <c r="BQV9" t="s">
        <v>289</v>
      </c>
      <c r="BQW9" t="s">
        <v>289</v>
      </c>
      <c r="BQX9" t="s">
        <v>289</v>
      </c>
      <c r="BQY9" t="s">
        <v>289</v>
      </c>
      <c r="BQZ9" t="s">
        <v>289</v>
      </c>
      <c r="BRA9" t="s">
        <v>289</v>
      </c>
      <c r="BRB9" t="s">
        <v>289</v>
      </c>
      <c r="BRC9">
        <v>2846</v>
      </c>
      <c r="BRD9">
        <v>5492</v>
      </c>
      <c r="BRE9">
        <v>3641</v>
      </c>
      <c r="BRF9">
        <v>6186</v>
      </c>
      <c r="BRG9">
        <v>4701</v>
      </c>
      <c r="BRH9">
        <v>6348</v>
      </c>
      <c r="BRI9">
        <v>6525</v>
      </c>
      <c r="BRJ9">
        <v>8425</v>
      </c>
      <c r="BRK9">
        <v>12583</v>
      </c>
      <c r="BRL9">
        <v>14187</v>
      </c>
      <c r="BRM9">
        <v>11961</v>
      </c>
      <c r="BRN9" t="s">
        <v>289</v>
      </c>
      <c r="BRO9" t="s">
        <v>289</v>
      </c>
      <c r="BRP9" t="s">
        <v>289</v>
      </c>
      <c r="BRQ9" t="s">
        <v>289</v>
      </c>
      <c r="BRR9" t="s">
        <v>289</v>
      </c>
      <c r="BRS9" t="s">
        <v>289</v>
      </c>
      <c r="BRT9" t="s">
        <v>289</v>
      </c>
      <c r="BRU9" t="s">
        <v>289</v>
      </c>
      <c r="BRV9">
        <v>-6134</v>
      </c>
      <c r="BRW9">
        <v>-7527</v>
      </c>
      <c r="BRX9">
        <v>-8902</v>
      </c>
      <c r="BRY9">
        <v>-13880</v>
      </c>
      <c r="BRZ9">
        <v>-13392</v>
      </c>
      <c r="BSA9">
        <v>-19063</v>
      </c>
      <c r="BSB9">
        <v>-26688</v>
      </c>
      <c r="BSC9">
        <v>-22061</v>
      </c>
      <c r="BSD9">
        <v>-20983</v>
      </c>
      <c r="BSE9">
        <v>-18560</v>
      </c>
      <c r="BSF9">
        <v>-23324</v>
      </c>
      <c r="BSG9" t="s">
        <v>289</v>
      </c>
      <c r="BSH9" t="s">
        <v>289</v>
      </c>
      <c r="BSI9" t="s">
        <v>289</v>
      </c>
      <c r="BSJ9" t="s">
        <v>289</v>
      </c>
      <c r="BSK9" t="s">
        <v>289</v>
      </c>
      <c r="BSL9" t="s">
        <v>289</v>
      </c>
      <c r="BSM9" t="s">
        <v>289</v>
      </c>
      <c r="BSN9" t="s">
        <v>289</v>
      </c>
      <c r="BSO9">
        <v>-2734</v>
      </c>
      <c r="BSP9">
        <v>-3061</v>
      </c>
      <c r="BSQ9">
        <v>-4188</v>
      </c>
      <c r="BSR9">
        <v>-5234</v>
      </c>
      <c r="BSS9">
        <v>-4715</v>
      </c>
      <c r="BST9">
        <v>-6394</v>
      </c>
      <c r="BSU9">
        <v>-9651</v>
      </c>
      <c r="BSV9">
        <v>-8487</v>
      </c>
      <c r="BSW9">
        <v>-9176</v>
      </c>
      <c r="BSX9">
        <v>-8574</v>
      </c>
      <c r="BSY9">
        <v>-11972</v>
      </c>
      <c r="BSZ9" t="s">
        <v>289</v>
      </c>
      <c r="BTA9" t="s">
        <v>289</v>
      </c>
      <c r="BTB9" t="s">
        <v>289</v>
      </c>
      <c r="BTC9" t="s">
        <v>289</v>
      </c>
      <c r="BTD9" t="s">
        <v>289</v>
      </c>
      <c r="BTE9" t="s">
        <v>289</v>
      </c>
      <c r="BTF9" t="s">
        <v>289</v>
      </c>
      <c r="BTG9" t="s">
        <v>289</v>
      </c>
      <c r="BTH9">
        <v>-2734</v>
      </c>
      <c r="BTI9">
        <v>-3061</v>
      </c>
      <c r="BTJ9">
        <v>-4188</v>
      </c>
      <c r="BTK9">
        <v>-5234</v>
      </c>
      <c r="BTL9">
        <v>-4715</v>
      </c>
      <c r="BTM9">
        <v>-6394</v>
      </c>
      <c r="BTN9">
        <v>-9651</v>
      </c>
      <c r="BTO9">
        <v>-8487</v>
      </c>
      <c r="BTP9">
        <v>-9176</v>
      </c>
      <c r="BTQ9">
        <v>-8574</v>
      </c>
      <c r="BTR9">
        <v>-11972</v>
      </c>
      <c r="BTS9" t="s">
        <v>289</v>
      </c>
      <c r="BTT9" t="s">
        <v>289</v>
      </c>
      <c r="BTU9" t="s">
        <v>289</v>
      </c>
      <c r="BTV9" t="s">
        <v>289</v>
      </c>
      <c r="BTW9" t="s">
        <v>289</v>
      </c>
      <c r="BTX9" t="s">
        <v>289</v>
      </c>
      <c r="BTY9" t="s">
        <v>289</v>
      </c>
      <c r="BTZ9" t="s">
        <v>289</v>
      </c>
      <c r="BUA9" t="s">
        <v>289</v>
      </c>
      <c r="BUB9" t="s">
        <v>289</v>
      </c>
      <c r="BUC9" t="s">
        <v>289</v>
      </c>
      <c r="BUD9" t="s">
        <v>289</v>
      </c>
      <c r="BUE9" t="s">
        <v>289</v>
      </c>
      <c r="BUF9" t="s">
        <v>289</v>
      </c>
      <c r="BUG9" t="s">
        <v>289</v>
      </c>
      <c r="BUH9" t="s">
        <v>289</v>
      </c>
      <c r="BUI9" t="s">
        <v>289</v>
      </c>
      <c r="BUJ9" t="s">
        <v>289</v>
      </c>
      <c r="BUK9" t="s">
        <v>289</v>
      </c>
      <c r="BUL9" t="s">
        <v>289</v>
      </c>
      <c r="BUM9" t="s">
        <v>289</v>
      </c>
      <c r="BUN9" t="s">
        <v>289</v>
      </c>
      <c r="BUO9" t="s">
        <v>289</v>
      </c>
      <c r="BUP9" t="s">
        <v>289</v>
      </c>
      <c r="BUQ9" t="s">
        <v>289</v>
      </c>
      <c r="BUR9" t="s">
        <v>289</v>
      </c>
      <c r="BUS9" t="s">
        <v>289</v>
      </c>
      <c r="BUT9" t="s">
        <v>289</v>
      </c>
      <c r="BUU9" t="s">
        <v>289</v>
      </c>
      <c r="BUV9" t="s">
        <v>289</v>
      </c>
      <c r="BUW9" t="s">
        <v>289</v>
      </c>
      <c r="BUX9" t="s">
        <v>289</v>
      </c>
      <c r="BUY9" t="s">
        <v>289</v>
      </c>
      <c r="BUZ9" t="s">
        <v>289</v>
      </c>
      <c r="BVA9" t="s">
        <v>289</v>
      </c>
      <c r="BVB9" t="s">
        <v>289</v>
      </c>
      <c r="BVC9" t="s">
        <v>289</v>
      </c>
      <c r="BVD9" t="s">
        <v>289</v>
      </c>
      <c r="BVE9" t="s">
        <v>289</v>
      </c>
      <c r="BVF9" t="s">
        <v>289</v>
      </c>
      <c r="BVG9" t="s">
        <v>289</v>
      </c>
      <c r="BVH9" t="s">
        <v>289</v>
      </c>
      <c r="BVI9" t="s">
        <v>289</v>
      </c>
      <c r="BVJ9" t="s">
        <v>289</v>
      </c>
      <c r="BVK9" t="s">
        <v>289</v>
      </c>
      <c r="BVL9" t="s">
        <v>289</v>
      </c>
      <c r="BVM9" t="s">
        <v>289</v>
      </c>
      <c r="BVN9" t="s">
        <v>289</v>
      </c>
      <c r="BVO9" t="s">
        <v>289</v>
      </c>
      <c r="BVP9" t="s">
        <v>289</v>
      </c>
      <c r="BVQ9" t="s">
        <v>289</v>
      </c>
      <c r="BVR9" t="s">
        <v>289</v>
      </c>
      <c r="BVS9" t="s">
        <v>289</v>
      </c>
      <c r="BVT9" t="s">
        <v>289</v>
      </c>
      <c r="BVU9" t="s">
        <v>289</v>
      </c>
      <c r="BVV9" t="s">
        <v>289</v>
      </c>
      <c r="BVW9" t="s">
        <v>289</v>
      </c>
      <c r="BVX9" t="s">
        <v>289</v>
      </c>
      <c r="BVY9" t="s">
        <v>289</v>
      </c>
      <c r="BVZ9" t="s">
        <v>289</v>
      </c>
      <c r="BWA9" t="s">
        <v>289</v>
      </c>
      <c r="BWB9" t="s">
        <v>289</v>
      </c>
      <c r="BWC9" t="s">
        <v>289</v>
      </c>
      <c r="BWD9" t="s">
        <v>289</v>
      </c>
      <c r="BWE9" t="s">
        <v>289</v>
      </c>
      <c r="BWF9">
        <v>5347</v>
      </c>
      <c r="BWG9">
        <v>6289</v>
      </c>
      <c r="BWH9">
        <v>5864</v>
      </c>
      <c r="BWI9">
        <v>7193</v>
      </c>
      <c r="BWJ9">
        <v>8803</v>
      </c>
      <c r="BWK9">
        <v>10174</v>
      </c>
      <c r="BWL9">
        <v>10187</v>
      </c>
      <c r="BWM9">
        <v>10903</v>
      </c>
      <c r="BWN9">
        <v>11446</v>
      </c>
      <c r="BWO9">
        <v>11362</v>
      </c>
      <c r="BWP9">
        <v>13126</v>
      </c>
      <c r="BWQ9" t="s">
        <v>289</v>
      </c>
      <c r="BWR9" t="s">
        <v>289</v>
      </c>
      <c r="BWS9" t="s">
        <v>289</v>
      </c>
      <c r="BWT9" t="s">
        <v>289</v>
      </c>
      <c r="BWU9" t="s">
        <v>289</v>
      </c>
      <c r="BWV9" t="s">
        <v>289</v>
      </c>
      <c r="BWW9" t="s">
        <v>289</v>
      </c>
      <c r="BWX9" t="s">
        <v>289</v>
      </c>
      <c r="BWY9">
        <v>5347</v>
      </c>
      <c r="BWZ9">
        <v>6289</v>
      </c>
      <c r="BXA9">
        <v>5864</v>
      </c>
      <c r="BXB9">
        <v>7193</v>
      </c>
      <c r="BXC9">
        <v>8803</v>
      </c>
      <c r="BXD9">
        <v>10174</v>
      </c>
      <c r="BXE9">
        <v>10187</v>
      </c>
      <c r="BXF9">
        <v>10903</v>
      </c>
      <c r="BXG9">
        <v>11446</v>
      </c>
      <c r="BXH9">
        <v>11362</v>
      </c>
      <c r="BXI9">
        <v>13126</v>
      </c>
      <c r="BXJ9" t="s">
        <v>289</v>
      </c>
      <c r="BXK9" t="s">
        <v>289</v>
      </c>
      <c r="BXL9" t="s">
        <v>289</v>
      </c>
      <c r="BXM9" t="s">
        <v>289</v>
      </c>
      <c r="BXN9" t="s">
        <v>289</v>
      </c>
      <c r="BXO9" t="s">
        <v>289</v>
      </c>
      <c r="BXP9" t="s">
        <v>289</v>
      </c>
      <c r="BXQ9" t="s">
        <v>289</v>
      </c>
      <c r="BXR9">
        <v>0</v>
      </c>
      <c r="BXS9">
        <v>0</v>
      </c>
      <c r="BXT9">
        <v>0</v>
      </c>
      <c r="BXU9">
        <v>0</v>
      </c>
      <c r="BXV9">
        <v>0</v>
      </c>
      <c r="BXW9">
        <v>0</v>
      </c>
      <c r="BXX9">
        <v>0</v>
      </c>
      <c r="BXY9">
        <v>0</v>
      </c>
      <c r="BXZ9">
        <v>0</v>
      </c>
      <c r="BYA9">
        <v>0</v>
      </c>
      <c r="BYB9">
        <v>0</v>
      </c>
      <c r="BYC9" t="s">
        <v>289</v>
      </c>
      <c r="BYD9" t="s">
        <v>289</v>
      </c>
      <c r="BYE9" t="s">
        <v>289</v>
      </c>
      <c r="BYF9" t="s">
        <v>289</v>
      </c>
      <c r="BYG9" t="s">
        <v>289</v>
      </c>
      <c r="BYH9" t="s">
        <v>289</v>
      </c>
      <c r="BYI9" t="s">
        <v>289</v>
      </c>
      <c r="BYJ9" t="s">
        <v>289</v>
      </c>
      <c r="BYK9" t="s">
        <v>289</v>
      </c>
      <c r="BYL9" t="s">
        <v>289</v>
      </c>
      <c r="BYM9" t="s">
        <v>289</v>
      </c>
      <c r="BYN9" t="s">
        <v>289</v>
      </c>
      <c r="BYO9" t="s">
        <v>289</v>
      </c>
      <c r="BYP9" t="s">
        <v>289</v>
      </c>
      <c r="BYQ9" t="s">
        <v>289</v>
      </c>
      <c r="BYR9" t="s">
        <v>289</v>
      </c>
      <c r="BYS9" t="s">
        <v>289</v>
      </c>
      <c r="BYT9" t="s">
        <v>289</v>
      </c>
      <c r="BYU9" t="s">
        <v>289</v>
      </c>
      <c r="BYV9" t="s">
        <v>289</v>
      </c>
      <c r="BYW9" t="s">
        <v>289</v>
      </c>
      <c r="BYX9" t="s">
        <v>289</v>
      </c>
      <c r="BYY9" t="s">
        <v>289</v>
      </c>
      <c r="BYZ9" t="s">
        <v>289</v>
      </c>
      <c r="BZA9" t="s">
        <v>289</v>
      </c>
      <c r="BZB9" t="s">
        <v>289</v>
      </c>
      <c r="BZC9" t="s">
        <v>289</v>
      </c>
      <c r="BZD9" t="s">
        <v>289</v>
      </c>
      <c r="BZE9" t="s">
        <v>289</v>
      </c>
      <c r="BZF9" t="s">
        <v>289</v>
      </c>
      <c r="BZG9" t="s">
        <v>289</v>
      </c>
      <c r="BZH9" t="s">
        <v>289</v>
      </c>
      <c r="BZI9" t="s">
        <v>289</v>
      </c>
      <c r="BZJ9" t="s">
        <v>289</v>
      </c>
      <c r="BZK9" t="s">
        <v>289</v>
      </c>
      <c r="BZL9" t="s">
        <v>289</v>
      </c>
      <c r="BZM9" t="s">
        <v>289</v>
      </c>
      <c r="BZN9" t="s">
        <v>289</v>
      </c>
      <c r="BZO9" t="s">
        <v>289</v>
      </c>
      <c r="BZP9" t="s">
        <v>289</v>
      </c>
      <c r="BZQ9" t="s">
        <v>289</v>
      </c>
      <c r="BZR9" t="s">
        <v>289</v>
      </c>
      <c r="BZS9" t="s">
        <v>289</v>
      </c>
      <c r="BZT9" t="s">
        <v>289</v>
      </c>
      <c r="BZU9" t="s">
        <v>289</v>
      </c>
      <c r="BZV9" t="s">
        <v>289</v>
      </c>
      <c r="BZW9" t="s">
        <v>289</v>
      </c>
      <c r="BZX9" t="s">
        <v>289</v>
      </c>
      <c r="BZY9" t="s">
        <v>289</v>
      </c>
      <c r="BZZ9" t="s">
        <v>289</v>
      </c>
      <c r="CAA9" t="s">
        <v>289</v>
      </c>
      <c r="CAB9" t="s">
        <v>289</v>
      </c>
      <c r="CAC9" t="s">
        <v>289</v>
      </c>
      <c r="CAD9" t="s">
        <v>289</v>
      </c>
      <c r="CAE9" t="s">
        <v>289</v>
      </c>
      <c r="CAF9" t="s">
        <v>289</v>
      </c>
      <c r="CAG9" t="s">
        <v>289</v>
      </c>
      <c r="CAH9" t="s">
        <v>289</v>
      </c>
      <c r="CAI9" t="s">
        <v>289</v>
      </c>
      <c r="CAJ9" t="s">
        <v>289</v>
      </c>
      <c r="CAK9" t="s">
        <v>289</v>
      </c>
      <c r="CAL9" t="s">
        <v>289</v>
      </c>
      <c r="CAM9" t="s">
        <v>289</v>
      </c>
      <c r="CAN9" t="s">
        <v>289</v>
      </c>
      <c r="CAO9" t="s">
        <v>289</v>
      </c>
      <c r="CAP9" t="s">
        <v>289</v>
      </c>
      <c r="CAQ9" t="s">
        <v>289</v>
      </c>
      <c r="CAR9" t="s">
        <v>289</v>
      </c>
      <c r="CAS9" t="s">
        <v>289</v>
      </c>
      <c r="CAT9" t="s">
        <v>289</v>
      </c>
      <c r="CAU9" t="s">
        <v>289</v>
      </c>
      <c r="CAV9" t="s">
        <v>289</v>
      </c>
      <c r="CAW9" t="s">
        <v>289</v>
      </c>
      <c r="CAX9" t="s">
        <v>289</v>
      </c>
      <c r="CAY9" t="s">
        <v>289</v>
      </c>
      <c r="CAZ9" t="s">
        <v>289</v>
      </c>
      <c r="CBA9" t="s">
        <v>289</v>
      </c>
      <c r="CBB9" t="s">
        <v>289</v>
      </c>
      <c r="CBC9" t="s">
        <v>289</v>
      </c>
      <c r="CBD9" t="s">
        <v>289</v>
      </c>
      <c r="CBE9" t="s">
        <v>289</v>
      </c>
      <c r="CBF9" t="s">
        <v>289</v>
      </c>
      <c r="CBG9" t="s">
        <v>289</v>
      </c>
      <c r="CBH9" t="s">
        <v>289</v>
      </c>
      <c r="CBI9" t="s">
        <v>289</v>
      </c>
      <c r="CBJ9" t="s">
        <v>289</v>
      </c>
      <c r="CBK9" t="s">
        <v>289</v>
      </c>
      <c r="CBL9" t="s">
        <v>289</v>
      </c>
      <c r="CBM9" t="s">
        <v>289</v>
      </c>
      <c r="CBN9" t="s">
        <v>289</v>
      </c>
      <c r="CBO9" t="s">
        <v>289</v>
      </c>
      <c r="CBP9" t="s">
        <v>289</v>
      </c>
      <c r="CBQ9" t="s">
        <v>289</v>
      </c>
      <c r="CBR9" t="s">
        <v>289</v>
      </c>
      <c r="CBS9" t="s">
        <v>289</v>
      </c>
      <c r="CBT9" t="s">
        <v>289</v>
      </c>
      <c r="CBU9" t="s">
        <v>289</v>
      </c>
      <c r="CBV9" t="s">
        <v>289</v>
      </c>
      <c r="CBW9" t="s">
        <v>289</v>
      </c>
      <c r="CBX9" t="s">
        <v>289</v>
      </c>
      <c r="CBY9" t="s">
        <v>289</v>
      </c>
      <c r="CBZ9" t="s">
        <v>289</v>
      </c>
      <c r="CCA9" t="s">
        <v>289</v>
      </c>
      <c r="CCB9" t="s">
        <v>289</v>
      </c>
      <c r="CCC9" t="s">
        <v>289</v>
      </c>
      <c r="CCD9" t="s">
        <v>289</v>
      </c>
      <c r="CCE9" t="s">
        <v>289</v>
      </c>
      <c r="CCF9" t="s">
        <v>289</v>
      </c>
      <c r="CCG9" t="s">
        <v>289</v>
      </c>
      <c r="CCH9" t="s">
        <v>289</v>
      </c>
      <c r="CCI9" t="s">
        <v>289</v>
      </c>
      <c r="CCJ9" t="s">
        <v>289</v>
      </c>
      <c r="CCK9" t="s">
        <v>289</v>
      </c>
      <c r="CCL9" t="s">
        <v>289</v>
      </c>
      <c r="CCM9" t="s">
        <v>289</v>
      </c>
      <c r="CCN9" t="s">
        <v>289</v>
      </c>
      <c r="CCO9" t="s">
        <v>289</v>
      </c>
      <c r="CCP9" t="s">
        <v>289</v>
      </c>
      <c r="CCQ9" t="s">
        <v>289</v>
      </c>
      <c r="CCR9" t="s">
        <v>289</v>
      </c>
      <c r="CCS9" t="s">
        <v>289</v>
      </c>
      <c r="CCT9" t="s">
        <v>289</v>
      </c>
      <c r="CCU9" t="s">
        <v>289</v>
      </c>
      <c r="CCV9" t="s">
        <v>289</v>
      </c>
      <c r="CCW9" t="s">
        <v>289</v>
      </c>
      <c r="CCX9" t="s">
        <v>289</v>
      </c>
      <c r="CCY9" t="s">
        <v>289</v>
      </c>
      <c r="CCZ9" t="s">
        <v>289</v>
      </c>
      <c r="CDA9" t="s">
        <v>289</v>
      </c>
      <c r="CDB9" t="s">
        <v>289</v>
      </c>
      <c r="CDC9" t="s">
        <v>289</v>
      </c>
      <c r="CDD9" t="s">
        <v>289</v>
      </c>
      <c r="CDE9" t="s">
        <v>289</v>
      </c>
      <c r="CDF9" t="s">
        <v>289</v>
      </c>
      <c r="CDG9" t="s">
        <v>289</v>
      </c>
      <c r="CDH9" t="s">
        <v>289</v>
      </c>
      <c r="CDI9" t="s">
        <v>289</v>
      </c>
      <c r="CDJ9" t="s">
        <v>289</v>
      </c>
      <c r="CDK9" t="s">
        <v>289</v>
      </c>
      <c r="CDL9" t="s">
        <v>289</v>
      </c>
      <c r="CDM9" t="s">
        <v>289</v>
      </c>
      <c r="CDN9" t="s">
        <v>289</v>
      </c>
      <c r="CDO9" t="s">
        <v>289</v>
      </c>
      <c r="CDP9" t="s">
        <v>289</v>
      </c>
      <c r="CDQ9" t="s">
        <v>289</v>
      </c>
      <c r="CDR9" t="s">
        <v>289</v>
      </c>
      <c r="CDS9" t="s">
        <v>289</v>
      </c>
      <c r="CDT9" t="s">
        <v>289</v>
      </c>
      <c r="CDU9" t="s">
        <v>289</v>
      </c>
      <c r="CDV9" t="s">
        <v>289</v>
      </c>
      <c r="CDW9" t="s">
        <v>289</v>
      </c>
      <c r="CDX9" t="s">
        <v>289</v>
      </c>
      <c r="CDY9" t="s">
        <v>289</v>
      </c>
      <c r="CDZ9" t="s">
        <v>289</v>
      </c>
      <c r="CEA9" t="s">
        <v>289</v>
      </c>
      <c r="CEB9" t="s">
        <v>289</v>
      </c>
      <c r="CEC9" t="s">
        <v>289</v>
      </c>
      <c r="CED9" t="s">
        <v>289</v>
      </c>
      <c r="CEE9" t="s">
        <v>289</v>
      </c>
      <c r="CEF9" t="s">
        <v>289</v>
      </c>
      <c r="CEG9" t="s">
        <v>289</v>
      </c>
      <c r="CEH9" t="s">
        <v>289</v>
      </c>
      <c r="CEI9" t="s">
        <v>289</v>
      </c>
      <c r="CEJ9" t="s">
        <v>289</v>
      </c>
      <c r="CEK9" t="s">
        <v>289</v>
      </c>
      <c r="CEL9" t="s">
        <v>289</v>
      </c>
      <c r="CEM9" t="s">
        <v>289</v>
      </c>
      <c r="CEN9" t="s">
        <v>289</v>
      </c>
      <c r="CEO9" t="s">
        <v>289</v>
      </c>
      <c r="CEP9" t="s">
        <v>289</v>
      </c>
      <c r="CEQ9" t="s">
        <v>289</v>
      </c>
      <c r="CER9" t="s">
        <v>289</v>
      </c>
      <c r="CES9" t="s">
        <v>289</v>
      </c>
      <c r="CET9" t="s">
        <v>289</v>
      </c>
      <c r="CEU9" t="s">
        <v>289</v>
      </c>
      <c r="CEV9" t="s">
        <v>289</v>
      </c>
      <c r="CEW9" t="s">
        <v>289</v>
      </c>
      <c r="CEX9" t="s">
        <v>289</v>
      </c>
      <c r="CEY9" t="s">
        <v>289</v>
      </c>
      <c r="CEZ9" t="s">
        <v>289</v>
      </c>
      <c r="CFA9" t="s">
        <v>289</v>
      </c>
      <c r="CFB9" t="s">
        <v>289</v>
      </c>
      <c r="CFC9" t="s">
        <v>289</v>
      </c>
      <c r="CFD9" t="s">
        <v>289</v>
      </c>
      <c r="CFE9" t="s">
        <v>289</v>
      </c>
      <c r="CFF9" t="s">
        <v>289</v>
      </c>
      <c r="CFG9" t="s">
        <v>289</v>
      </c>
      <c r="CFH9" t="s">
        <v>289</v>
      </c>
      <c r="CFI9" t="s">
        <v>289</v>
      </c>
      <c r="CFJ9" t="s">
        <v>289</v>
      </c>
      <c r="CFK9" t="s">
        <v>289</v>
      </c>
      <c r="CFL9" t="s">
        <v>289</v>
      </c>
      <c r="CFM9" t="s">
        <v>289</v>
      </c>
      <c r="CFN9" t="s">
        <v>289</v>
      </c>
      <c r="CFO9" t="s">
        <v>289</v>
      </c>
      <c r="CFP9" t="s">
        <v>289</v>
      </c>
      <c r="CFQ9" t="s">
        <v>289</v>
      </c>
      <c r="CFR9" t="s">
        <v>289</v>
      </c>
      <c r="CFS9" t="s">
        <v>289</v>
      </c>
      <c r="CFT9" t="s">
        <v>289</v>
      </c>
      <c r="CFU9" t="s">
        <v>289</v>
      </c>
      <c r="CFV9" t="s">
        <v>289</v>
      </c>
      <c r="CFW9" t="s">
        <v>289</v>
      </c>
      <c r="CFX9" t="s">
        <v>289</v>
      </c>
      <c r="CFY9" t="s">
        <v>289</v>
      </c>
      <c r="CFZ9" t="s">
        <v>289</v>
      </c>
      <c r="CGA9" t="s">
        <v>289</v>
      </c>
      <c r="CGB9" t="s">
        <v>289</v>
      </c>
      <c r="CGC9" t="s">
        <v>289</v>
      </c>
      <c r="CGD9" t="s">
        <v>289</v>
      </c>
      <c r="CGE9" t="s">
        <v>289</v>
      </c>
      <c r="CGF9" t="s">
        <v>289</v>
      </c>
      <c r="CGG9" t="s">
        <v>289</v>
      </c>
      <c r="CGH9" t="s">
        <v>289</v>
      </c>
      <c r="CGI9" t="s">
        <v>289</v>
      </c>
      <c r="CGJ9" t="s">
        <v>289</v>
      </c>
      <c r="CGK9" t="s">
        <v>289</v>
      </c>
      <c r="CGL9">
        <v>151</v>
      </c>
      <c r="CGM9">
        <v>361</v>
      </c>
      <c r="CGN9">
        <v>4</v>
      </c>
      <c r="CGO9">
        <v>519</v>
      </c>
      <c r="CGP9">
        <v>435</v>
      </c>
      <c r="CGQ9">
        <v>-124</v>
      </c>
      <c r="CGR9">
        <v>-429</v>
      </c>
      <c r="CGS9">
        <v>468</v>
      </c>
      <c r="CGT9">
        <v>-95</v>
      </c>
      <c r="CGU9">
        <v>-1874</v>
      </c>
      <c r="CGV9">
        <v>1618</v>
      </c>
      <c r="CGW9" t="s">
        <v>289</v>
      </c>
      <c r="CGX9" t="s">
        <v>289</v>
      </c>
      <c r="CGY9" t="s">
        <v>289</v>
      </c>
      <c r="CGZ9" t="s">
        <v>289</v>
      </c>
      <c r="CHA9" t="s">
        <v>289</v>
      </c>
      <c r="CHB9" t="s">
        <v>289</v>
      </c>
      <c r="CHC9" t="s">
        <v>289</v>
      </c>
      <c r="CHD9" t="s">
        <v>289</v>
      </c>
      <c r="CHE9">
        <v>181</v>
      </c>
      <c r="CHF9">
        <v>24</v>
      </c>
      <c r="CHG9">
        <v>179</v>
      </c>
      <c r="CHH9">
        <v>-191</v>
      </c>
      <c r="CHI9">
        <v>-230</v>
      </c>
      <c r="CHJ9">
        <v>418</v>
      </c>
      <c r="CHK9">
        <v>200</v>
      </c>
      <c r="CHL9">
        <v>-67</v>
      </c>
      <c r="CHM9">
        <v>168</v>
      </c>
      <c r="CHN9">
        <v>-352</v>
      </c>
      <c r="CHO9">
        <v>-951</v>
      </c>
      <c r="CHP9" t="s">
        <v>289</v>
      </c>
      <c r="CHQ9" t="s">
        <v>289</v>
      </c>
      <c r="CHR9" t="s">
        <v>289</v>
      </c>
      <c r="CHS9" t="s">
        <v>289</v>
      </c>
      <c r="CHT9" t="s">
        <v>289</v>
      </c>
      <c r="CHU9" t="s">
        <v>289</v>
      </c>
      <c r="CHV9" t="s">
        <v>289</v>
      </c>
      <c r="CHW9" t="s">
        <v>289</v>
      </c>
      <c r="CHX9">
        <v>9</v>
      </c>
      <c r="CHY9">
        <v>10</v>
      </c>
      <c r="CHZ9">
        <v>10</v>
      </c>
      <c r="CIA9">
        <v>13</v>
      </c>
      <c r="CIB9">
        <v>15</v>
      </c>
      <c r="CIC9">
        <v>79</v>
      </c>
      <c r="CID9">
        <v>80</v>
      </c>
      <c r="CIE9">
        <v>190</v>
      </c>
      <c r="CIF9">
        <v>296</v>
      </c>
      <c r="CIG9">
        <v>2449</v>
      </c>
      <c r="CIH9">
        <v>1765</v>
      </c>
      <c r="CII9" t="s">
        <v>289</v>
      </c>
      <c r="CIJ9" t="s">
        <v>289</v>
      </c>
      <c r="CIK9" t="s">
        <v>289</v>
      </c>
      <c r="CIL9" t="s">
        <v>289</v>
      </c>
      <c r="CIM9" t="s">
        <v>289</v>
      </c>
      <c r="CIN9" t="s">
        <v>289</v>
      </c>
      <c r="CIO9" t="s">
        <v>289</v>
      </c>
      <c r="CIP9" t="s">
        <v>289</v>
      </c>
      <c r="CIQ9" t="s">
        <v>289</v>
      </c>
      <c r="CIR9" t="s">
        <v>289</v>
      </c>
      <c r="CIS9" t="s">
        <v>289</v>
      </c>
      <c r="CIT9" t="s">
        <v>289</v>
      </c>
      <c r="CIU9" t="s">
        <v>289</v>
      </c>
      <c r="CIV9" t="s">
        <v>289</v>
      </c>
      <c r="CIW9" t="s">
        <v>289</v>
      </c>
      <c r="CIX9" t="s">
        <v>289</v>
      </c>
      <c r="CIY9" t="s">
        <v>289</v>
      </c>
      <c r="CIZ9" t="s">
        <v>289</v>
      </c>
      <c r="CJA9" t="s">
        <v>289</v>
      </c>
      <c r="CJB9" t="s">
        <v>289</v>
      </c>
      <c r="CJC9" t="s">
        <v>289</v>
      </c>
      <c r="CJD9" t="s">
        <v>289</v>
      </c>
      <c r="CJE9" t="s">
        <v>289</v>
      </c>
      <c r="CJF9" t="s">
        <v>289</v>
      </c>
      <c r="CJG9" t="s">
        <v>289</v>
      </c>
      <c r="CJH9" t="s">
        <v>289</v>
      </c>
      <c r="CJI9" t="s">
        <v>289</v>
      </c>
      <c r="CJJ9">
        <v>79</v>
      </c>
      <c r="CJK9">
        <v>35</v>
      </c>
      <c r="CJL9">
        <v>27</v>
      </c>
      <c r="CJM9">
        <v>32</v>
      </c>
      <c r="CJN9">
        <v>44</v>
      </c>
      <c r="CJO9">
        <v>51</v>
      </c>
      <c r="CJP9">
        <v>59</v>
      </c>
      <c r="CJQ9">
        <v>57</v>
      </c>
      <c r="CJR9">
        <v>60</v>
      </c>
      <c r="CJS9">
        <v>50</v>
      </c>
      <c r="CJT9">
        <v>56</v>
      </c>
      <c r="CJU9" t="s">
        <v>289</v>
      </c>
      <c r="CJV9" t="s">
        <v>289</v>
      </c>
      <c r="CJW9" t="s">
        <v>289</v>
      </c>
      <c r="CJX9" t="s">
        <v>289</v>
      </c>
      <c r="CJY9" t="s">
        <v>289</v>
      </c>
      <c r="CJZ9" t="s">
        <v>289</v>
      </c>
      <c r="CKA9" t="s">
        <v>289</v>
      </c>
      <c r="CKB9" t="s">
        <v>289</v>
      </c>
      <c r="CKC9" t="s">
        <v>289</v>
      </c>
      <c r="CKD9" t="s">
        <v>289</v>
      </c>
      <c r="CKE9" t="s">
        <v>289</v>
      </c>
      <c r="CKF9" t="s">
        <v>289</v>
      </c>
      <c r="CKG9" t="s">
        <v>289</v>
      </c>
      <c r="CKH9" t="s">
        <v>289</v>
      </c>
      <c r="CKI9" t="s">
        <v>289</v>
      </c>
      <c r="CKJ9" t="s">
        <v>289</v>
      </c>
      <c r="CKK9" t="s">
        <v>289</v>
      </c>
      <c r="CKL9" t="s">
        <v>289</v>
      </c>
      <c r="CKM9" t="s">
        <v>289</v>
      </c>
      <c r="CKN9" t="s">
        <v>289</v>
      </c>
      <c r="CKO9" t="s">
        <v>289</v>
      </c>
      <c r="CKP9" t="s">
        <v>289</v>
      </c>
      <c r="CKQ9" t="s">
        <v>289</v>
      </c>
      <c r="CKR9" t="s">
        <v>289</v>
      </c>
      <c r="CKS9" t="s">
        <v>289</v>
      </c>
      <c r="CKT9" t="s">
        <v>289</v>
      </c>
      <c r="CKU9" t="s">
        <v>289</v>
      </c>
      <c r="CKV9" t="s">
        <v>289</v>
      </c>
      <c r="CKW9" t="s">
        <v>289</v>
      </c>
      <c r="CKX9" t="s">
        <v>289</v>
      </c>
      <c r="CKY9" t="s">
        <v>289</v>
      </c>
      <c r="CKZ9" t="s">
        <v>289</v>
      </c>
      <c r="CLA9" t="s">
        <v>289</v>
      </c>
      <c r="CLB9" t="s">
        <v>289</v>
      </c>
      <c r="CLC9" t="s">
        <v>289</v>
      </c>
      <c r="CLD9" t="s">
        <v>289</v>
      </c>
      <c r="CLE9" t="s">
        <v>289</v>
      </c>
      <c r="CLF9" t="s">
        <v>289</v>
      </c>
      <c r="CLG9" t="s">
        <v>289</v>
      </c>
      <c r="CLH9" t="s">
        <v>289</v>
      </c>
      <c r="CLI9" t="s">
        <v>289</v>
      </c>
      <c r="CLJ9" t="s">
        <v>289</v>
      </c>
      <c r="CLK9" t="s">
        <v>289</v>
      </c>
      <c r="CLL9" t="s">
        <v>289</v>
      </c>
      <c r="CLM9" t="s">
        <v>289</v>
      </c>
      <c r="CLN9" t="s">
        <v>289</v>
      </c>
      <c r="CLO9" t="s">
        <v>289</v>
      </c>
      <c r="CLP9" t="s">
        <v>289</v>
      </c>
      <c r="CLQ9" t="s">
        <v>289</v>
      </c>
      <c r="CLR9" t="s">
        <v>289</v>
      </c>
      <c r="CLS9" t="s">
        <v>289</v>
      </c>
      <c r="CLT9" t="s">
        <v>289</v>
      </c>
      <c r="CLU9" t="s">
        <v>289</v>
      </c>
      <c r="CLV9" t="s">
        <v>289</v>
      </c>
      <c r="CLW9" t="s">
        <v>289</v>
      </c>
      <c r="CLX9" t="s">
        <v>289</v>
      </c>
      <c r="CLY9" t="s">
        <v>289</v>
      </c>
      <c r="CLZ9" t="s">
        <v>289</v>
      </c>
      <c r="CMA9" t="s">
        <v>289</v>
      </c>
      <c r="CMB9" t="s">
        <v>289</v>
      </c>
      <c r="CMC9" t="s">
        <v>289</v>
      </c>
      <c r="CMD9" t="s">
        <v>289</v>
      </c>
      <c r="CME9" t="s">
        <v>289</v>
      </c>
      <c r="CMF9" t="s">
        <v>289</v>
      </c>
      <c r="CMG9" t="s">
        <v>289</v>
      </c>
      <c r="CMH9" t="s">
        <v>289</v>
      </c>
      <c r="CMI9" t="s">
        <v>289</v>
      </c>
      <c r="CMJ9" t="s">
        <v>289</v>
      </c>
      <c r="CMK9" t="s">
        <v>289</v>
      </c>
      <c r="CML9" t="s">
        <v>289</v>
      </c>
      <c r="CMM9" t="s">
        <v>289</v>
      </c>
      <c r="CMN9" t="s">
        <v>289</v>
      </c>
      <c r="CMO9" t="s">
        <v>289</v>
      </c>
      <c r="CMP9" t="s">
        <v>289</v>
      </c>
      <c r="CMQ9" t="s">
        <v>289</v>
      </c>
      <c r="CMR9" t="s">
        <v>289</v>
      </c>
      <c r="CMS9" t="s">
        <v>289</v>
      </c>
      <c r="CMT9" t="s">
        <v>289</v>
      </c>
      <c r="CMU9" t="s">
        <v>289</v>
      </c>
      <c r="CMV9" t="s">
        <v>289</v>
      </c>
      <c r="CMW9" t="s">
        <v>289</v>
      </c>
      <c r="CMX9" t="s">
        <v>289</v>
      </c>
      <c r="CMY9" t="s">
        <v>289</v>
      </c>
      <c r="CMZ9" t="s">
        <v>289</v>
      </c>
      <c r="CNA9" t="s">
        <v>289</v>
      </c>
      <c r="CNB9" t="s">
        <v>289</v>
      </c>
      <c r="CNC9" t="s">
        <v>289</v>
      </c>
      <c r="CND9" t="s">
        <v>289</v>
      </c>
      <c r="CNE9" t="s">
        <v>289</v>
      </c>
      <c r="CNF9" t="s">
        <v>289</v>
      </c>
      <c r="CNG9" t="s">
        <v>289</v>
      </c>
      <c r="CNH9" t="s">
        <v>289</v>
      </c>
      <c r="CNI9" t="s">
        <v>289</v>
      </c>
      <c r="CNJ9" t="s">
        <v>289</v>
      </c>
      <c r="CNK9" t="s">
        <v>289</v>
      </c>
      <c r="CNL9" t="s">
        <v>289</v>
      </c>
      <c r="CNM9" t="s">
        <v>289</v>
      </c>
      <c r="CNN9" t="s">
        <v>289</v>
      </c>
      <c r="CNO9" t="s">
        <v>289</v>
      </c>
      <c r="CNP9" t="s">
        <v>289</v>
      </c>
      <c r="CNQ9" t="s">
        <v>289</v>
      </c>
      <c r="CNR9" t="s">
        <v>289</v>
      </c>
      <c r="CNS9" t="s">
        <v>289</v>
      </c>
      <c r="CNT9">
        <v>8067</v>
      </c>
      <c r="CNU9">
        <v>2749</v>
      </c>
      <c r="CNV9">
        <v>8861</v>
      </c>
      <c r="CNW9">
        <v>8839</v>
      </c>
      <c r="CNX9">
        <v>22576</v>
      </c>
      <c r="CNY9">
        <v>27048</v>
      </c>
      <c r="CNZ9">
        <v>24970</v>
      </c>
      <c r="COA9">
        <v>28209</v>
      </c>
      <c r="COB9">
        <v>32374</v>
      </c>
      <c r="COC9">
        <v>34285</v>
      </c>
      <c r="COD9">
        <v>29852</v>
      </c>
      <c r="COE9" t="s">
        <v>289</v>
      </c>
      <c r="COF9" t="s">
        <v>289</v>
      </c>
      <c r="COG9" t="s">
        <v>289</v>
      </c>
      <c r="COH9" t="s">
        <v>289</v>
      </c>
      <c r="COI9" t="s">
        <v>289</v>
      </c>
      <c r="COJ9" t="s">
        <v>289</v>
      </c>
      <c r="COK9" t="s">
        <v>289</v>
      </c>
      <c r="COL9" t="s">
        <v>289</v>
      </c>
      <c r="COM9">
        <v>5118.9139999999998</v>
      </c>
      <c r="CON9" t="s">
        <v>289</v>
      </c>
      <c r="COO9">
        <v>4589.6854999999996</v>
      </c>
      <c r="COP9">
        <v>562.01469999999995</v>
      </c>
      <c r="COQ9">
        <v>14831.7423</v>
      </c>
      <c r="COR9">
        <v>15189.171200000001</v>
      </c>
      <c r="COS9">
        <v>8581.6384999999991</v>
      </c>
      <c r="COT9">
        <v>15218.816000000001</v>
      </c>
      <c r="COU9">
        <v>21285.3289</v>
      </c>
      <c r="COV9">
        <v>25229.8724</v>
      </c>
      <c r="COW9">
        <v>19310.114300000001</v>
      </c>
      <c r="COX9" t="s">
        <v>289</v>
      </c>
      <c r="COY9" t="s">
        <v>289</v>
      </c>
      <c r="COZ9" t="s">
        <v>289</v>
      </c>
      <c r="CPA9" t="s">
        <v>289</v>
      </c>
      <c r="CPB9" t="s">
        <v>289</v>
      </c>
      <c r="CPC9" t="s">
        <v>289</v>
      </c>
      <c r="CPD9" t="s">
        <v>289</v>
      </c>
      <c r="CPE9" t="s">
        <v>289</v>
      </c>
      <c r="CPF9">
        <v>-569</v>
      </c>
      <c r="CPG9">
        <v>-1068</v>
      </c>
      <c r="CPH9">
        <v>-321</v>
      </c>
      <c r="CPI9">
        <v>-1023</v>
      </c>
      <c r="CPJ9">
        <v>582</v>
      </c>
      <c r="CPK9">
        <v>2921</v>
      </c>
      <c r="CPL9">
        <v>2158</v>
      </c>
      <c r="CPM9">
        <v>1713</v>
      </c>
      <c r="CPN9">
        <v>-205</v>
      </c>
      <c r="CPO9">
        <v>3015</v>
      </c>
      <c r="CPP9">
        <v>3945</v>
      </c>
      <c r="CPQ9" t="s">
        <v>289</v>
      </c>
      <c r="CPR9" t="s">
        <v>289</v>
      </c>
      <c r="CPS9" t="s">
        <v>289</v>
      </c>
      <c r="CPT9" t="s">
        <v>289</v>
      </c>
      <c r="CPU9" t="s">
        <v>289</v>
      </c>
      <c r="CPV9" t="s">
        <v>289</v>
      </c>
      <c r="CPW9" t="s">
        <v>289</v>
      </c>
      <c r="CPX9" t="s">
        <v>289</v>
      </c>
      <c r="CPY9" t="s">
        <v>289</v>
      </c>
      <c r="CPZ9" t="s">
        <v>289</v>
      </c>
      <c r="CQA9" t="s">
        <v>289</v>
      </c>
      <c r="CQB9" t="s">
        <v>289</v>
      </c>
      <c r="CQC9" t="s">
        <v>289</v>
      </c>
      <c r="CQD9" t="s">
        <v>289</v>
      </c>
      <c r="CQE9" t="s">
        <v>289</v>
      </c>
      <c r="CQF9" t="s">
        <v>289</v>
      </c>
      <c r="CQG9" t="s">
        <v>289</v>
      </c>
      <c r="CQH9" t="s">
        <v>289</v>
      </c>
      <c r="CQI9" t="s">
        <v>289</v>
      </c>
      <c r="CQJ9" t="s">
        <v>289</v>
      </c>
      <c r="CQK9" t="s">
        <v>289</v>
      </c>
      <c r="CQL9" t="s">
        <v>289</v>
      </c>
      <c r="CQM9" t="s">
        <v>289</v>
      </c>
      <c r="CQN9" t="s">
        <v>289</v>
      </c>
      <c r="CQO9" t="s">
        <v>289</v>
      </c>
      <c r="CQP9" t="s">
        <v>289</v>
      </c>
      <c r="CQQ9" t="s">
        <v>289</v>
      </c>
      <c r="CQR9">
        <v>-228</v>
      </c>
      <c r="CQS9">
        <v>-422</v>
      </c>
      <c r="CQT9">
        <v>-135</v>
      </c>
      <c r="CQU9">
        <v>-229</v>
      </c>
      <c r="CQV9">
        <v>39</v>
      </c>
      <c r="CQW9">
        <v>-166</v>
      </c>
      <c r="CQX9">
        <v>-976</v>
      </c>
      <c r="CQY9">
        <v>-2148</v>
      </c>
      <c r="CQZ9">
        <v>-4154</v>
      </c>
      <c r="CRA9">
        <v>1343</v>
      </c>
      <c r="CRB9">
        <v>-9203</v>
      </c>
      <c r="CRC9" t="s">
        <v>289</v>
      </c>
      <c r="CRD9" t="s">
        <v>289</v>
      </c>
      <c r="CRE9" t="s">
        <v>289</v>
      </c>
      <c r="CRF9" t="s">
        <v>289</v>
      </c>
      <c r="CRG9" t="s">
        <v>289</v>
      </c>
      <c r="CRH9" t="s">
        <v>289</v>
      </c>
      <c r="CRI9" t="s">
        <v>289</v>
      </c>
      <c r="CRJ9" t="s">
        <v>289</v>
      </c>
      <c r="CRK9" t="s">
        <v>289</v>
      </c>
      <c r="CRL9" t="s">
        <v>289</v>
      </c>
      <c r="CRM9" t="s">
        <v>289</v>
      </c>
      <c r="CRN9">
        <v>-186</v>
      </c>
      <c r="CRO9">
        <v>-170</v>
      </c>
      <c r="CRP9">
        <v>348</v>
      </c>
      <c r="CRQ9">
        <v>998</v>
      </c>
      <c r="CRR9">
        <v>224</v>
      </c>
      <c r="CRS9">
        <v>1012</v>
      </c>
      <c r="CRT9">
        <v>1045</v>
      </c>
      <c r="CRU9">
        <v>2239</v>
      </c>
      <c r="CRV9" t="s">
        <v>289</v>
      </c>
      <c r="CRW9" t="s">
        <v>289</v>
      </c>
      <c r="CRX9" t="s">
        <v>289</v>
      </c>
      <c r="CRY9" t="s">
        <v>289</v>
      </c>
      <c r="CRZ9" t="s">
        <v>289</v>
      </c>
      <c r="CSA9" t="s">
        <v>289</v>
      </c>
      <c r="CSB9" t="s">
        <v>289</v>
      </c>
      <c r="CSC9" t="s">
        <v>289</v>
      </c>
      <c r="CSD9" t="s">
        <v>289</v>
      </c>
      <c r="CSE9" t="s">
        <v>289</v>
      </c>
      <c r="CSF9" t="s">
        <v>289</v>
      </c>
      <c r="CSG9" t="s">
        <v>289</v>
      </c>
      <c r="CSH9" t="s">
        <v>289</v>
      </c>
      <c r="CSI9" t="s">
        <v>289</v>
      </c>
      <c r="CSJ9" t="s">
        <v>289</v>
      </c>
      <c r="CSK9" t="s">
        <v>289</v>
      </c>
      <c r="CSL9" t="s">
        <v>289</v>
      </c>
      <c r="CSM9" t="s">
        <v>289</v>
      </c>
      <c r="CSN9" t="s">
        <v>289</v>
      </c>
      <c r="CSO9" t="s">
        <v>289</v>
      </c>
      <c r="CSP9" t="s">
        <v>289</v>
      </c>
      <c r="CSQ9" t="s">
        <v>289</v>
      </c>
      <c r="CSR9" t="s">
        <v>289</v>
      </c>
      <c r="CSS9" t="s">
        <v>289</v>
      </c>
      <c r="CST9" t="s">
        <v>289</v>
      </c>
      <c r="CSU9" t="s">
        <v>289</v>
      </c>
      <c r="CSV9" t="s">
        <v>289</v>
      </c>
      <c r="CSW9" t="s">
        <v>289</v>
      </c>
      <c r="CSX9" t="s">
        <v>289</v>
      </c>
      <c r="CSY9" t="s">
        <v>289</v>
      </c>
      <c r="CSZ9" t="s">
        <v>289</v>
      </c>
      <c r="CTA9" t="s">
        <v>289</v>
      </c>
      <c r="CTB9" t="s">
        <v>289</v>
      </c>
      <c r="CTC9" t="s">
        <v>289</v>
      </c>
      <c r="CTD9" t="s">
        <v>289</v>
      </c>
      <c r="CTE9" t="s">
        <v>289</v>
      </c>
      <c r="CTF9" t="s">
        <v>289</v>
      </c>
      <c r="CTG9" t="s">
        <v>289</v>
      </c>
      <c r="CTH9" t="s">
        <v>289</v>
      </c>
      <c r="CTI9" t="s">
        <v>289</v>
      </c>
      <c r="CTJ9" t="s">
        <v>289</v>
      </c>
      <c r="CTK9" t="s">
        <v>289</v>
      </c>
      <c r="CTL9" t="s">
        <v>289</v>
      </c>
      <c r="CTM9" t="s">
        <v>289</v>
      </c>
      <c r="CTN9" t="s">
        <v>289</v>
      </c>
      <c r="CTO9" t="s">
        <v>289</v>
      </c>
      <c r="CTP9">
        <v>-459</v>
      </c>
      <c r="CTQ9">
        <v>-423</v>
      </c>
      <c r="CTR9">
        <v>-433</v>
      </c>
      <c r="CTS9">
        <v>-875</v>
      </c>
      <c r="CTT9">
        <v>-1022</v>
      </c>
      <c r="CTU9">
        <v>-953</v>
      </c>
      <c r="CTV9">
        <v>-1016</v>
      </c>
      <c r="CTW9">
        <v>-818</v>
      </c>
      <c r="CTX9">
        <v>-854</v>
      </c>
      <c r="CTY9">
        <v>-1268</v>
      </c>
      <c r="CTZ9">
        <v>-1139</v>
      </c>
      <c r="CUA9" t="s">
        <v>289</v>
      </c>
      <c r="CUB9" t="s">
        <v>289</v>
      </c>
      <c r="CUC9" t="s">
        <v>289</v>
      </c>
      <c r="CUD9" t="s">
        <v>289</v>
      </c>
      <c r="CUE9" t="s">
        <v>289</v>
      </c>
      <c r="CUF9" t="s">
        <v>289</v>
      </c>
      <c r="CUG9" t="s">
        <v>289</v>
      </c>
      <c r="CUH9" t="s">
        <v>289</v>
      </c>
      <c r="CUI9">
        <v>-584</v>
      </c>
      <c r="CUJ9">
        <v>-928</v>
      </c>
      <c r="CUK9">
        <v>-573</v>
      </c>
      <c r="CUL9">
        <v>-1293</v>
      </c>
      <c r="CUM9">
        <v>-1645</v>
      </c>
      <c r="CUN9">
        <v>-1705</v>
      </c>
      <c r="CUO9">
        <v>-3471</v>
      </c>
      <c r="CUP9">
        <v>-4132</v>
      </c>
      <c r="CUQ9">
        <v>-4089</v>
      </c>
      <c r="CUR9">
        <v>-2856</v>
      </c>
      <c r="CUS9">
        <v>-3673</v>
      </c>
      <c r="CUT9" t="s">
        <v>289</v>
      </c>
      <c r="CUU9" t="s">
        <v>289</v>
      </c>
      <c r="CUV9" t="s">
        <v>289</v>
      </c>
      <c r="CUW9" t="s">
        <v>289</v>
      </c>
      <c r="CUX9" t="s">
        <v>289</v>
      </c>
      <c r="CUY9" t="s">
        <v>289</v>
      </c>
      <c r="CUZ9" t="s">
        <v>289</v>
      </c>
      <c r="CVA9" t="s">
        <v>289</v>
      </c>
      <c r="CVB9" t="s">
        <v>289</v>
      </c>
      <c r="CVC9" t="s">
        <v>289</v>
      </c>
      <c r="CVD9" t="s">
        <v>289</v>
      </c>
      <c r="CVE9" t="s">
        <v>289</v>
      </c>
      <c r="CVF9" t="s">
        <v>289</v>
      </c>
      <c r="CVG9">
        <v>20810.556</v>
      </c>
      <c r="CVH9">
        <v>36058.222000000002</v>
      </c>
      <c r="CVI9">
        <v>-30537.857</v>
      </c>
      <c r="CVJ9">
        <v>20810.556</v>
      </c>
      <c r="CVK9">
        <v>277001.44400000002</v>
      </c>
      <c r="CVL9">
        <v>-17561.167000000001</v>
      </c>
      <c r="CVM9">
        <v>26963.888999999999</v>
      </c>
      <c r="CVN9">
        <v>43891</v>
      </c>
      <c r="CVO9">
        <v>-35864.857000000004</v>
      </c>
      <c r="CVP9">
        <v>26963.888999999999</v>
      </c>
      <c r="CVQ9">
        <v>324576.44400000002</v>
      </c>
      <c r="CVR9">
        <v>-27427.167000000001</v>
      </c>
      <c r="CVS9">
        <v>24736.111000000001</v>
      </c>
      <c r="CVT9">
        <v>43772.667000000001</v>
      </c>
      <c r="CVU9">
        <v>-40755.286</v>
      </c>
      <c r="CVV9">
        <v>24736.111000000001</v>
      </c>
      <c r="CVW9">
        <v>373317</v>
      </c>
      <c r="CVX9">
        <v>-27994.429</v>
      </c>
      <c r="CVY9">
        <v>31166.888999999999</v>
      </c>
      <c r="CVZ9">
        <v>53060.625</v>
      </c>
      <c r="CWA9">
        <v>-48925.832999999999</v>
      </c>
      <c r="CWB9">
        <v>31166.888999999999</v>
      </c>
      <c r="CWC9">
        <v>426364.44400000002</v>
      </c>
      <c r="CWD9">
        <v>-33909.5</v>
      </c>
      <c r="CWE9">
        <v>46655.167000000001</v>
      </c>
      <c r="CWF9">
        <v>69460.5</v>
      </c>
      <c r="CWG9">
        <v>-54279.25</v>
      </c>
      <c r="CWH9">
        <v>46655.167000000001</v>
      </c>
      <c r="CWI9">
        <v>493760.83299999998</v>
      </c>
      <c r="CWJ9">
        <v>-41227.599999999999</v>
      </c>
      <c r="CWK9" t="s">
        <v>289</v>
      </c>
      <c r="CWL9" t="s">
        <v>289</v>
      </c>
      <c r="CWM9" t="s">
        <v>289</v>
      </c>
      <c r="CWN9" t="s">
        <v>289</v>
      </c>
      <c r="CWO9" t="s">
        <v>289</v>
      </c>
      <c r="CWP9" t="s">
        <v>289</v>
      </c>
      <c r="CWQ9" t="s">
        <v>289</v>
      </c>
      <c r="CWR9">
        <v>8067</v>
      </c>
      <c r="CWS9">
        <v>2749</v>
      </c>
      <c r="CWT9">
        <v>8861</v>
      </c>
      <c r="CWU9">
        <v>8839</v>
      </c>
      <c r="CWV9">
        <v>22576</v>
      </c>
      <c r="CWW9">
        <v>26861</v>
      </c>
      <c r="CWX9">
        <v>24933</v>
      </c>
      <c r="CWY9">
        <v>27969</v>
      </c>
      <c r="CWZ9">
        <v>32374</v>
      </c>
      <c r="CXA9">
        <v>33952</v>
      </c>
      <c r="CXB9">
        <v>29852</v>
      </c>
      <c r="CXC9" t="s">
        <v>289</v>
      </c>
      <c r="CXD9" t="s">
        <v>289</v>
      </c>
      <c r="CXE9" t="s">
        <v>289</v>
      </c>
      <c r="CXF9" t="s">
        <v>289</v>
      </c>
      <c r="CXG9" t="s">
        <v>289</v>
      </c>
      <c r="CXH9" t="s">
        <v>289</v>
      </c>
      <c r="CXI9" t="s">
        <v>289</v>
      </c>
      <c r="CXJ9" t="s">
        <v>289</v>
      </c>
      <c r="CXK9" t="s">
        <v>289</v>
      </c>
      <c r="CXL9" t="s">
        <v>289</v>
      </c>
      <c r="CXM9" t="s">
        <v>289</v>
      </c>
      <c r="CXN9" t="s">
        <v>289</v>
      </c>
      <c r="CXO9" t="s">
        <v>289</v>
      </c>
      <c r="CXP9" t="s">
        <v>289</v>
      </c>
      <c r="CXQ9" t="s">
        <v>289</v>
      </c>
      <c r="CXR9" t="s">
        <v>289</v>
      </c>
      <c r="CXS9" t="s">
        <v>289</v>
      </c>
      <c r="CXT9" t="s">
        <v>289</v>
      </c>
      <c r="CXU9" t="s">
        <v>289</v>
      </c>
      <c r="CXV9" t="s">
        <v>289</v>
      </c>
      <c r="CXW9" t="s">
        <v>289</v>
      </c>
      <c r="CXX9" t="s">
        <v>289</v>
      </c>
      <c r="CXY9" t="s">
        <v>289</v>
      </c>
      <c r="CXZ9" t="s">
        <v>289</v>
      </c>
      <c r="CYA9" t="s">
        <v>289</v>
      </c>
      <c r="CYB9" t="s">
        <v>289</v>
      </c>
      <c r="CYC9" t="s">
        <v>289</v>
      </c>
      <c r="CYD9" t="s">
        <v>289</v>
      </c>
      <c r="CYE9" t="s">
        <v>289</v>
      </c>
      <c r="CYF9" t="s">
        <v>289</v>
      </c>
      <c r="CYG9" t="s">
        <v>289</v>
      </c>
      <c r="CYH9" t="s">
        <v>289</v>
      </c>
      <c r="CYI9" t="s">
        <v>289</v>
      </c>
      <c r="CYJ9" t="s">
        <v>289</v>
      </c>
      <c r="CYK9" t="s">
        <v>289</v>
      </c>
      <c r="CYL9" t="s">
        <v>289</v>
      </c>
      <c r="CYM9" t="s">
        <v>289</v>
      </c>
      <c r="CYN9" t="s">
        <v>289</v>
      </c>
      <c r="CYO9" t="s">
        <v>289</v>
      </c>
      <c r="CYP9" t="s">
        <v>289</v>
      </c>
      <c r="CYQ9" t="s">
        <v>289</v>
      </c>
      <c r="CYR9" t="s">
        <v>289</v>
      </c>
      <c r="CYS9" t="s">
        <v>289</v>
      </c>
      <c r="CYT9" t="s">
        <v>289</v>
      </c>
      <c r="CYU9" t="s">
        <v>289</v>
      </c>
      <c r="CYV9" t="s">
        <v>289</v>
      </c>
      <c r="CYW9">
        <v>-2909</v>
      </c>
      <c r="CYX9">
        <v>1407</v>
      </c>
      <c r="CYY9">
        <v>-349</v>
      </c>
      <c r="CYZ9">
        <v>-2272</v>
      </c>
      <c r="CZA9">
        <v>-1742</v>
      </c>
      <c r="CZB9">
        <v>-231</v>
      </c>
      <c r="CZC9">
        <v>-10536</v>
      </c>
      <c r="CZD9">
        <v>-3706</v>
      </c>
      <c r="CZE9">
        <v>-3066</v>
      </c>
      <c r="CZF9">
        <v>-454</v>
      </c>
      <c r="CZG9">
        <v>3643</v>
      </c>
      <c r="CZH9" t="s">
        <v>289</v>
      </c>
      <c r="CZI9" t="s">
        <v>289</v>
      </c>
      <c r="CZJ9" t="s">
        <v>289</v>
      </c>
      <c r="CZK9" t="s">
        <v>289</v>
      </c>
      <c r="CZL9" t="s">
        <v>289</v>
      </c>
      <c r="CZM9" t="s">
        <v>289</v>
      </c>
      <c r="CZN9" t="s">
        <v>289</v>
      </c>
      <c r="CZO9" t="s">
        <v>289</v>
      </c>
      <c r="CZP9" t="s">
        <v>289</v>
      </c>
      <c r="CZQ9" t="s">
        <v>289</v>
      </c>
      <c r="CZR9" t="s">
        <v>289</v>
      </c>
      <c r="CZS9" t="s">
        <v>289</v>
      </c>
      <c r="CZT9" t="s">
        <v>289</v>
      </c>
      <c r="CZU9" t="s">
        <v>289</v>
      </c>
      <c r="CZV9" t="s">
        <v>289</v>
      </c>
      <c r="CZW9" t="s">
        <v>289</v>
      </c>
      <c r="CZX9" t="s">
        <v>289</v>
      </c>
      <c r="CZY9" t="s">
        <v>289</v>
      </c>
      <c r="CZZ9" t="s">
        <v>289</v>
      </c>
      <c r="DAA9" t="s">
        <v>289</v>
      </c>
      <c r="DAB9" t="s">
        <v>289</v>
      </c>
      <c r="DAC9" t="s">
        <v>289</v>
      </c>
      <c r="DAD9" t="s">
        <v>289</v>
      </c>
      <c r="DAE9" t="s">
        <v>289</v>
      </c>
      <c r="DAF9" t="s">
        <v>289</v>
      </c>
      <c r="DAG9" t="s">
        <v>289</v>
      </c>
      <c r="DAH9" t="s">
        <v>289</v>
      </c>
      <c r="DAI9" t="s">
        <v>289</v>
      </c>
      <c r="DAJ9" t="s">
        <v>289</v>
      </c>
      <c r="DAK9" t="s">
        <v>289</v>
      </c>
      <c r="DAL9" t="s">
        <v>289</v>
      </c>
      <c r="DAM9" t="s">
        <v>289</v>
      </c>
      <c r="DAN9" t="s">
        <v>289</v>
      </c>
      <c r="DAO9" t="s">
        <v>289</v>
      </c>
      <c r="DAP9" t="s">
        <v>289</v>
      </c>
      <c r="DAQ9" t="s">
        <v>289</v>
      </c>
      <c r="DAR9" t="s">
        <v>289</v>
      </c>
      <c r="DAS9" t="s">
        <v>289</v>
      </c>
      <c r="DAT9" t="s">
        <v>289</v>
      </c>
      <c r="DAU9" t="s">
        <v>289</v>
      </c>
      <c r="DAV9" t="s">
        <v>289</v>
      </c>
      <c r="DAW9" t="s">
        <v>289</v>
      </c>
      <c r="DAX9" t="s">
        <v>289</v>
      </c>
      <c r="DAY9" t="s">
        <v>289</v>
      </c>
      <c r="DAZ9" t="s">
        <v>289</v>
      </c>
      <c r="DBA9" t="s">
        <v>289</v>
      </c>
      <c r="DBB9" t="s">
        <v>289</v>
      </c>
      <c r="DBC9" t="s">
        <v>289</v>
      </c>
      <c r="DBD9" t="s">
        <v>289</v>
      </c>
      <c r="DBE9" t="s">
        <v>289</v>
      </c>
      <c r="DBF9" t="s">
        <v>289</v>
      </c>
      <c r="DBG9" t="s">
        <v>289</v>
      </c>
      <c r="DBH9" t="s">
        <v>289</v>
      </c>
      <c r="DBI9" t="s">
        <v>289</v>
      </c>
      <c r="DBJ9" t="s">
        <v>289</v>
      </c>
      <c r="DBK9" t="s">
        <v>289</v>
      </c>
      <c r="DBL9" t="s">
        <v>289</v>
      </c>
      <c r="DBM9" t="s">
        <v>289</v>
      </c>
      <c r="DBN9" t="s">
        <v>289</v>
      </c>
      <c r="DBO9" t="s">
        <v>289</v>
      </c>
      <c r="DBP9" t="s">
        <v>289</v>
      </c>
      <c r="DBQ9" t="s">
        <v>289</v>
      </c>
      <c r="DBR9" t="s">
        <v>289</v>
      </c>
      <c r="DBS9" t="s">
        <v>289</v>
      </c>
      <c r="DBT9" t="s">
        <v>289</v>
      </c>
      <c r="DBU9" t="s">
        <v>289</v>
      </c>
      <c r="DBV9" t="s">
        <v>289</v>
      </c>
      <c r="DBW9" t="s">
        <v>289</v>
      </c>
      <c r="DBX9" t="s">
        <v>289</v>
      </c>
      <c r="DBY9" t="s">
        <v>289</v>
      </c>
      <c r="DBZ9" t="s">
        <v>289</v>
      </c>
      <c r="DCA9" t="s">
        <v>289</v>
      </c>
      <c r="DCB9" t="s">
        <v>289</v>
      </c>
      <c r="DCC9" t="s">
        <v>289</v>
      </c>
      <c r="DCD9" t="s">
        <v>289</v>
      </c>
      <c r="DCE9" t="s">
        <v>289</v>
      </c>
      <c r="DCF9" t="s">
        <v>289</v>
      </c>
      <c r="DCG9" t="s">
        <v>289</v>
      </c>
      <c r="DCH9" t="s">
        <v>289</v>
      </c>
      <c r="DCI9" t="s">
        <v>289</v>
      </c>
      <c r="DCJ9" t="s">
        <v>289</v>
      </c>
      <c r="DCK9" t="s">
        <v>289</v>
      </c>
      <c r="DCL9" t="s">
        <v>289</v>
      </c>
      <c r="DCM9" t="s">
        <v>289</v>
      </c>
      <c r="DCN9">
        <v>-1137</v>
      </c>
      <c r="DCO9">
        <v>-1132</v>
      </c>
      <c r="DCP9">
        <v>-47</v>
      </c>
      <c r="DCQ9">
        <v>-193</v>
      </c>
      <c r="DCR9" t="s">
        <v>289</v>
      </c>
      <c r="DCS9">
        <v>-342</v>
      </c>
      <c r="DCT9">
        <v>2054</v>
      </c>
      <c r="DCU9">
        <v>6093</v>
      </c>
      <c r="DCV9">
        <v>6503</v>
      </c>
      <c r="DCW9">
        <v>3872</v>
      </c>
      <c r="DCX9">
        <v>2239</v>
      </c>
      <c r="DCY9" t="s">
        <v>289</v>
      </c>
      <c r="DCZ9" t="s">
        <v>289</v>
      </c>
      <c r="DDA9" t="s">
        <v>289</v>
      </c>
      <c r="DDB9" t="s">
        <v>289</v>
      </c>
      <c r="DDC9" t="s">
        <v>289</v>
      </c>
      <c r="DDD9" t="s">
        <v>289</v>
      </c>
      <c r="DDE9" t="s">
        <v>289</v>
      </c>
      <c r="DDF9" t="s">
        <v>289</v>
      </c>
      <c r="DDG9">
        <v>2519</v>
      </c>
      <c r="DDH9">
        <v>-2838</v>
      </c>
      <c r="DDI9">
        <v>1006</v>
      </c>
      <c r="DDJ9">
        <v>4227</v>
      </c>
      <c r="DDK9">
        <v>7658</v>
      </c>
      <c r="DDL9">
        <v>4023</v>
      </c>
      <c r="DDM9">
        <v>8220</v>
      </c>
      <c r="DDN9">
        <v>4372</v>
      </c>
      <c r="DDO9">
        <v>1969</v>
      </c>
      <c r="DDP9">
        <v>5183</v>
      </c>
      <c r="DDQ9">
        <v>-3328</v>
      </c>
      <c r="DDR9" t="s">
        <v>289</v>
      </c>
      <c r="DDS9" t="s">
        <v>289</v>
      </c>
      <c r="DDT9" t="s">
        <v>289</v>
      </c>
      <c r="DDU9" t="s">
        <v>289</v>
      </c>
      <c r="DDV9" t="s">
        <v>289</v>
      </c>
      <c r="DDW9" t="s">
        <v>289</v>
      </c>
      <c r="DDX9" t="s">
        <v>289</v>
      </c>
      <c r="DDY9" t="s">
        <v>289</v>
      </c>
      <c r="DDZ9">
        <v>130</v>
      </c>
      <c r="DEA9">
        <v>-928</v>
      </c>
      <c r="DEB9">
        <v>-883</v>
      </c>
      <c r="DEC9">
        <v>-2720</v>
      </c>
      <c r="DED9">
        <v>-994</v>
      </c>
      <c r="DEE9">
        <v>730</v>
      </c>
      <c r="DEF9">
        <v>-2069</v>
      </c>
      <c r="DEG9">
        <v>-2627</v>
      </c>
      <c r="DEH9">
        <v>694</v>
      </c>
      <c r="DEI9">
        <v>-2137</v>
      </c>
      <c r="DEJ9">
        <v>2845</v>
      </c>
      <c r="DEK9" t="s">
        <v>289</v>
      </c>
      <c r="DEL9" t="s">
        <v>289</v>
      </c>
      <c r="DEM9" t="s">
        <v>289</v>
      </c>
      <c r="DEN9" t="s">
        <v>289</v>
      </c>
      <c r="DEO9" t="s">
        <v>289</v>
      </c>
      <c r="DEP9" t="s">
        <v>289</v>
      </c>
      <c r="DEQ9" t="s">
        <v>289</v>
      </c>
      <c r="DER9" t="s">
        <v>289</v>
      </c>
      <c r="DES9" t="s">
        <v>289</v>
      </c>
      <c r="DET9" t="s">
        <v>289</v>
      </c>
      <c r="DEU9" t="s">
        <v>289</v>
      </c>
      <c r="DEV9" t="s">
        <v>289</v>
      </c>
      <c r="DEW9" t="s">
        <v>289</v>
      </c>
      <c r="DEX9" t="s">
        <v>289</v>
      </c>
      <c r="DEY9" t="s">
        <v>289</v>
      </c>
      <c r="DEZ9" t="s">
        <v>289</v>
      </c>
      <c r="DFA9" t="s">
        <v>289</v>
      </c>
      <c r="DFB9" t="s">
        <v>289</v>
      </c>
      <c r="DFC9" t="s">
        <v>289</v>
      </c>
      <c r="DFD9" t="s">
        <v>289</v>
      </c>
      <c r="DFE9" t="s">
        <v>289</v>
      </c>
      <c r="DFF9" t="s">
        <v>289</v>
      </c>
      <c r="DFG9" t="s">
        <v>289</v>
      </c>
      <c r="DFH9" t="s">
        <v>289</v>
      </c>
      <c r="DFI9" t="s">
        <v>289</v>
      </c>
      <c r="DFJ9" t="s">
        <v>289</v>
      </c>
      <c r="DFK9" t="s">
        <v>289</v>
      </c>
      <c r="DFL9" t="s">
        <v>289</v>
      </c>
      <c r="DFM9" t="s">
        <v>289</v>
      </c>
      <c r="DFN9" t="s">
        <v>289</v>
      </c>
      <c r="DFO9" t="s">
        <v>289</v>
      </c>
      <c r="DFP9" t="s">
        <v>289</v>
      </c>
      <c r="DFQ9" t="s">
        <v>289</v>
      </c>
      <c r="DFR9" t="s">
        <v>289</v>
      </c>
      <c r="DFS9" t="s">
        <v>289</v>
      </c>
      <c r="DFT9" t="s">
        <v>289</v>
      </c>
      <c r="DFU9" t="s">
        <v>289</v>
      </c>
      <c r="DFV9" t="s">
        <v>289</v>
      </c>
      <c r="DFW9" t="s">
        <v>289</v>
      </c>
      <c r="DFX9" t="s">
        <v>289</v>
      </c>
      <c r="DFY9" t="s">
        <v>289</v>
      </c>
      <c r="DFZ9" t="s">
        <v>289</v>
      </c>
      <c r="DGA9" t="s">
        <v>289</v>
      </c>
      <c r="DGB9" t="s">
        <v>289</v>
      </c>
      <c r="DGC9" t="s">
        <v>289</v>
      </c>
      <c r="DGD9" t="s">
        <v>289</v>
      </c>
      <c r="DGE9" t="s">
        <v>289</v>
      </c>
      <c r="DGF9" t="s">
        <v>289</v>
      </c>
      <c r="DGG9" t="s">
        <v>289</v>
      </c>
      <c r="DGH9" t="s">
        <v>289</v>
      </c>
      <c r="DGI9" t="s">
        <v>289</v>
      </c>
      <c r="DGJ9" t="s">
        <v>289</v>
      </c>
      <c r="DGK9" t="s">
        <v>289</v>
      </c>
      <c r="DGL9" t="s">
        <v>289</v>
      </c>
      <c r="DGM9" t="s">
        <v>289</v>
      </c>
      <c r="DGN9" t="s">
        <v>289</v>
      </c>
      <c r="DGO9" t="s">
        <v>289</v>
      </c>
      <c r="DGP9" t="s">
        <v>289</v>
      </c>
      <c r="DGQ9" t="s">
        <v>289</v>
      </c>
      <c r="DGR9" t="s">
        <v>289</v>
      </c>
      <c r="DGS9" t="s">
        <v>289</v>
      </c>
      <c r="DGT9" t="s">
        <v>289</v>
      </c>
      <c r="DGU9" t="s">
        <v>289</v>
      </c>
      <c r="DGV9" t="s">
        <v>289</v>
      </c>
      <c r="DGW9" t="s">
        <v>289</v>
      </c>
      <c r="DGX9" t="s">
        <v>289</v>
      </c>
      <c r="DGY9" t="s">
        <v>289</v>
      </c>
      <c r="DGZ9" t="s">
        <v>289</v>
      </c>
      <c r="DHA9" t="s">
        <v>289</v>
      </c>
      <c r="DHB9" t="s">
        <v>289</v>
      </c>
      <c r="DHC9" t="s">
        <v>289</v>
      </c>
      <c r="DHD9" t="s">
        <v>289</v>
      </c>
      <c r="DHE9" t="s">
        <v>289</v>
      </c>
      <c r="DHF9" t="s">
        <v>289</v>
      </c>
      <c r="DHG9" t="s">
        <v>289</v>
      </c>
      <c r="DHH9" t="s">
        <v>289</v>
      </c>
      <c r="DHI9" t="s">
        <v>289</v>
      </c>
      <c r="DHJ9" t="s">
        <v>289</v>
      </c>
      <c r="DHK9" t="s">
        <v>289</v>
      </c>
      <c r="DHL9" t="s">
        <v>289</v>
      </c>
      <c r="DHM9" t="s">
        <v>289</v>
      </c>
      <c r="DHN9" t="s">
        <v>289</v>
      </c>
      <c r="DHO9" t="s">
        <v>289</v>
      </c>
      <c r="DHP9" t="s">
        <v>289</v>
      </c>
      <c r="DHQ9" t="s">
        <v>289</v>
      </c>
      <c r="DHR9" t="s">
        <v>289</v>
      </c>
      <c r="DHS9" t="s">
        <v>289</v>
      </c>
      <c r="DHT9" t="s">
        <v>289</v>
      </c>
      <c r="DHU9" t="s">
        <v>289</v>
      </c>
      <c r="DHV9" t="s">
        <v>289</v>
      </c>
      <c r="DHW9" t="s">
        <v>289</v>
      </c>
      <c r="DHX9" t="s">
        <v>289</v>
      </c>
      <c r="DHY9" t="s">
        <v>289</v>
      </c>
      <c r="DHZ9" t="s">
        <v>289</v>
      </c>
      <c r="DIA9" t="s">
        <v>289</v>
      </c>
      <c r="DIB9" t="s">
        <v>289</v>
      </c>
      <c r="DIC9" t="s">
        <v>289</v>
      </c>
      <c r="DID9" t="s">
        <v>289</v>
      </c>
      <c r="DIE9" t="s">
        <v>289</v>
      </c>
      <c r="DIF9" t="s">
        <v>289</v>
      </c>
      <c r="DIG9" t="s">
        <v>289</v>
      </c>
      <c r="DIH9" t="s">
        <v>289</v>
      </c>
      <c r="DII9" t="s">
        <v>289</v>
      </c>
      <c r="DIJ9" t="s">
        <v>289</v>
      </c>
      <c r="DIK9" t="s">
        <v>289</v>
      </c>
      <c r="DIL9" t="s">
        <v>289</v>
      </c>
      <c r="DIM9" t="s">
        <v>289</v>
      </c>
      <c r="DIN9" t="s">
        <v>289</v>
      </c>
      <c r="DIO9" t="s">
        <v>289</v>
      </c>
      <c r="DIP9" t="s">
        <v>289</v>
      </c>
      <c r="DIQ9" t="s">
        <v>289</v>
      </c>
      <c r="DIR9" t="s">
        <v>289</v>
      </c>
      <c r="DIS9" t="s">
        <v>289</v>
      </c>
      <c r="DIT9" t="s">
        <v>289</v>
      </c>
      <c r="DIU9" t="s">
        <v>289</v>
      </c>
      <c r="DIV9" t="s">
        <v>289</v>
      </c>
      <c r="DIW9" t="s">
        <v>289</v>
      </c>
      <c r="DIX9" t="s">
        <v>289</v>
      </c>
      <c r="DIY9" t="s">
        <v>289</v>
      </c>
      <c r="DIZ9" t="s">
        <v>289</v>
      </c>
      <c r="DJA9" t="s">
        <v>289</v>
      </c>
      <c r="DJB9" t="s">
        <v>289</v>
      </c>
      <c r="DJC9">
        <v>-2909</v>
      </c>
      <c r="DJD9">
        <v>1407</v>
      </c>
      <c r="DJE9">
        <v>-349</v>
      </c>
      <c r="DJF9">
        <v>-2272</v>
      </c>
      <c r="DJG9">
        <v>-1742</v>
      </c>
      <c r="DJH9">
        <v>-231</v>
      </c>
      <c r="DJI9">
        <v>-10536</v>
      </c>
      <c r="DJJ9">
        <v>-3706</v>
      </c>
      <c r="DJK9">
        <v>-3066</v>
      </c>
      <c r="DJL9">
        <v>-454</v>
      </c>
      <c r="DJM9">
        <v>3643</v>
      </c>
      <c r="DJN9" t="s">
        <v>289</v>
      </c>
      <c r="DJO9" t="s">
        <v>289</v>
      </c>
      <c r="DJP9" t="s">
        <v>289</v>
      </c>
      <c r="DJQ9" t="s">
        <v>289</v>
      </c>
      <c r="DJR9" t="s">
        <v>289</v>
      </c>
      <c r="DJS9" t="s">
        <v>289</v>
      </c>
      <c r="DJT9" t="s">
        <v>289</v>
      </c>
      <c r="DJU9" t="s">
        <v>289</v>
      </c>
      <c r="DJV9">
        <v>2505</v>
      </c>
      <c r="DJW9">
        <v>-5014</v>
      </c>
      <c r="DJX9">
        <v>1433</v>
      </c>
      <c r="DJY9">
        <v>4231</v>
      </c>
      <c r="DJZ9">
        <v>11207</v>
      </c>
      <c r="DKA9">
        <v>7887</v>
      </c>
      <c r="DKB9">
        <v>13290</v>
      </c>
      <c r="DKC9">
        <v>8954</v>
      </c>
      <c r="DKD9">
        <v>12982</v>
      </c>
      <c r="DKE9">
        <v>11463</v>
      </c>
      <c r="DKF9">
        <v>-5287</v>
      </c>
      <c r="DKG9" t="s">
        <v>289</v>
      </c>
      <c r="DKH9" t="s">
        <v>289</v>
      </c>
      <c r="DKI9" t="s">
        <v>289</v>
      </c>
      <c r="DKJ9" t="s">
        <v>289</v>
      </c>
      <c r="DKK9" t="s">
        <v>289</v>
      </c>
      <c r="DKL9" t="s">
        <v>289</v>
      </c>
      <c r="DKM9" t="s">
        <v>289</v>
      </c>
      <c r="DKN9" t="s">
        <v>289</v>
      </c>
      <c r="DKO9">
        <v>2505</v>
      </c>
      <c r="DKP9">
        <v>-5014</v>
      </c>
      <c r="DKQ9">
        <v>1433</v>
      </c>
      <c r="DKR9">
        <v>4231</v>
      </c>
      <c r="DKS9">
        <v>11207</v>
      </c>
      <c r="DKT9">
        <v>7887</v>
      </c>
      <c r="DKU9">
        <v>13290</v>
      </c>
      <c r="DKV9">
        <v>8954</v>
      </c>
      <c r="DKW9">
        <v>12982</v>
      </c>
      <c r="DKX9">
        <v>11463</v>
      </c>
      <c r="DKY9">
        <v>-5287</v>
      </c>
      <c r="DKZ9" t="s">
        <v>289</v>
      </c>
      <c r="DLA9" t="s">
        <v>289</v>
      </c>
      <c r="DLB9" t="s">
        <v>289</v>
      </c>
      <c r="DLC9" t="s">
        <v>289</v>
      </c>
      <c r="DLD9" t="s">
        <v>289</v>
      </c>
      <c r="DLE9" t="s">
        <v>289</v>
      </c>
      <c r="DLF9" t="s">
        <v>289</v>
      </c>
      <c r="DLG9" t="s">
        <v>289</v>
      </c>
      <c r="DLH9" t="s">
        <v>289</v>
      </c>
      <c r="DLI9" t="s">
        <v>289</v>
      </c>
      <c r="DLJ9" t="s">
        <v>289</v>
      </c>
      <c r="DLK9" t="s">
        <v>289</v>
      </c>
      <c r="DLL9" t="s">
        <v>289</v>
      </c>
      <c r="DLM9" t="s">
        <v>289</v>
      </c>
      <c r="DLN9" t="s">
        <v>289</v>
      </c>
      <c r="DLO9" t="s">
        <v>289</v>
      </c>
      <c r="DLP9" t="s">
        <v>289</v>
      </c>
      <c r="DLQ9" t="s">
        <v>289</v>
      </c>
      <c r="DLR9" t="s">
        <v>289</v>
      </c>
      <c r="DLS9" t="s">
        <v>289</v>
      </c>
      <c r="DLT9" t="s">
        <v>289</v>
      </c>
      <c r="DLU9" t="s">
        <v>289</v>
      </c>
      <c r="DLV9" t="s">
        <v>289</v>
      </c>
      <c r="DLW9" t="s">
        <v>289</v>
      </c>
      <c r="DLX9" t="s">
        <v>289</v>
      </c>
      <c r="DLY9" t="s">
        <v>289</v>
      </c>
      <c r="DLZ9" t="s">
        <v>289</v>
      </c>
      <c r="DMA9">
        <v>-404</v>
      </c>
      <c r="DMB9">
        <v>-3607</v>
      </c>
      <c r="DMC9">
        <v>1084</v>
      </c>
      <c r="DMD9">
        <v>1959</v>
      </c>
      <c r="DME9">
        <v>9465</v>
      </c>
      <c r="DMF9">
        <v>7656</v>
      </c>
      <c r="DMG9">
        <v>2754</v>
      </c>
      <c r="DMH9">
        <v>5248</v>
      </c>
      <c r="DMI9">
        <v>9916</v>
      </c>
      <c r="DMJ9">
        <v>11009</v>
      </c>
      <c r="DMK9">
        <v>-1644</v>
      </c>
      <c r="DML9" t="s">
        <v>289</v>
      </c>
      <c r="DMM9" t="s">
        <v>289</v>
      </c>
      <c r="DMN9" t="s">
        <v>289</v>
      </c>
      <c r="DMO9" t="s">
        <v>289</v>
      </c>
      <c r="DMP9" t="s">
        <v>289</v>
      </c>
      <c r="DMQ9" t="s">
        <v>289</v>
      </c>
      <c r="DMR9" t="s">
        <v>289</v>
      </c>
      <c r="DMS9" t="s">
        <v>289</v>
      </c>
      <c r="DMT9">
        <v>-404</v>
      </c>
      <c r="DMU9">
        <v>-3607</v>
      </c>
      <c r="DMV9">
        <v>1084</v>
      </c>
      <c r="DMW9">
        <v>1959</v>
      </c>
      <c r="DMX9">
        <v>9494</v>
      </c>
      <c r="DMY9">
        <v>7656</v>
      </c>
      <c r="DMZ9">
        <v>2754</v>
      </c>
      <c r="DNA9">
        <v>5248</v>
      </c>
      <c r="DNB9">
        <v>9916</v>
      </c>
      <c r="DNC9">
        <v>11009</v>
      </c>
      <c r="DND9">
        <v>-1644</v>
      </c>
      <c r="DNE9" t="s">
        <v>289</v>
      </c>
      <c r="DNF9" t="s">
        <v>289</v>
      </c>
      <c r="DNG9" t="s">
        <v>289</v>
      </c>
      <c r="DNH9" t="s">
        <v>289</v>
      </c>
      <c r="DNI9" t="s">
        <v>289</v>
      </c>
      <c r="DNJ9" t="s">
        <v>289</v>
      </c>
      <c r="DNK9" t="s">
        <v>289</v>
      </c>
      <c r="DNL9" t="s">
        <v>289</v>
      </c>
      <c r="DNM9" t="s">
        <v>289</v>
      </c>
      <c r="DNN9" t="s">
        <v>289</v>
      </c>
      <c r="DNO9" t="s">
        <v>289</v>
      </c>
      <c r="DNP9" t="s">
        <v>289</v>
      </c>
      <c r="DNQ9" t="s">
        <v>289</v>
      </c>
      <c r="DNR9" t="s">
        <v>289</v>
      </c>
      <c r="DNS9" t="s">
        <v>289</v>
      </c>
      <c r="DNT9" t="s">
        <v>289</v>
      </c>
      <c r="DNU9" t="s">
        <v>289</v>
      </c>
      <c r="DNV9" t="s">
        <v>289</v>
      </c>
      <c r="DNW9" t="s">
        <v>289</v>
      </c>
      <c r="DNX9" t="s">
        <v>289</v>
      </c>
      <c r="DNY9" t="s">
        <v>289</v>
      </c>
      <c r="DNZ9" t="s">
        <v>289</v>
      </c>
      <c r="DOA9" t="s">
        <v>289</v>
      </c>
      <c r="DOB9" t="s">
        <v>289</v>
      </c>
      <c r="DOC9" t="s">
        <v>289</v>
      </c>
      <c r="DOD9" t="s">
        <v>289</v>
      </c>
      <c r="DOE9" t="s">
        <v>289</v>
      </c>
      <c r="DOF9">
        <v>584</v>
      </c>
      <c r="DOG9">
        <v>928</v>
      </c>
      <c r="DOH9">
        <v>573</v>
      </c>
      <c r="DOI9">
        <v>1293</v>
      </c>
      <c r="DOJ9">
        <v>1645</v>
      </c>
      <c r="DOK9">
        <v>1705</v>
      </c>
      <c r="DOL9">
        <v>3471</v>
      </c>
      <c r="DOM9">
        <v>4132</v>
      </c>
      <c r="DON9">
        <v>4089</v>
      </c>
      <c r="DOO9">
        <v>2856</v>
      </c>
      <c r="DOP9">
        <v>3673</v>
      </c>
      <c r="DOQ9" t="s">
        <v>289</v>
      </c>
      <c r="DOR9" t="s">
        <v>289</v>
      </c>
      <c r="DOS9" t="s">
        <v>289</v>
      </c>
      <c r="DOT9" t="s">
        <v>289</v>
      </c>
      <c r="DOU9" t="s">
        <v>289</v>
      </c>
      <c r="DOV9" t="s">
        <v>289</v>
      </c>
      <c r="DOW9" t="s">
        <v>289</v>
      </c>
      <c r="DOX9" t="s">
        <v>289</v>
      </c>
      <c r="DOY9">
        <v>459</v>
      </c>
      <c r="DOZ9">
        <v>423</v>
      </c>
      <c r="DPA9">
        <v>433</v>
      </c>
      <c r="DPB9">
        <v>875</v>
      </c>
      <c r="DPC9">
        <v>1022</v>
      </c>
      <c r="DPD9">
        <v>953</v>
      </c>
      <c r="DPE9">
        <v>1016</v>
      </c>
      <c r="DPF9">
        <v>818</v>
      </c>
      <c r="DPG9">
        <v>854</v>
      </c>
      <c r="DPH9">
        <v>1268</v>
      </c>
      <c r="DPI9">
        <v>1139</v>
      </c>
      <c r="DPJ9" t="s">
        <v>289</v>
      </c>
      <c r="DPK9" t="s">
        <v>289</v>
      </c>
      <c r="DPL9" t="s">
        <v>289</v>
      </c>
      <c r="DPM9" t="s">
        <v>289</v>
      </c>
      <c r="DPN9" t="s">
        <v>289</v>
      </c>
      <c r="DPO9" t="s">
        <v>289</v>
      </c>
      <c r="DPP9" t="s">
        <v>289</v>
      </c>
      <c r="DPQ9" t="s">
        <v>289</v>
      </c>
      <c r="DPR9" t="s">
        <v>289</v>
      </c>
      <c r="DPS9" t="s">
        <v>289</v>
      </c>
      <c r="DPT9" t="s">
        <v>289</v>
      </c>
      <c r="DPU9" t="s">
        <v>289</v>
      </c>
      <c r="DPV9" t="s">
        <v>289</v>
      </c>
      <c r="DPW9" t="s">
        <v>289</v>
      </c>
      <c r="DPX9" t="s">
        <v>289</v>
      </c>
      <c r="DPY9" t="s">
        <v>289</v>
      </c>
      <c r="DPZ9" t="s">
        <v>289</v>
      </c>
      <c r="DQA9" t="s">
        <v>289</v>
      </c>
      <c r="DQB9" t="s">
        <v>289</v>
      </c>
      <c r="DQC9" t="s">
        <v>289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Tickers">
    <tabColor rgb="FF00B0F0"/>
  </sheetPr>
  <dimension ref="A1:Y24"/>
  <sheetViews>
    <sheetView showGridLines="0" workbookViewId="0">
      <selection activeCell="A18" sqref="A18:XFD1048576"/>
    </sheetView>
  </sheetViews>
  <sheetFormatPr defaultColWidth="0" defaultRowHeight="14.25" zeroHeight="1"/>
  <cols>
    <col min="1" max="1" width="34.3984375" customWidth="1"/>
    <col min="2" max="2" width="9.06640625" customWidth="1"/>
    <col min="3" max="3" width="13.59765625" bestFit="1" customWidth="1"/>
    <col min="4" max="4" width="14.265625" bestFit="1" customWidth="1"/>
    <col min="5" max="5" width="9.06640625" customWidth="1"/>
    <col min="6" max="6" width="13.59765625" bestFit="1" customWidth="1"/>
    <col min="7" max="7" width="10.6640625" bestFit="1" customWidth="1"/>
    <col min="8" max="8" width="9.06640625" customWidth="1"/>
    <col min="26" max="16384" width="9.06640625" hidden="1"/>
  </cols>
  <sheetData>
    <row r="1" spans="1:25" ht="69.75" customHeight="1" thickBot="1">
      <c r="A1" s="2"/>
    </row>
    <row r="2" spans="1:25" ht="14.65" thickBot="1">
      <c r="A2" s="5" t="s">
        <v>3793</v>
      </c>
      <c r="C2" t="s">
        <v>0</v>
      </c>
      <c r="D2" s="3">
        <f ca="1">TODAY()</f>
        <v>45274</v>
      </c>
      <c r="F2" t="s">
        <v>3</v>
      </c>
      <c r="G2" s="4" t="s">
        <v>286</v>
      </c>
      <c r="I2" s="61"/>
      <c r="J2" s="5"/>
    </row>
    <row r="3" spans="1:25" ht="14.65" thickBot="1">
      <c r="A3" s="5" t="s">
        <v>3794</v>
      </c>
      <c r="C3" t="s">
        <v>1</v>
      </c>
      <c r="D3" s="4"/>
    </row>
    <row r="4" spans="1:25">
      <c r="A4" s="5" t="s">
        <v>3795</v>
      </c>
      <c r="C4" t="s">
        <v>2</v>
      </c>
      <c r="D4" s="3">
        <f ca="1">IF(ISBLANK(D3),D2,D3)</f>
        <v>45274</v>
      </c>
    </row>
    <row r="5" spans="1:25" ht="14.65" thickBot="1">
      <c r="A5" s="5" t="s">
        <v>3796</v>
      </c>
      <c r="G5" s="3"/>
      <c r="R5" s="2"/>
      <c r="Y5" t="s">
        <v>1595</v>
      </c>
    </row>
    <row r="6" spans="1:25" ht="14.65" thickBot="1">
      <c r="A6" s="5" t="s">
        <v>3797</v>
      </c>
      <c r="C6" t="s">
        <v>5</v>
      </c>
      <c r="D6" s="4">
        <f ca="1">YEAR(D2)</f>
        <v>2023</v>
      </c>
      <c r="Y6" t="s">
        <v>1594</v>
      </c>
    </row>
    <row r="7" spans="1:25">
      <c r="A7" s="5" t="s">
        <v>3798</v>
      </c>
      <c r="Y7" t="s">
        <v>1593</v>
      </c>
    </row>
    <row r="8" spans="1:25">
      <c r="A8" s="5" t="s">
        <v>3799</v>
      </c>
      <c r="Y8" t="s">
        <v>1592</v>
      </c>
    </row>
    <row r="9" spans="1:25">
      <c r="A9" s="5" t="s">
        <v>3800</v>
      </c>
      <c r="C9" t="s">
        <v>1739</v>
      </c>
      <c r="D9" t="s">
        <v>3793</v>
      </c>
      <c r="Y9" t="s">
        <v>2172</v>
      </c>
    </row>
    <row r="10" spans="1:25">
      <c r="Y10" t="s">
        <v>2173</v>
      </c>
    </row>
    <row r="11" spans="1:25">
      <c r="Y11" t="s">
        <v>2174</v>
      </c>
    </row>
    <row r="12" spans="1:25">
      <c r="R12" s="2"/>
      <c r="Y12" t="s">
        <v>2175</v>
      </c>
    </row>
    <row r="13" spans="1:25">
      <c r="Y13" t="s">
        <v>2176</v>
      </c>
    </row>
    <row r="14" spans="1:25">
      <c r="I14" s="61"/>
      <c r="Y14" t="s">
        <v>2177</v>
      </c>
    </row>
    <row r="15" spans="1:25">
      <c r="Y15" t="s">
        <v>2178</v>
      </c>
    </row>
    <row r="16" spans="1:25">
      <c r="K16" s="61"/>
      <c r="P16" s="61"/>
      <c r="Y16" t="s">
        <v>2179</v>
      </c>
    </row>
    <row r="17" spans="16:25">
      <c r="P17" s="61"/>
      <c r="Y17" t="s">
        <v>2180</v>
      </c>
    </row>
    <row r="18" spans="16:25" hidden="1">
      <c r="P18" s="61"/>
      <c r="Y18" t="s">
        <v>2181</v>
      </c>
    </row>
    <row r="19" spans="16:25" hidden="1">
      <c r="P19" s="61"/>
      <c r="Y19" t="s">
        <v>2182</v>
      </c>
    </row>
    <row r="20" spans="16:25" hidden="1">
      <c r="P20" s="61"/>
      <c r="Y20" t="s">
        <v>2183</v>
      </c>
    </row>
    <row r="21" spans="16:25" hidden="1">
      <c r="P21" s="61"/>
      <c r="Y21" t="s">
        <v>2184</v>
      </c>
    </row>
    <row r="22" spans="16:25" hidden="1">
      <c r="P22" s="61"/>
      <c r="Y22" t="s">
        <v>2185</v>
      </c>
    </row>
    <row r="23" spans="16:25" hidden="1">
      <c r="Y23" t="s">
        <v>2186</v>
      </c>
    </row>
    <row r="24" spans="16:25" hidden="1">
      <c r="Y24" t="s">
        <v>2187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409575</xdr:colOff>
                <xdr:row>0</xdr:row>
                <xdr:rowOff>171450</xdr:rowOff>
              </from>
              <to>
                <xdr:col>3</xdr:col>
                <xdr:colOff>476250</xdr:colOff>
                <xdr:row>0</xdr:row>
                <xdr:rowOff>676275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ROIC">
    <tabColor theme="9" tint="-0.249977111117893"/>
    <pageSetUpPr fitToPage="1"/>
  </sheetPr>
  <dimension ref="A1:BT781"/>
  <sheetViews>
    <sheetView showGridLines="0" tabSelected="1" zoomScale="80" zoomScaleNormal="80" workbookViewId="0">
      <pane xSplit="3" ySplit="16" topLeftCell="D17" activePane="bottomRight" state="frozen"/>
      <selection pane="topRight" activeCell="D1" sqref="D1"/>
      <selection pane="bottomLeft" activeCell="A17" sqref="A17"/>
      <selection pane="bottomRight" activeCell="G80" sqref="G80"/>
    </sheetView>
  </sheetViews>
  <sheetFormatPr defaultColWidth="9.1328125" defaultRowHeight="12.75" outlineLevelRow="2" outlineLevelCol="1"/>
  <cols>
    <col min="1" max="1" width="9" style="5" hidden="1" customWidth="1" outlineLevel="1"/>
    <col min="2" max="2" width="41.59765625" style="5" hidden="1" customWidth="1" outlineLevel="1"/>
    <col min="3" max="3" width="39.1328125" style="5" customWidth="1" collapsed="1"/>
    <col min="4" max="29" width="11.59765625" style="20" customWidth="1"/>
    <col min="30" max="30" width="12.86328125" style="5" customWidth="1"/>
    <col min="31" max="31" width="8" style="5" customWidth="1"/>
    <col min="32" max="33" width="7.265625" style="5" customWidth="1"/>
    <col min="34" max="34" width="28.3984375" style="5" bestFit="1" customWidth="1"/>
    <col min="35" max="35" width="9.1328125" style="5" customWidth="1"/>
    <col min="36" max="36" width="10.265625" style="22" customWidth="1" outlineLevel="1"/>
    <col min="37" max="37" width="10.265625" style="23" customWidth="1" outlineLevel="1"/>
    <col min="38" max="50" width="10.265625" style="22" customWidth="1" outlineLevel="1"/>
    <col min="51" max="51" width="11.59765625" style="20" customWidth="1"/>
    <col min="52" max="52" width="3.1328125" style="24" customWidth="1"/>
    <col min="53" max="53" width="16.3984375" style="5" bestFit="1" customWidth="1"/>
    <col min="54" max="54" width="9.1328125" style="5" customWidth="1"/>
    <col min="55" max="16384" width="9.1328125" style="5"/>
  </cols>
  <sheetData>
    <row r="1" spans="2:52" ht="14.65" hidden="1" outlineLevel="1" thickBot="1">
      <c r="B1" s="71" t="s">
        <v>3793</v>
      </c>
      <c r="C1" s="18">
        <f>AH1</f>
        <v>0</v>
      </c>
      <c r="D1" s="31">
        <f t="shared" ref="D1:J1" si="0">IF(D490="…","…",D493/D490)</f>
        <v>0.17838138601757011</v>
      </c>
      <c r="E1" s="31">
        <f t="shared" si="0"/>
        <v>0.1875399192972701</v>
      </c>
      <c r="F1" s="31">
        <f t="shared" si="0"/>
        <v>0.19362678711302095</v>
      </c>
      <c r="G1" s="31">
        <f t="shared" si="0"/>
        <v>0.18934072662479276</v>
      </c>
      <c r="H1" s="31">
        <f t="shared" si="0"/>
        <v>0.18970455993663612</v>
      </c>
      <c r="I1" s="31">
        <f t="shared" si="0"/>
        <v>0.18845348489380795</v>
      </c>
      <c r="J1" s="31">
        <f t="shared" si="0"/>
        <v>0.18089401333045793</v>
      </c>
      <c r="K1" s="31">
        <f t="shared" ref="K1:Q1" si="1">IF(K490="…","…",K493/K490)</f>
        <v>0.16861791629395237</v>
      </c>
      <c r="L1" s="31">
        <f t="shared" si="1"/>
        <v>0.16224581445990216</v>
      </c>
      <c r="M1" s="31">
        <f t="shared" si="1"/>
        <v>0.15917282546025227</v>
      </c>
      <c r="N1" s="31">
        <f t="shared" si="1"/>
        <v>0.16617455703014444</v>
      </c>
      <c r="O1" s="19">
        <f t="shared" si="1"/>
        <v>-1.9636849202089361E-4</v>
      </c>
      <c r="P1" s="19">
        <f t="shared" si="1"/>
        <v>-1.2271435963019731E-2</v>
      </c>
      <c r="Q1" s="19">
        <f t="shared" si="1"/>
        <v>2.4114563718488937E-2</v>
      </c>
      <c r="R1" s="19">
        <f t="shared" ref="R1:Y1" si="2">IF(R490="…","…",R493/R490)</f>
        <v>1.8487152847501725E-2</v>
      </c>
      <c r="S1" s="19">
        <f t="shared" si="2"/>
        <v>0.19527281891364165</v>
      </c>
      <c r="T1" s="19">
        <f t="shared" si="2"/>
        <v>0.18748013534118935</v>
      </c>
      <c r="U1" s="19">
        <f t="shared" si="2"/>
        <v>0.18607515195541507</v>
      </c>
      <c r="V1" s="19" t="str">
        <f t="shared" si="2"/>
        <v>…</v>
      </c>
      <c r="W1" s="19" t="str">
        <f t="shared" si="2"/>
        <v>…</v>
      </c>
      <c r="X1" s="19" t="str">
        <f t="shared" si="2"/>
        <v>…</v>
      </c>
      <c r="Y1" s="19" t="str">
        <f t="shared" si="2"/>
        <v>…</v>
      </c>
      <c r="Z1" s="19"/>
      <c r="AA1" s="19"/>
      <c r="AE1" s="21" t="str">
        <f>B1</f>
        <v>VOW3 GY Equity</v>
      </c>
      <c r="AY1" s="19"/>
    </row>
    <row r="2" spans="2:52" ht="14.25" hidden="1" outlineLevel="1">
      <c r="B2" s="71"/>
      <c r="C2" s="18"/>
      <c r="D2" s="25">
        <f t="shared" ref="D2:J2" si="3">IF(D490="…","…",D493)</f>
        <v>22762</v>
      </c>
      <c r="E2" s="25">
        <f t="shared" si="3"/>
        <v>24958</v>
      </c>
      <c r="F2" s="25">
        <f t="shared" si="3"/>
        <v>26450</v>
      </c>
      <c r="G2" s="25">
        <f t="shared" si="3"/>
        <v>27522</v>
      </c>
      <c r="H2" s="25">
        <f t="shared" si="3"/>
        <v>31855</v>
      </c>
      <c r="I2" s="25">
        <f t="shared" si="3"/>
        <v>33390</v>
      </c>
      <c r="J2" s="25">
        <f t="shared" si="3"/>
        <v>36069</v>
      </c>
      <c r="K2" s="25">
        <f t="shared" ref="K2:Q2" si="4">IF(K490="…","…",K493)</f>
        <v>42790</v>
      </c>
      <c r="L2" s="25">
        <f t="shared" si="4"/>
        <v>50218</v>
      </c>
      <c r="M2" s="25">
        <f t="shared" si="4"/>
        <v>51625</v>
      </c>
      <c r="N2" s="25">
        <f t="shared" si="4"/>
        <v>58362</v>
      </c>
      <c r="O2" s="25">
        <f t="shared" si="4"/>
        <v>-75</v>
      </c>
      <c r="P2" s="25">
        <f t="shared" si="4"/>
        <v>-5028</v>
      </c>
      <c r="Q2" s="25">
        <f t="shared" si="4"/>
        <v>10181</v>
      </c>
      <c r="R2" s="25">
        <f t="shared" ref="R2:Y2" si="5">IF(R490="…","…",R493)</f>
        <v>8470</v>
      </c>
      <c r="S2" s="25">
        <f t="shared" si="5"/>
        <v>95307</v>
      </c>
      <c r="T2" s="25">
        <f t="shared" si="5"/>
        <v>93199</v>
      </c>
      <c r="U2" s="25">
        <f t="shared" si="5"/>
        <v>98361</v>
      </c>
      <c r="V2" s="25" t="str">
        <f t="shared" si="5"/>
        <v>…</v>
      </c>
      <c r="W2" s="25" t="str">
        <f t="shared" si="5"/>
        <v>…</v>
      </c>
      <c r="X2" s="25" t="str">
        <f t="shared" si="5"/>
        <v>…</v>
      </c>
      <c r="Y2" s="25" t="str">
        <f t="shared" si="5"/>
        <v>…</v>
      </c>
      <c r="Z2" s="25"/>
      <c r="AA2" s="25"/>
      <c r="AY2" s="25"/>
    </row>
    <row r="3" spans="2:52" collapsed="1">
      <c r="B3" s="5" t="s">
        <v>117</v>
      </c>
      <c r="AA3" s="25"/>
    </row>
    <row r="4" spans="2:52" ht="13.15" hidden="1" outlineLevel="1">
      <c r="B4" s="5" t="s">
        <v>11</v>
      </c>
      <c r="D4" s="25">
        <f>IFERROR(MATCH(YEAR(D6),'Other Data'!$5:$5,0)-2,C4)</f>
        <v>0</v>
      </c>
      <c r="E4" s="25">
        <f>IFERROR(MATCH(YEAR(E6),'Other Data'!$5:$5,0)-2,D4)</f>
        <v>0</v>
      </c>
      <c r="F4" s="25">
        <f>IFERROR(MATCH(YEAR(F6),'Other Data'!$5:$5,0)-2,E4)</f>
        <v>2</v>
      </c>
      <c r="G4" s="25">
        <f>IFERROR(MATCH(YEAR(G6),'Other Data'!$5:$5,0)-2,F4)</f>
        <v>3</v>
      </c>
      <c r="H4" s="25">
        <f>IFERROR(MATCH(YEAR(H6),'Other Data'!$5:$5,0)-2,G4)</f>
        <v>4</v>
      </c>
      <c r="I4" s="25">
        <f>IFERROR(MATCH(YEAR(I6),'Other Data'!$5:$5,0)-2,H4)</f>
        <v>5</v>
      </c>
      <c r="J4" s="25">
        <f>IFERROR(MATCH(YEAR(J6),'Other Data'!$5:$5,0)-2,I4)</f>
        <v>6</v>
      </c>
      <c r="K4" s="25">
        <f>IFERROR(MATCH(YEAR(K6),'Other Data'!$5:$5,0)-2,J4)</f>
        <v>7</v>
      </c>
      <c r="L4" s="25">
        <f>IFERROR(MATCH(YEAR(L6),'Other Data'!$5:$5,0)-2,K4)</f>
        <v>8</v>
      </c>
      <c r="M4" s="25">
        <f>IFERROR(MATCH(YEAR(M6),'Other Data'!$5:$5,0)-2,L4)</f>
        <v>9</v>
      </c>
      <c r="N4" s="25">
        <f>IFERROR(MATCH(YEAR(N6),'Other Data'!$5:$5,0)-2,M4)</f>
        <v>10</v>
      </c>
      <c r="O4" s="25">
        <f>IFERROR(MATCH(YEAR(O6),'Other Data'!$5:$5,0)-2,N4)</f>
        <v>11</v>
      </c>
      <c r="P4" s="25">
        <f>IFERROR(MATCH(YEAR(P6),'Other Data'!$5:$5,0)-2,O4)</f>
        <v>12</v>
      </c>
      <c r="Q4" s="25">
        <f>IFERROR(MATCH(YEAR(Q6),'Other Data'!$5:$5,0)-2,P4)</f>
        <v>13</v>
      </c>
      <c r="R4" s="25">
        <f>IFERROR(MATCH(YEAR(R6),'Other Data'!$5:$5,0)-2,Q4)</f>
        <v>14</v>
      </c>
      <c r="S4" s="25">
        <f>IFERROR(MATCH(YEAR(S6),'Other Data'!$5:$5,0)-2,R4)</f>
        <v>15</v>
      </c>
      <c r="T4" s="25">
        <f>IFERROR(MATCH(YEAR(T6),'Other Data'!$5:$5,0)-2,S4)</f>
        <v>16</v>
      </c>
      <c r="U4" s="25">
        <f>IFERROR(MATCH(YEAR(U6),'Other Data'!$5:$5,0)-2,T4)</f>
        <v>17</v>
      </c>
      <c r="V4" s="25">
        <f>IFERROR(MATCH(YEAR(V6),'Other Data'!$5:$5,0)-2,U4)</f>
        <v>17</v>
      </c>
      <c r="W4" s="25">
        <f>IFERROR(MATCH(YEAR(W6),'Other Data'!$5:$5,0)-2,V4)</f>
        <v>17</v>
      </c>
      <c r="X4" s="25">
        <f>IFERROR(MATCH(YEAR(X6),'Other Data'!$5:$5,0)-2,W4)</f>
        <v>17</v>
      </c>
      <c r="Y4" s="25">
        <f>IFERROR(MATCH(YEAR(Y6),'Other Data'!$5:$5,0)-2,X4)</f>
        <v>17</v>
      </c>
      <c r="Z4" s="25"/>
      <c r="AA4" s="25"/>
      <c r="AB4" s="25"/>
      <c r="AC4" s="25"/>
      <c r="AE4" s="9" t="s">
        <v>1555</v>
      </c>
      <c r="AJ4" s="22" t="s">
        <v>120</v>
      </c>
      <c r="AK4" s="22" t="s">
        <v>121</v>
      </c>
      <c r="AL4" s="22" t="s">
        <v>287</v>
      </c>
      <c r="AM4" s="22" t="s">
        <v>288</v>
      </c>
      <c r="AN4" s="22" t="s">
        <v>419</v>
      </c>
      <c r="AO4" s="22" t="s">
        <v>420</v>
      </c>
      <c r="AP4" s="22" t="s">
        <v>1708</v>
      </c>
      <c r="AQ4" s="22" t="s">
        <v>2189</v>
      </c>
      <c r="AR4" s="22" t="s">
        <v>2191</v>
      </c>
      <c r="AS4" s="22" t="s">
        <v>2192</v>
      </c>
      <c r="AT4" s="22" t="s">
        <v>2476</v>
      </c>
      <c r="AU4" s="22" t="s">
        <v>3623</v>
      </c>
      <c r="AV4" s="22" t="s">
        <v>3624</v>
      </c>
      <c r="AW4" s="22" t="s">
        <v>3625</v>
      </c>
      <c r="AY4" s="25"/>
    </row>
    <row r="5" spans="2:52" hidden="1" outlineLevel="1">
      <c r="C5" s="28">
        <v>44592</v>
      </c>
      <c r="AA5" s="25"/>
      <c r="AE5" s="77" t="s">
        <v>1554</v>
      </c>
    </row>
    <row r="6" spans="2:52" ht="13.15" hidden="1" outlineLevel="1">
      <c r="C6" s="28">
        <f>44592</f>
        <v>44592</v>
      </c>
      <c r="D6" s="59">
        <v>38352</v>
      </c>
      <c r="E6" s="59">
        <v>38717</v>
      </c>
      <c r="F6" s="59">
        <v>39082</v>
      </c>
      <c r="G6" s="59">
        <v>39447</v>
      </c>
      <c r="H6" s="59">
        <v>39813</v>
      </c>
      <c r="I6" s="59">
        <v>40178</v>
      </c>
      <c r="J6" s="59">
        <v>40543</v>
      </c>
      <c r="K6" s="59">
        <v>40908</v>
      </c>
      <c r="L6" s="59">
        <v>41274</v>
      </c>
      <c r="M6" s="59">
        <v>41639</v>
      </c>
      <c r="N6" s="59">
        <v>42004</v>
      </c>
      <c r="O6" s="59">
        <v>42369</v>
      </c>
      <c r="P6" s="59">
        <v>42735</v>
      </c>
      <c r="Q6" s="59">
        <v>43100</v>
      </c>
      <c r="R6" s="59">
        <v>43465</v>
      </c>
      <c r="S6" s="59">
        <v>43830</v>
      </c>
      <c r="T6" s="59">
        <v>44196</v>
      </c>
      <c r="U6" s="59">
        <v>44561</v>
      </c>
      <c r="V6" s="59">
        <v>44926</v>
      </c>
      <c r="W6" s="59">
        <v>45291</v>
      </c>
      <c r="X6" s="59">
        <v>45657</v>
      </c>
      <c r="Y6" s="59">
        <v>46022</v>
      </c>
      <c r="Z6" s="59"/>
      <c r="AA6" s="25"/>
      <c r="AB6" s="28"/>
      <c r="AC6" s="28"/>
      <c r="AY6" s="28"/>
    </row>
    <row r="7" spans="2:52" hidden="1" outlineLevel="1">
      <c r="C7" s="28">
        <v>44227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5"/>
      <c r="AB7" s="28"/>
      <c r="AC7" s="28"/>
      <c r="AH7" s="5" t="s">
        <v>337</v>
      </c>
      <c r="AY7" s="28"/>
    </row>
    <row r="8" spans="2:52" hidden="1" outlineLevel="1">
      <c r="C8" s="27"/>
      <c r="D8" s="20" t="str">
        <f t="shared" ref="D8:J8" si="6">IF(D11="yes","A",IF(OR(D13="yes",E13="yes"),"E",IF(D12="yes","…","L")))</f>
        <v>A</v>
      </c>
      <c r="E8" s="20" t="str">
        <f t="shared" si="6"/>
        <v>A</v>
      </c>
      <c r="F8" s="20" t="str">
        <f t="shared" si="6"/>
        <v>A</v>
      </c>
      <c r="G8" s="20" t="str">
        <f t="shared" si="6"/>
        <v>A</v>
      </c>
      <c r="H8" s="20" t="str">
        <f t="shared" si="6"/>
        <v>A</v>
      </c>
      <c r="I8" s="20" t="str">
        <f t="shared" si="6"/>
        <v>A</v>
      </c>
      <c r="J8" s="20" t="str">
        <f t="shared" si="6"/>
        <v>A</v>
      </c>
      <c r="K8" s="20" t="str">
        <f>IF(K11="yes","A",IF(OR(K13="yes",L13="yes"),"E",IF(K12="yes","…","L")))</f>
        <v>A</v>
      </c>
      <c r="L8" s="20" t="str">
        <f t="shared" ref="L8:Q8" si="7">IF(L11="yes","A",IF(L13="yes","E",IF(L12="yes","…","L")))</f>
        <v>A</v>
      </c>
      <c r="M8" s="20" t="str">
        <f t="shared" si="7"/>
        <v>A</v>
      </c>
      <c r="N8" s="20" t="str">
        <f t="shared" si="7"/>
        <v>A</v>
      </c>
      <c r="O8" s="20" t="str">
        <f t="shared" si="7"/>
        <v>A</v>
      </c>
      <c r="P8" s="20" t="str">
        <f t="shared" si="7"/>
        <v>A</v>
      </c>
      <c r="Q8" s="20" t="str">
        <f t="shared" si="7"/>
        <v>A</v>
      </c>
      <c r="R8" s="20" t="str">
        <f t="shared" ref="R8:Y8" si="8">IF(R11="yes","A",IF(R13="yes","E",IF(R12="yes","…","L")))</f>
        <v>A</v>
      </c>
      <c r="S8" s="20" t="str">
        <f t="shared" si="8"/>
        <v>A</v>
      </c>
      <c r="T8" s="20" t="str">
        <f t="shared" si="8"/>
        <v>A</v>
      </c>
      <c r="U8" s="20" t="str">
        <f t="shared" si="8"/>
        <v>A</v>
      </c>
      <c r="V8" s="20" t="str">
        <f t="shared" si="8"/>
        <v>E</v>
      </c>
      <c r="W8" s="20" t="str">
        <f t="shared" si="8"/>
        <v>E</v>
      </c>
      <c r="X8" s="20" t="str">
        <f t="shared" si="8"/>
        <v>E</v>
      </c>
      <c r="Y8" s="20" t="str">
        <f t="shared" si="8"/>
        <v>E</v>
      </c>
      <c r="AA8" s="25"/>
      <c r="AB8" s="28"/>
      <c r="AC8" s="28"/>
    </row>
    <row r="9" spans="2:52" hidden="1" outlineLevel="1">
      <c r="D9" s="5">
        <f t="shared" ref="D9:L9" si="9">E9-1</f>
        <v>2004</v>
      </c>
      <c r="E9" s="5">
        <v>2005</v>
      </c>
      <c r="F9" s="5">
        <f t="shared" si="9"/>
        <v>2006</v>
      </c>
      <c r="G9" s="5">
        <f t="shared" si="9"/>
        <v>2007</v>
      </c>
      <c r="H9" s="5">
        <f t="shared" si="9"/>
        <v>2008</v>
      </c>
      <c r="I9" s="5">
        <f t="shared" si="9"/>
        <v>2009</v>
      </c>
      <c r="J9" s="5">
        <f t="shared" si="9"/>
        <v>2010</v>
      </c>
      <c r="K9" s="5">
        <f t="shared" si="9"/>
        <v>2011</v>
      </c>
      <c r="L9" s="5">
        <f t="shared" si="9"/>
        <v>2012</v>
      </c>
      <c r="M9" s="5">
        <f t="shared" ref="M9:U9" si="10">AK16</f>
        <v>2013</v>
      </c>
      <c r="N9" s="5">
        <f t="shared" si="10"/>
        <v>2014</v>
      </c>
      <c r="O9" s="5">
        <f t="shared" si="10"/>
        <v>2015</v>
      </c>
      <c r="P9" s="5">
        <f t="shared" si="10"/>
        <v>2016</v>
      </c>
      <c r="Q9" s="5">
        <f t="shared" si="10"/>
        <v>2017</v>
      </c>
      <c r="R9" s="5">
        <f t="shared" si="10"/>
        <v>2018</v>
      </c>
      <c r="S9" s="5">
        <f t="shared" si="10"/>
        <v>2019</v>
      </c>
      <c r="T9" s="5">
        <f t="shared" si="10"/>
        <v>2020</v>
      </c>
      <c r="U9" s="5">
        <f t="shared" si="10"/>
        <v>2021</v>
      </c>
      <c r="V9" s="5">
        <f>AT16</f>
        <v>2022</v>
      </c>
      <c r="W9" s="5">
        <f>AU16</f>
        <v>2023</v>
      </c>
      <c r="X9" s="5">
        <f>AV16</f>
        <v>2024</v>
      </c>
      <c r="Y9" s="5">
        <f>AW16</f>
        <v>2025</v>
      </c>
      <c r="Z9" s="5"/>
      <c r="AA9" s="25"/>
      <c r="AY9" s="5"/>
    </row>
    <row r="10" spans="2:52" hidden="1" outlineLevel="1">
      <c r="B10" s="29"/>
      <c r="K10" s="19"/>
      <c r="L10" s="19">
        <f t="shared" ref="L10:T10" si="11">IF(L358="…","…",L493/L358)</f>
        <v>0.16224581445990216</v>
      </c>
      <c r="M10" s="19">
        <f t="shared" si="11"/>
        <v>0.15917282546025227</v>
      </c>
      <c r="N10" s="19">
        <f t="shared" si="11"/>
        <v>0.16617455703014444</v>
      </c>
      <c r="O10" s="19">
        <f t="shared" si="11"/>
        <v>-1.9636849202089361E-4</v>
      </c>
      <c r="P10" s="19">
        <f t="shared" si="11"/>
        <v>-1.2271435963019731E-2</v>
      </c>
      <c r="Q10" s="19">
        <f t="shared" si="11"/>
        <v>2.4114563718488937E-2</v>
      </c>
      <c r="R10" s="19">
        <f t="shared" si="11"/>
        <v>1.8487152847501725E-2</v>
      </c>
      <c r="S10" s="19">
        <f t="shared" si="11"/>
        <v>0.19527281891364165</v>
      </c>
      <c r="T10" s="19">
        <f t="shared" si="11"/>
        <v>0.18748013534118935</v>
      </c>
      <c r="U10" s="19">
        <f>IF(U358="…","…",U493/U358)</f>
        <v>0.18607515195541507</v>
      </c>
      <c r="V10" s="19" t="str">
        <f>IF(V358="…","…",V493/V358)</f>
        <v>…</v>
      </c>
      <c r="W10" s="19" t="str">
        <f>IF(W358="…","…",W493/W358)</f>
        <v>…</v>
      </c>
      <c r="X10" s="19" t="str">
        <f>IF(X358="…","…",X493/X358)</f>
        <v>…</v>
      </c>
      <c r="Y10" s="19" t="str">
        <f>IF(Y358="…","…",Y493/Y358)</f>
        <v>…</v>
      </c>
      <c r="Z10" s="19"/>
      <c r="AA10" s="25"/>
      <c r="AB10" s="19"/>
      <c r="AC10" s="19"/>
      <c r="AY10" s="19"/>
    </row>
    <row r="11" spans="2:52" hidden="1" outlineLevel="1">
      <c r="B11" s="29"/>
      <c r="C11" s="5" t="s">
        <v>125</v>
      </c>
      <c r="D11" s="19" t="str">
        <f t="shared" ref="D11:V11" si="12">IF(ISERROR(D315/D358),"no","yes")</f>
        <v>yes</v>
      </c>
      <c r="E11" s="19" t="str">
        <f t="shared" si="12"/>
        <v>yes</v>
      </c>
      <c r="F11" s="19" t="str">
        <f t="shared" si="12"/>
        <v>yes</v>
      </c>
      <c r="G11" s="19" t="str">
        <f t="shared" si="12"/>
        <v>yes</v>
      </c>
      <c r="H11" s="19" t="str">
        <f t="shared" si="12"/>
        <v>yes</v>
      </c>
      <c r="I11" s="19" t="str">
        <f t="shared" si="12"/>
        <v>yes</v>
      </c>
      <c r="J11" s="19" t="str">
        <f t="shared" si="12"/>
        <v>yes</v>
      </c>
      <c r="K11" s="19" t="str">
        <f t="shared" si="12"/>
        <v>yes</v>
      </c>
      <c r="L11" s="19" t="str">
        <f t="shared" si="12"/>
        <v>yes</v>
      </c>
      <c r="M11" s="19" t="str">
        <f t="shared" si="12"/>
        <v>yes</v>
      </c>
      <c r="N11" s="19" t="str">
        <f t="shared" si="12"/>
        <v>yes</v>
      </c>
      <c r="O11" s="19" t="str">
        <f t="shared" si="12"/>
        <v>yes</v>
      </c>
      <c r="P11" s="19" t="str">
        <f t="shared" si="12"/>
        <v>yes</v>
      </c>
      <c r="Q11" s="19" t="str">
        <f t="shared" si="12"/>
        <v>yes</v>
      </c>
      <c r="R11" s="19" t="str">
        <f t="shared" si="12"/>
        <v>yes</v>
      </c>
      <c r="S11" s="19" t="str">
        <f t="shared" si="12"/>
        <v>yes</v>
      </c>
      <c r="T11" s="19" t="str">
        <f t="shared" si="12"/>
        <v>yes</v>
      </c>
      <c r="U11" s="19" t="str">
        <f t="shared" si="12"/>
        <v>yes</v>
      </c>
      <c r="V11" s="19" t="str">
        <f t="shared" si="12"/>
        <v>no</v>
      </c>
      <c r="W11" s="19" t="str">
        <f>IF(ISERROR(W315/W358),"no","yes")</f>
        <v>no</v>
      </c>
      <c r="X11" s="19" t="str">
        <f>IF(ISERROR(X315/X358),"no","yes")</f>
        <v>no</v>
      </c>
      <c r="Y11" s="19" t="str">
        <f>IF(ISERROR(Y315/Y358),"no","yes")</f>
        <v>no</v>
      </c>
      <c r="Z11" s="19"/>
      <c r="AA11" s="25"/>
      <c r="AB11" s="19"/>
      <c r="AC11" s="19"/>
      <c r="AY11" s="19"/>
    </row>
    <row r="12" spans="2:52" hidden="1" outlineLevel="1">
      <c r="C12" s="5" t="s">
        <v>348</v>
      </c>
      <c r="D12" s="25" t="str">
        <f t="shared" ref="D12:J12" ca="1" si="13">IF(TODAY()&gt;DATE(D16,MONTH($C$19)+1,1-1),"no","yes")</f>
        <v>no</v>
      </c>
      <c r="E12" s="25" t="str">
        <f t="shared" ca="1" si="13"/>
        <v>no</v>
      </c>
      <c r="F12" s="25" t="str">
        <f t="shared" ca="1" si="13"/>
        <v>no</v>
      </c>
      <c r="G12" s="25" t="str">
        <f t="shared" ca="1" si="13"/>
        <v>no</v>
      </c>
      <c r="H12" s="25" t="str">
        <f t="shared" ca="1" si="13"/>
        <v>no</v>
      </c>
      <c r="I12" s="25" t="str">
        <f t="shared" ca="1" si="13"/>
        <v>no</v>
      </c>
      <c r="J12" s="25" t="str">
        <f t="shared" ca="1" si="13"/>
        <v>no</v>
      </c>
      <c r="K12" s="25" t="str">
        <f t="shared" ref="K12:Q12" ca="1" si="14">IF(TODAY()&gt;DATE(K16,MONTH($C$19)+1,1-1),"no","yes")</f>
        <v>no</v>
      </c>
      <c r="L12" s="25" t="str">
        <f t="shared" ca="1" si="14"/>
        <v>no</v>
      </c>
      <c r="M12" s="25" t="str">
        <f t="shared" ca="1" si="14"/>
        <v>no</v>
      </c>
      <c r="N12" s="25" t="str">
        <f t="shared" ca="1" si="14"/>
        <v>no</v>
      </c>
      <c r="O12" s="25" t="str">
        <f t="shared" ca="1" si="14"/>
        <v>no</v>
      </c>
      <c r="P12" s="25" t="str">
        <f t="shared" ca="1" si="14"/>
        <v>no</v>
      </c>
      <c r="Q12" s="25" t="str">
        <f t="shared" ca="1" si="14"/>
        <v>no</v>
      </c>
      <c r="R12" s="25" t="str">
        <f t="shared" ref="R12:Y12" ca="1" si="15">IF(TODAY()&gt;DATE(R16,MONTH($C$19)+1,1-1),"no","yes")</f>
        <v>no</v>
      </c>
      <c r="S12" s="25" t="str">
        <f t="shared" ca="1" si="15"/>
        <v>no</v>
      </c>
      <c r="T12" s="25" t="str">
        <f t="shared" ca="1" si="15"/>
        <v>no</v>
      </c>
      <c r="U12" s="25" t="str">
        <f t="shared" ca="1" si="15"/>
        <v>no</v>
      </c>
      <c r="V12" s="25" t="str">
        <f t="shared" ca="1" si="15"/>
        <v>no</v>
      </c>
      <c r="W12" s="25" t="str">
        <f t="shared" ca="1" si="15"/>
        <v>no</v>
      </c>
      <c r="X12" s="25" t="str">
        <f t="shared" ca="1" si="15"/>
        <v>yes</v>
      </c>
      <c r="Y12" s="25" t="str">
        <f t="shared" ca="1" si="15"/>
        <v>yes</v>
      </c>
      <c r="Z12" s="25"/>
      <c r="AA12" s="25"/>
      <c r="AB12" s="25"/>
      <c r="AC12" s="25"/>
      <c r="AY12" s="25"/>
    </row>
    <row r="13" spans="2:52" hidden="1" outlineLevel="1">
      <c r="C13" s="5" t="s">
        <v>363</v>
      </c>
      <c r="D13" s="25" t="str">
        <f>IF(AND(DATE(D16,MONTH($C$19)+1,1-1)&gt;DATE(YEAR($C$19),MONTH($C$19)+1,1-1),ISNUMBER(#REF!)),"yes","no")</f>
        <v>no</v>
      </c>
      <c r="E13" s="25" t="str">
        <f>IF(AND(DATE(E16,MONTH($C$19)+1,1-1)&gt;DATE(YEAR($C$19),MONTH($C$19)+1,1-1),ISNUMBER(AE19)),"yes","no")</f>
        <v>no</v>
      </c>
      <c r="F13" s="25" t="str">
        <f>IF(AND(DATE(F16,MONTH($C$19)+1,1-1)&gt;DATE(YEAR($C$19),MONTH($C$19)+1,1-1),ISNUMBER(AF19)),"yes","no")</f>
        <v>no</v>
      </c>
      <c r="G13" s="25" t="str">
        <f>IF(AND(DATE(G16,MONTH($C$19)+1,1-1)&gt;DATE(YEAR($C$19),MONTH($C$19)+1,1-1),ISNUMBER(AG19)),"yes","no")</f>
        <v>no</v>
      </c>
      <c r="H13" s="25" t="str">
        <f>IF(AND(DATE(H16,MONTH($C$19)+1,1-1)&gt;DATE(YEAR($C$19),MONTH($C$19)+1,1-1),ISNUMBER(AH19)),"yes","no")</f>
        <v>no</v>
      </c>
      <c r="I13" s="25" t="str">
        <f>IF(AND(DATE(I16,MONTH($C$19)+1,1-1)&gt;DATE(YEAR($C$19),MONTH($C$19)+1,1-1),ISNUMBER(AI19)),"yes","no")</f>
        <v>no</v>
      </c>
      <c r="J13" s="25" t="str">
        <f t="shared" ref="J13:V13" si="16">IF(AND(DATE(J16,MONTH($C$19)+1,1-1)&gt;DATE(YEAR($C$19),MONTH($C$19)+1,1-1),ISNUMBER(AH19)),"yes","no")</f>
        <v>no</v>
      </c>
      <c r="K13" s="25" t="str">
        <f t="shared" si="16"/>
        <v>no</v>
      </c>
      <c r="L13" s="25" t="str">
        <f t="shared" si="16"/>
        <v>no</v>
      </c>
      <c r="M13" s="25" t="str">
        <f t="shared" si="16"/>
        <v>no</v>
      </c>
      <c r="N13" s="25" t="str">
        <f t="shared" si="16"/>
        <v>no</v>
      </c>
      <c r="O13" s="25" t="str">
        <f t="shared" si="16"/>
        <v>no</v>
      </c>
      <c r="P13" s="25" t="str">
        <f t="shared" si="16"/>
        <v>no</v>
      </c>
      <c r="Q13" s="25" t="str">
        <f t="shared" si="16"/>
        <v>no</v>
      </c>
      <c r="R13" s="25" t="str">
        <f t="shared" si="16"/>
        <v>no</v>
      </c>
      <c r="S13" s="25" t="str">
        <f t="shared" si="16"/>
        <v>no</v>
      </c>
      <c r="T13" s="25" t="str">
        <f t="shared" si="16"/>
        <v>no</v>
      </c>
      <c r="U13" s="25" t="str">
        <f t="shared" si="16"/>
        <v>no</v>
      </c>
      <c r="V13" s="25" t="str">
        <f t="shared" si="16"/>
        <v>yes</v>
      </c>
      <c r="W13" s="25" t="str">
        <f>IF(AND(DATE(W16,MONTH($C$19)+1,1-1)&gt;DATE(YEAR($C$19),MONTH($C$19)+1,1-1),ISNUMBER(AU19)),"yes","no")</f>
        <v>yes</v>
      </c>
      <c r="X13" s="25" t="str">
        <f>IF(AND(DATE(X16,MONTH($C$19)+1,1-1)&gt;DATE(YEAR($C$19),MONTH($C$19)+1,1-1),ISNUMBER(AV19)),"yes","no")</f>
        <v>yes</v>
      </c>
      <c r="Y13" s="25" t="str">
        <f>IF(AND(DATE(Y16,MONTH($C$19)+1,1-1)&gt;DATE(YEAR($C$19),MONTH($C$19)+1,1-1),ISNUMBER(AW19)),"yes","no")</f>
        <v>yes</v>
      </c>
      <c r="Z13" s="25"/>
      <c r="AA13" s="25"/>
      <c r="AB13" s="25"/>
      <c r="AC13" s="25"/>
      <c r="AY13" s="25"/>
    </row>
    <row r="14" spans="2:52" collapsed="1">
      <c r="D14" s="20" t="str">
        <f t="shared" ref="D14:O14" si="17">"FY"&amp;D16</f>
        <v>FY2004</v>
      </c>
      <c r="E14" s="20" t="str">
        <f t="shared" si="17"/>
        <v>FY2005</v>
      </c>
      <c r="F14" s="20" t="str">
        <f t="shared" si="17"/>
        <v>FY2006</v>
      </c>
      <c r="G14" s="20" t="str">
        <f t="shared" si="17"/>
        <v>FY2007</v>
      </c>
      <c r="H14" s="20" t="str">
        <f t="shared" si="17"/>
        <v>FY2008</v>
      </c>
      <c r="I14" s="20" t="str">
        <f t="shared" si="17"/>
        <v>FY2009</v>
      </c>
      <c r="J14" s="20" t="str">
        <f t="shared" si="17"/>
        <v>FY2010</v>
      </c>
      <c r="K14" s="20" t="str">
        <f t="shared" si="17"/>
        <v>FY2011</v>
      </c>
      <c r="L14" s="20" t="str">
        <f t="shared" si="17"/>
        <v>FY2012</v>
      </c>
      <c r="M14" s="20" t="str">
        <f t="shared" si="17"/>
        <v>FY2013</v>
      </c>
      <c r="N14" s="20" t="str">
        <f t="shared" si="17"/>
        <v>FY2014</v>
      </c>
      <c r="O14" s="20" t="str">
        <f t="shared" si="17"/>
        <v>FY2015</v>
      </c>
      <c r="P14" s="20" t="str">
        <f t="shared" ref="P14:Y14" si="18">"FY"&amp;P16</f>
        <v>FY2016</v>
      </c>
      <c r="Q14" s="20" t="str">
        <f t="shared" si="18"/>
        <v>FY2017</v>
      </c>
      <c r="R14" s="20" t="str">
        <f t="shared" si="18"/>
        <v>FY2018</v>
      </c>
      <c r="S14" s="20" t="str">
        <f t="shared" si="18"/>
        <v>FY2019</v>
      </c>
      <c r="T14" s="20" t="str">
        <f t="shared" si="18"/>
        <v>FY2020</v>
      </c>
      <c r="U14" s="20" t="str">
        <f t="shared" si="18"/>
        <v>FY2021</v>
      </c>
      <c r="V14" s="20" t="str">
        <f t="shared" si="18"/>
        <v>FY2022</v>
      </c>
      <c r="W14" s="20" t="str">
        <f t="shared" si="18"/>
        <v>FY2023</v>
      </c>
      <c r="X14" s="20" t="str">
        <f t="shared" si="18"/>
        <v>FY2024</v>
      </c>
      <c r="Y14" s="20" t="str">
        <f t="shared" si="18"/>
        <v>FY2025</v>
      </c>
      <c r="AA14" s="25"/>
      <c r="AJ14" s="20" t="str">
        <f t="shared" ref="AJ14:AO14" si="19">AJ16&amp;"E"</f>
        <v>2012E</v>
      </c>
      <c r="AK14" s="20" t="str">
        <f t="shared" si="19"/>
        <v>2013E</v>
      </c>
      <c r="AL14" s="20" t="str">
        <f t="shared" si="19"/>
        <v>2014E</v>
      </c>
      <c r="AM14" s="20" t="str">
        <f t="shared" si="19"/>
        <v>2015E</v>
      </c>
      <c r="AN14" s="20" t="str">
        <f t="shared" si="19"/>
        <v>2016E</v>
      </c>
      <c r="AO14" s="20" t="str">
        <f t="shared" si="19"/>
        <v>2017E</v>
      </c>
      <c r="AP14" s="20" t="str">
        <f t="shared" ref="AP14:AW14" si="20">AP16&amp;"E"</f>
        <v>2018E</v>
      </c>
      <c r="AQ14" s="20" t="str">
        <f t="shared" si="20"/>
        <v>2019E</v>
      </c>
      <c r="AR14" s="20" t="str">
        <f t="shared" si="20"/>
        <v>2020E</v>
      </c>
      <c r="AS14" s="20" t="str">
        <f t="shared" si="20"/>
        <v>2021E</v>
      </c>
      <c r="AT14" s="20" t="str">
        <f t="shared" si="20"/>
        <v>2022E</v>
      </c>
      <c r="AU14" s="20" t="str">
        <f t="shared" si="20"/>
        <v>2023E</v>
      </c>
      <c r="AV14" s="20" t="str">
        <f t="shared" si="20"/>
        <v>2024E</v>
      </c>
      <c r="AW14" s="20" t="str">
        <f t="shared" si="20"/>
        <v>2025E</v>
      </c>
      <c r="AX14" s="20"/>
    </row>
    <row r="15" spans="2:52" ht="13.15">
      <c r="D15" s="8" t="str">
        <f t="shared" ref="D15:L15" si="21">D8</f>
        <v>A</v>
      </c>
      <c r="E15" s="8" t="str">
        <f t="shared" si="21"/>
        <v>A</v>
      </c>
      <c r="F15" s="8" t="str">
        <f t="shared" si="21"/>
        <v>A</v>
      </c>
      <c r="G15" s="8" t="str">
        <f t="shared" si="21"/>
        <v>A</v>
      </c>
      <c r="H15" s="8" t="str">
        <f t="shared" si="21"/>
        <v>A</v>
      </c>
      <c r="I15" s="8" t="str">
        <f t="shared" si="21"/>
        <v>A</v>
      </c>
      <c r="J15" s="8" t="str">
        <f t="shared" si="21"/>
        <v>A</v>
      </c>
      <c r="K15" s="8" t="str">
        <f t="shared" si="21"/>
        <v>A</v>
      </c>
      <c r="L15" s="8" t="str">
        <f t="shared" si="21"/>
        <v>A</v>
      </c>
      <c r="M15" s="8" t="str">
        <f t="shared" ref="M15:R15" si="22">M8</f>
        <v>A</v>
      </c>
      <c r="N15" s="8" t="str">
        <f t="shared" si="22"/>
        <v>A</v>
      </c>
      <c r="O15" s="8" t="str">
        <f t="shared" si="22"/>
        <v>A</v>
      </c>
      <c r="P15" s="8" t="str">
        <f t="shared" si="22"/>
        <v>A</v>
      </c>
      <c r="Q15" s="8" t="str">
        <f t="shared" si="22"/>
        <v>A</v>
      </c>
      <c r="R15" s="8" t="str">
        <f t="shared" si="22"/>
        <v>A</v>
      </c>
      <c r="S15" s="8" t="str">
        <f t="shared" ref="S15:Y15" si="23">S8</f>
        <v>A</v>
      </c>
      <c r="T15" s="8" t="str">
        <f t="shared" si="23"/>
        <v>A</v>
      </c>
      <c r="U15" s="8" t="str">
        <f t="shared" si="23"/>
        <v>A</v>
      </c>
      <c r="V15" s="8" t="str">
        <f t="shared" si="23"/>
        <v>E</v>
      </c>
      <c r="W15" s="8" t="str">
        <f t="shared" si="23"/>
        <v>E</v>
      </c>
      <c r="X15" s="8" t="str">
        <f t="shared" si="23"/>
        <v>E</v>
      </c>
      <c r="Y15" s="8" t="str">
        <f t="shared" si="23"/>
        <v>E</v>
      </c>
      <c r="Z15" s="8"/>
      <c r="AA15" s="25"/>
      <c r="AY15" s="8"/>
    </row>
    <row r="16" spans="2:52" ht="13.15">
      <c r="D16" s="8">
        <f t="shared" ref="D16:O16" si="24">YEAR(D6)</f>
        <v>2004</v>
      </c>
      <c r="E16" s="8">
        <f t="shared" si="24"/>
        <v>2005</v>
      </c>
      <c r="F16" s="8">
        <f t="shared" si="24"/>
        <v>2006</v>
      </c>
      <c r="G16" s="8">
        <f t="shared" si="24"/>
        <v>2007</v>
      </c>
      <c r="H16" s="8">
        <f t="shared" si="24"/>
        <v>2008</v>
      </c>
      <c r="I16" s="8">
        <f t="shared" si="24"/>
        <v>2009</v>
      </c>
      <c r="J16" s="8">
        <f t="shared" si="24"/>
        <v>2010</v>
      </c>
      <c r="K16" s="8">
        <f t="shared" si="24"/>
        <v>2011</v>
      </c>
      <c r="L16" s="8">
        <f t="shared" si="24"/>
        <v>2012</v>
      </c>
      <c r="M16" s="8">
        <f t="shared" si="24"/>
        <v>2013</v>
      </c>
      <c r="N16" s="8">
        <f t="shared" si="24"/>
        <v>2014</v>
      </c>
      <c r="O16" s="8">
        <f t="shared" si="24"/>
        <v>2015</v>
      </c>
      <c r="P16" s="8">
        <f t="shared" ref="P16:U16" si="25">YEAR(P6)</f>
        <v>2016</v>
      </c>
      <c r="Q16" s="8">
        <f t="shared" si="25"/>
        <v>2017</v>
      </c>
      <c r="R16" s="8">
        <f t="shared" si="25"/>
        <v>2018</v>
      </c>
      <c r="S16" s="8">
        <f t="shared" si="25"/>
        <v>2019</v>
      </c>
      <c r="T16" s="8">
        <f t="shared" si="25"/>
        <v>2020</v>
      </c>
      <c r="U16" s="8">
        <f t="shared" si="25"/>
        <v>2021</v>
      </c>
      <c r="V16" s="8">
        <f>YEAR(V6)/1</f>
        <v>2022</v>
      </c>
      <c r="W16" s="8">
        <f>YEAR(W6)</f>
        <v>2023</v>
      </c>
      <c r="X16" s="8">
        <f>YEAR(X6)</f>
        <v>2024</v>
      </c>
      <c r="Y16" s="8">
        <f>YEAR(Y6)</f>
        <v>2025</v>
      </c>
      <c r="Z16" s="8"/>
      <c r="AA16" s="25"/>
      <c r="AE16" s="8"/>
      <c r="AF16" s="9"/>
      <c r="AG16" s="9"/>
      <c r="AH16" s="5" t="s">
        <v>126</v>
      </c>
      <c r="AJ16" s="7">
        <f t="shared" ref="AJ16:AO16" si="26">SUBSTITUTE(AJ4,"Y","")+2000</f>
        <v>2012</v>
      </c>
      <c r="AK16" s="7">
        <f t="shared" si="26"/>
        <v>2013</v>
      </c>
      <c r="AL16" s="7">
        <f t="shared" si="26"/>
        <v>2014</v>
      </c>
      <c r="AM16" s="7">
        <f t="shared" si="26"/>
        <v>2015</v>
      </c>
      <c r="AN16" s="7">
        <f t="shared" si="26"/>
        <v>2016</v>
      </c>
      <c r="AO16" s="7">
        <f t="shared" si="26"/>
        <v>2017</v>
      </c>
      <c r="AP16" s="7">
        <f t="shared" ref="AP16:AW16" si="27">SUBSTITUTE(AP4,"Y","")+2000</f>
        <v>2018</v>
      </c>
      <c r="AQ16" s="7">
        <f t="shared" si="27"/>
        <v>2019</v>
      </c>
      <c r="AR16" s="7">
        <f t="shared" si="27"/>
        <v>2020</v>
      </c>
      <c r="AS16" s="7">
        <f t="shared" si="27"/>
        <v>2021</v>
      </c>
      <c r="AT16" s="7">
        <f t="shared" si="27"/>
        <v>2022</v>
      </c>
      <c r="AU16" s="7">
        <f t="shared" si="27"/>
        <v>2023</v>
      </c>
      <c r="AV16" s="7">
        <f t="shared" si="27"/>
        <v>2024</v>
      </c>
      <c r="AW16" s="7">
        <f t="shared" si="27"/>
        <v>2025</v>
      </c>
      <c r="AX16" s="7"/>
      <c r="AY16" s="8"/>
      <c r="AZ16" s="5"/>
    </row>
    <row r="17" spans="2:53" ht="13.15">
      <c r="B17" s="5" t="s">
        <v>4</v>
      </c>
      <c r="C17" s="20" t="s">
        <v>3801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5"/>
      <c r="AD17" s="12" t="s">
        <v>1584</v>
      </c>
      <c r="AG17" s="9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5"/>
    </row>
    <row r="18" spans="2:53" ht="13.15" hidden="1" outlineLevel="1">
      <c r="B18" s="5" t="s">
        <v>10</v>
      </c>
      <c r="C18" s="20" t="s">
        <v>3809</v>
      </c>
      <c r="D18" s="7"/>
      <c r="E18" s="7"/>
      <c r="F18" s="7"/>
      <c r="G18" s="7"/>
      <c r="H18" s="7"/>
      <c r="I18" s="7"/>
      <c r="J18" s="7"/>
      <c r="K18" s="7" t="s">
        <v>342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/>
      <c r="AD18" s="12"/>
      <c r="AE18" s="30"/>
      <c r="AF18" s="30"/>
      <c r="AG18" s="9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7"/>
      <c r="AZ18" s="15"/>
    </row>
    <row r="19" spans="2:53" ht="13.15" hidden="1" outlineLevel="1">
      <c r="B19" s="5" t="s">
        <v>13</v>
      </c>
      <c r="C19" s="28">
        <v>44208</v>
      </c>
      <c r="D19" s="59"/>
      <c r="E19" s="7"/>
      <c r="F19" s="7"/>
      <c r="G19" s="7"/>
      <c r="H19" s="7"/>
      <c r="I19" s="7"/>
      <c r="J19" s="7"/>
      <c r="M19" s="97"/>
      <c r="N19" s="5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5"/>
      <c r="AD19" s="33" t="s">
        <v>1587</v>
      </c>
      <c r="AE19" s="11"/>
      <c r="AF19" s="11"/>
      <c r="AG19" s="76">
        <v>1</v>
      </c>
      <c r="AH19" s="5" t="s">
        <v>1552</v>
      </c>
      <c r="AK19" s="16"/>
      <c r="AL19" s="16"/>
      <c r="AM19" s="16"/>
      <c r="AN19" s="16"/>
      <c r="AO19" s="16"/>
      <c r="AP19" s="16"/>
      <c r="AQ19" s="16">
        <v>250082.14300000001</v>
      </c>
      <c r="AR19" s="16">
        <v>221235.09099999999</v>
      </c>
      <c r="AS19" s="16">
        <v>247553.391</v>
      </c>
      <c r="AT19" s="16">
        <v>278170.7</v>
      </c>
      <c r="AU19" s="16">
        <v>290361.09999999998</v>
      </c>
      <c r="AV19" s="16">
        <v>298282.533</v>
      </c>
      <c r="AW19" s="16">
        <v>314244.33299999998</v>
      </c>
      <c r="AX19" s="16"/>
      <c r="AY19" s="23"/>
      <c r="BA19" s="5" t="s">
        <v>144</v>
      </c>
    </row>
    <row r="20" spans="2:53" ht="13.15" hidden="1" outlineLevel="1">
      <c r="B20" s="5" t="s">
        <v>14</v>
      </c>
      <c r="C20" s="20" t="s">
        <v>3629</v>
      </c>
      <c r="D20" s="7"/>
      <c r="E20" s="7"/>
      <c r="F20" s="7"/>
      <c r="G20" s="7"/>
      <c r="H20" s="7"/>
      <c r="I20" s="7"/>
      <c r="J20" s="7"/>
      <c r="K20" s="7" t="s">
        <v>343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5"/>
      <c r="AD20" s="5" t="s">
        <v>1586</v>
      </c>
      <c r="AG20" s="9"/>
      <c r="AJ20" s="25"/>
      <c r="AK20" s="16"/>
      <c r="AL20" s="16"/>
      <c r="AM20" s="16"/>
      <c r="AN20" s="16"/>
      <c r="AO20" s="16"/>
      <c r="AP20" s="16"/>
      <c r="AQ20" s="16">
        <v>37704.364000000001</v>
      </c>
      <c r="AR20" s="16">
        <v>31383.842000000001</v>
      </c>
      <c r="AS20" s="16">
        <v>45666.142999999996</v>
      </c>
      <c r="AT20" s="16">
        <v>44369.610999999997</v>
      </c>
      <c r="AU20" s="16">
        <v>45314.167000000001</v>
      </c>
      <c r="AV20" s="16">
        <v>45844.582999999999</v>
      </c>
      <c r="AW20" s="16">
        <v>49667</v>
      </c>
      <c r="AX20" s="16"/>
      <c r="AY20" s="7"/>
      <c r="BA20" s="5" t="s">
        <v>140</v>
      </c>
    </row>
    <row r="21" spans="2:53" ht="13.15" hidden="1" outlineLevel="1">
      <c r="B21" s="5" t="s">
        <v>415</v>
      </c>
      <c r="C21" s="5">
        <v>142</v>
      </c>
      <c r="D21" s="7"/>
      <c r="F21" s="7"/>
      <c r="G21" s="7"/>
      <c r="H21" s="7"/>
      <c r="I21" s="7"/>
      <c r="J21" s="7"/>
      <c r="K21" s="23"/>
      <c r="L21" s="84" t="s">
        <v>124</v>
      </c>
      <c r="M21" s="5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5"/>
      <c r="AG21" s="9"/>
      <c r="AK21" s="16"/>
      <c r="AL21" s="16"/>
      <c r="AM21" s="16"/>
      <c r="AN21" s="16"/>
      <c r="AO21" s="16"/>
      <c r="AP21" s="16"/>
      <c r="AQ21" s="16">
        <v>18541.25</v>
      </c>
      <c r="AR21" s="16">
        <v>9924.857</v>
      </c>
      <c r="AS21" s="16">
        <v>18498.857</v>
      </c>
      <c r="AT21" s="16">
        <v>22090.618999999999</v>
      </c>
      <c r="AU21" s="16">
        <v>22221</v>
      </c>
      <c r="AV21" s="16">
        <v>23652.562999999998</v>
      </c>
      <c r="AW21" s="16">
        <v>25526.2</v>
      </c>
      <c r="AX21" s="16"/>
      <c r="AY21" s="7"/>
      <c r="BA21" s="5" t="s">
        <v>148</v>
      </c>
    </row>
    <row r="22" spans="2:53" ht="13.15" hidden="1" outlineLevel="1">
      <c r="B22" s="5" t="s">
        <v>416</v>
      </c>
      <c r="C22" s="5">
        <v>142</v>
      </c>
      <c r="D22" s="7"/>
      <c r="E22" s="7"/>
      <c r="F22" s="7"/>
      <c r="G22" s="7"/>
      <c r="H22" s="7"/>
      <c r="I22" s="7"/>
      <c r="J22" s="7"/>
      <c r="K22" s="7"/>
      <c r="L22" s="51" t="s">
        <v>341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5"/>
      <c r="AG22" s="9"/>
      <c r="AK22" s="16"/>
      <c r="AL22" s="16"/>
      <c r="AM22" s="16"/>
      <c r="AN22" s="16"/>
      <c r="AO22" s="16"/>
      <c r="AP22" s="16"/>
      <c r="AQ22" s="16">
        <v>18134.417000000001</v>
      </c>
      <c r="AR22" s="16">
        <v>9924.857</v>
      </c>
      <c r="AS22" s="16">
        <v>18498.857</v>
      </c>
      <c r="AT22" s="16">
        <v>22090.618999999999</v>
      </c>
      <c r="AU22" s="16">
        <v>22221</v>
      </c>
      <c r="AV22" s="16">
        <v>23652.562999999998</v>
      </c>
      <c r="AW22" s="16">
        <v>25526.2</v>
      </c>
      <c r="AX22" s="16"/>
      <c r="AY22" s="7"/>
      <c r="BA22" s="5" t="s">
        <v>151</v>
      </c>
    </row>
    <row r="23" spans="2:53" ht="13.5" hidden="1" outlineLevel="1" thickBot="1">
      <c r="B23" s="5" t="s">
        <v>418</v>
      </c>
      <c r="C23" s="5">
        <v>83728.445699999997</v>
      </c>
      <c r="D23" s="7"/>
      <c r="E23" s="5" t="s">
        <v>118</v>
      </c>
      <c r="F23" s="5"/>
      <c r="I23" s="7"/>
      <c r="J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25"/>
      <c r="AG23" s="9"/>
      <c r="AJ23" s="25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7"/>
    </row>
    <row r="24" spans="2:53" ht="13.5" hidden="1" outlineLevel="1" thickBot="1">
      <c r="B24" s="5" t="s">
        <v>417</v>
      </c>
      <c r="C24" s="5">
        <v>83728.445699999997</v>
      </c>
      <c r="D24" s="7"/>
      <c r="E24" s="26">
        <v>0</v>
      </c>
      <c r="F24" s="5" t="s">
        <v>119</v>
      </c>
      <c r="I24" s="7"/>
      <c r="J24" s="7"/>
      <c r="M24" s="23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25"/>
      <c r="AG24" s="9"/>
      <c r="AH24" s="23"/>
      <c r="AJ24" s="25"/>
      <c r="AK24" s="16"/>
      <c r="AL24" s="16"/>
      <c r="AM24" s="16"/>
      <c r="AN24" s="16"/>
      <c r="AO24" s="16"/>
      <c r="AP24" s="16"/>
      <c r="AQ24" s="16">
        <v>-22787.832999999999</v>
      </c>
      <c r="AR24" s="16">
        <v>-20301</v>
      </c>
      <c r="AS24" s="16">
        <v>-19339.909</v>
      </c>
      <c r="AT24" s="16">
        <v>-25245.143</v>
      </c>
      <c r="AU24" s="16">
        <v>-27233.388999999999</v>
      </c>
      <c r="AV24" s="16">
        <v>-30756.726999999999</v>
      </c>
      <c r="AW24" s="16">
        <v>-33433.5</v>
      </c>
      <c r="AX24" s="16"/>
      <c r="AY24" s="7"/>
      <c r="BA24" s="5" t="s">
        <v>152</v>
      </c>
    </row>
    <row r="25" spans="2:53" ht="13.5" hidden="1" outlineLevel="1" thickBot="1">
      <c r="D25" s="7"/>
      <c r="E25" s="26">
        <v>0</v>
      </c>
      <c r="F25" s="5" t="s">
        <v>122</v>
      </c>
      <c r="I25" s="7"/>
      <c r="J25" s="7"/>
      <c r="AA25" s="25"/>
      <c r="AG25" s="9"/>
      <c r="AJ25" s="25">
        <v>-70.75</v>
      </c>
      <c r="AK25" s="16"/>
      <c r="AL25" s="16"/>
      <c r="AM25" s="16"/>
      <c r="AN25" s="16"/>
      <c r="AO25" s="16"/>
      <c r="AP25" s="16"/>
      <c r="AQ25" s="16">
        <v>-20607.214</v>
      </c>
      <c r="AR25" s="16">
        <v>-16145.6</v>
      </c>
      <c r="AS25" s="16">
        <v>-16201.5</v>
      </c>
      <c r="AT25" s="16">
        <v>-19611.544999999998</v>
      </c>
      <c r="AU25" s="16">
        <v>-20830</v>
      </c>
      <c r="AV25" s="16">
        <v>-22177.332999999999</v>
      </c>
      <c r="AW25" s="16">
        <v>-23946.332999999999</v>
      </c>
      <c r="AX25" s="16"/>
      <c r="BA25" s="5" t="s">
        <v>397</v>
      </c>
    </row>
    <row r="26" spans="2:53" ht="13.15" hidden="1" outlineLevel="1" thickBot="1">
      <c r="D26" s="5"/>
      <c r="E26" s="26"/>
      <c r="F26" s="5" t="s">
        <v>123</v>
      </c>
      <c r="I26" s="5"/>
      <c r="J26" s="23"/>
      <c r="AA26" s="25"/>
      <c r="AB26" s="5"/>
      <c r="AC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Z26" s="5"/>
    </row>
    <row r="27" spans="2:53" hidden="1" outlineLevel="1">
      <c r="D27" s="5"/>
      <c r="E27" s="5"/>
      <c r="F27" s="5"/>
      <c r="G27" s="5"/>
      <c r="H27" s="5"/>
      <c r="I27" s="5"/>
      <c r="J27" s="23"/>
      <c r="N27" s="23"/>
      <c r="O27" s="5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5"/>
      <c r="AB27" s="5"/>
      <c r="AC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3"/>
      <c r="AZ27" s="5"/>
    </row>
    <row r="28" spans="2:53" collapsed="1">
      <c r="AA28" s="25"/>
    </row>
    <row r="29" spans="2:53" ht="13.15">
      <c r="C29" s="12" t="s">
        <v>292</v>
      </c>
      <c r="AA29" s="25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Z29" s="5"/>
    </row>
    <row r="30" spans="2:53">
      <c r="AA30" s="25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Z30" s="5"/>
    </row>
    <row r="31" spans="2:53">
      <c r="C31" s="5" t="s">
        <v>132</v>
      </c>
      <c r="D31" s="32">
        <f t="shared" ref="D31:R31" si="28">IFERROR(D151/D$145,"…")</f>
        <v>0.11240628126299698</v>
      </c>
      <c r="E31" s="32">
        <f t="shared" si="28"/>
        <v>0.11623000377881346</v>
      </c>
      <c r="F31" s="32">
        <f t="shared" si="28"/>
        <v>0.11297258641239571</v>
      </c>
      <c r="G31" s="32">
        <f t="shared" si="28"/>
        <v>0.14689109892834512</v>
      </c>
      <c r="H31" s="32">
        <f t="shared" si="28"/>
        <v>0.12950759173344581</v>
      </c>
      <c r="I31" s="32">
        <f t="shared" si="28"/>
        <v>0.10187570707406809</v>
      </c>
      <c r="J31" s="106">
        <f t="shared" si="28"/>
        <v>0.13580295566502462</v>
      </c>
      <c r="K31" s="106">
        <f t="shared" si="28"/>
        <v>0.1355868379597959</v>
      </c>
      <c r="L31" s="106">
        <f t="shared" si="28"/>
        <v>0.12773775664846684</v>
      </c>
      <c r="M31" s="106">
        <f t="shared" si="28"/>
        <v>0.13360438969173685</v>
      </c>
      <c r="N31" s="106">
        <f t="shared" si="28"/>
        <v>0.14564996196742042</v>
      </c>
      <c r="O31" s="106">
        <f t="shared" si="28"/>
        <v>7.3078221405397298E-2</v>
      </c>
      <c r="P31" s="106">
        <f t="shared" si="28"/>
        <v>0.12839501627030336</v>
      </c>
      <c r="Q31" s="106">
        <f t="shared" si="28"/>
        <v>0.15540007456151758</v>
      </c>
      <c r="R31" s="106">
        <f t="shared" si="28"/>
        <v>0.15395867695008247</v>
      </c>
      <c r="S31" s="106">
        <f t="shared" ref="S31:Y31" si="29">IFERROR(S151/S$145,"…")</f>
        <v>0.15445390924348459</v>
      </c>
      <c r="T31" s="106">
        <f t="shared" si="29"/>
        <v>0.16133504423825848</v>
      </c>
      <c r="U31" s="106">
        <f t="shared" si="29"/>
        <v>0.18327338129496404</v>
      </c>
      <c r="V31" s="106">
        <f t="shared" si="29"/>
        <v>0.15950497662047081</v>
      </c>
      <c r="W31" s="106">
        <f t="shared" si="29"/>
        <v>0.15606142489472594</v>
      </c>
      <c r="X31" s="106">
        <f t="shared" si="29"/>
        <v>0.1536951645774042</v>
      </c>
      <c r="Y31" s="106">
        <f t="shared" si="29"/>
        <v>0.15805217400690566</v>
      </c>
      <c r="Z31" s="106"/>
      <c r="AA31" s="25"/>
      <c r="AB31" s="31"/>
      <c r="AC31" s="31"/>
      <c r="AE31" s="30"/>
      <c r="AF31" s="30"/>
      <c r="AJ31" s="31"/>
      <c r="AY31" s="106"/>
      <c r="AZ31" s="27"/>
    </row>
    <row r="32" spans="2:53">
      <c r="C32" s="5" t="s">
        <v>133</v>
      </c>
      <c r="D32" s="32">
        <f t="shared" ref="D32:T32" si="30">IFERROR(D179/D$145,"…")</f>
        <v>5.6989984600339466E-2</v>
      </c>
      <c r="E32" s="32">
        <f t="shared" si="30"/>
        <v>6.1510685644707561E-2</v>
      </c>
      <c r="F32" s="32">
        <f t="shared" si="30"/>
        <v>6.7337306317044099E-2</v>
      </c>
      <c r="G32" s="32">
        <f t="shared" si="30"/>
        <v>0.10253725997961376</v>
      </c>
      <c r="H32" s="32">
        <f t="shared" si="30"/>
        <v>8.8868972304231686E-2</v>
      </c>
      <c r="I32" s="32">
        <f t="shared" si="30"/>
        <v>5.8391246066529137E-2</v>
      </c>
      <c r="J32" s="106">
        <f t="shared" si="30"/>
        <v>9.8514285714285721E-2</v>
      </c>
      <c r="K32" s="106">
        <f t="shared" si="30"/>
        <v>0.10472771547098289</v>
      </c>
      <c r="L32" s="106">
        <f t="shared" si="30"/>
        <v>9.6758288525815361E-2</v>
      </c>
      <c r="M32" s="106">
        <f t="shared" si="30"/>
        <v>9.9651281426548291E-2</v>
      </c>
      <c r="N32" s="106">
        <f t="shared" si="30"/>
        <v>0.10856078791650614</v>
      </c>
      <c r="O32" s="106">
        <f t="shared" si="30"/>
        <v>1.1730397764566886E-2</v>
      </c>
      <c r="P32" s="106">
        <f t="shared" si="30"/>
        <v>5.7661771000658175E-2</v>
      </c>
      <c r="Q32" s="106">
        <f t="shared" si="30"/>
        <v>8.2728604745927289E-2</v>
      </c>
      <c r="R32" s="106">
        <f t="shared" si="30"/>
        <v>8.1140899473815878E-2</v>
      </c>
      <c r="S32" s="106">
        <f t="shared" si="30"/>
        <v>7.6569872383546025E-2</v>
      </c>
      <c r="T32" s="106">
        <f t="shared" si="30"/>
        <v>6.9358949049729904E-2</v>
      </c>
      <c r="U32" s="106">
        <f>IFERROR(U179/U$145,"…")</f>
        <v>9.3177458033573135E-2</v>
      </c>
      <c r="V32" s="106">
        <f>IFERROR(V179/V$145,"…")</f>
        <v>6.8785607827572204E-2</v>
      </c>
      <c r="W32" s="106">
        <f>IFERROR(W179/W$145,"…")</f>
        <v>7.2104376049487134E-2</v>
      </c>
      <c r="X32" s="106">
        <f>IFERROR(X179/X$145,"…")</f>
        <v>7.506459029565353E-2</v>
      </c>
      <c r="Y32" s="106">
        <f>IFERROR(Y179/Y$145,"…")</f>
        <v>8.644230537070989E-2</v>
      </c>
      <c r="Z32" s="106"/>
      <c r="AA32" s="25"/>
      <c r="AB32" s="31"/>
      <c r="AC32" s="31"/>
      <c r="AE32" s="30"/>
      <c r="AF32" s="30"/>
      <c r="AJ32" s="31"/>
      <c r="AY32" s="106"/>
      <c r="AZ32" s="27"/>
    </row>
    <row r="33" spans="1:54">
      <c r="C33" s="5" t="s">
        <v>338</v>
      </c>
      <c r="D33" s="32">
        <f t="shared" ref="D33:T33" si="31">IFERROR(D221/D$145,"…")</f>
        <v>1.9086586558456888E-2</v>
      </c>
      <c r="E33" s="32">
        <f t="shared" si="31"/>
        <v>2.5454507284712602E-2</v>
      </c>
      <c r="F33" s="32">
        <f t="shared" si="31"/>
        <v>3.3106078665077476E-2</v>
      </c>
      <c r="G33" s="32">
        <f t="shared" si="31"/>
        <v>6.3711580667970655E-2</v>
      </c>
      <c r="H33" s="32">
        <f t="shared" si="31"/>
        <v>5.564635175031632E-2</v>
      </c>
      <c r="I33" s="32">
        <f t="shared" si="31"/>
        <v>1.7635259109966061E-2</v>
      </c>
      <c r="J33" s="106">
        <f t="shared" si="31"/>
        <v>5.6283743842364529E-2</v>
      </c>
      <c r="K33" s="106">
        <f t="shared" si="31"/>
        <v>7.0736865888023498E-2</v>
      </c>
      <c r="L33" s="106">
        <f t="shared" si="31"/>
        <v>5.9675309846581828E-2</v>
      </c>
      <c r="M33" s="106">
        <f t="shared" si="31"/>
        <v>5.9241549792646959E-2</v>
      </c>
      <c r="N33" s="106">
        <f t="shared" si="31"/>
        <v>6.2714241966234971E-2</v>
      </c>
      <c r="O33" s="106">
        <f t="shared" si="31"/>
        <v>-1.9077133694653338E-2</v>
      </c>
      <c r="P33" s="106">
        <f t="shared" si="31"/>
        <v>3.2692493567822084E-2</v>
      </c>
      <c r="Q33" s="106">
        <f t="shared" si="31"/>
        <v>5.9900642442843398E-2</v>
      </c>
      <c r="R33" s="106">
        <f t="shared" si="31"/>
        <v>5.9020814164995397E-2</v>
      </c>
      <c r="S33" s="106">
        <f t="shared" si="31"/>
        <v>5.7846986921688465E-2</v>
      </c>
      <c r="T33" s="106">
        <f t="shared" si="31"/>
        <v>4.5808582042676911E-2</v>
      </c>
      <c r="U33" s="106">
        <f>IFERROR(U221/U$145,"…")</f>
        <v>7.4236610711430853E-2</v>
      </c>
      <c r="V33" s="106">
        <f>IFERROR(V221/V$145,"…")</f>
        <v>7.9413895856033714E-2</v>
      </c>
      <c r="W33" s="106">
        <f>IFERROR(W221/W$145,"…")</f>
        <v>7.6528846322734004E-2</v>
      </c>
      <c r="X33" s="106">
        <f>IFERROR(X221/X$145,"…")</f>
        <v>7.9295836608709494E-2</v>
      </c>
      <c r="Y33" s="106">
        <f>IFERROR(Y221/Y$145,"…")</f>
        <v>8.1230422697869314E-2</v>
      </c>
      <c r="Z33" s="106"/>
      <c r="AA33" s="25"/>
      <c r="AB33" s="31"/>
      <c r="AC33" s="31"/>
      <c r="AE33" s="30"/>
      <c r="AF33" s="30"/>
      <c r="AJ33" s="31"/>
      <c r="AY33" s="106"/>
      <c r="AZ33" s="27"/>
    </row>
    <row r="34" spans="1:54">
      <c r="C34" s="5" t="s">
        <v>339</v>
      </c>
      <c r="D34" s="32" t="str">
        <f t="shared" ref="D34:T34" si="32">IFERROR(D227/D$145,"…")</f>
        <v>…</v>
      </c>
      <c r="E34" s="32" t="str">
        <f t="shared" si="32"/>
        <v>…</v>
      </c>
      <c r="F34" s="32">
        <f t="shared" si="32"/>
        <v>5.4644435756853391E-2</v>
      </c>
      <c r="G34" s="32">
        <f t="shared" si="32"/>
        <v>7.8097497635380236E-2</v>
      </c>
      <c r="H34" s="32">
        <f t="shared" si="32"/>
        <v>7.2447733902713335E-2</v>
      </c>
      <c r="I34" s="32">
        <f t="shared" si="32"/>
        <v>5.3199425784555124E-2</v>
      </c>
      <c r="J34" s="106">
        <f t="shared" si="32"/>
        <v>8.1961236650246294E-2</v>
      </c>
      <c r="K34" s="106">
        <f t="shared" si="32"/>
        <v>8.395229795967038E-2</v>
      </c>
      <c r="L34" s="106">
        <f t="shared" si="32"/>
        <v>7.9166007183043036E-2</v>
      </c>
      <c r="M34" s="106">
        <f t="shared" si="32"/>
        <v>8.214540346282112E-2</v>
      </c>
      <c r="N34" s="106">
        <f t="shared" si="32"/>
        <v>9.0009915142893832E-2</v>
      </c>
      <c r="O34" s="106">
        <f t="shared" si="32"/>
        <v>1.7400121898617858E-2</v>
      </c>
      <c r="P34" s="106">
        <f t="shared" si="32"/>
        <v>4.7945561912301454E-2</v>
      </c>
      <c r="Q34" s="106">
        <f t="shared" si="32"/>
        <v>6.488420336220424E-2</v>
      </c>
      <c r="R34" s="106">
        <f t="shared" si="32"/>
        <v>6.3434655224317252E-2</v>
      </c>
      <c r="S34" s="106">
        <f t="shared" si="32"/>
        <v>5.9215776307039489E-2</v>
      </c>
      <c r="T34" s="106">
        <f t="shared" si="32"/>
        <v>5.5616374436926831E-2</v>
      </c>
      <c r="U34" s="106">
        <f>IFERROR(U227/U$145,"…")</f>
        <v>7.1218268585131889E-2</v>
      </c>
      <c r="V34" s="106">
        <f>IFERROR(V227/V$145,"…")</f>
        <v>4.5294977433357433E-2</v>
      </c>
      <c r="W34" s="106">
        <f>IFERROR(W227/W$145,"…")</f>
        <v>4.9467143307222426E-2</v>
      </c>
      <c r="X34" s="106">
        <f>IFERROR(X227/X$145,"…")</f>
        <v>5.1608881826797258E-2</v>
      </c>
      <c r="Y34" s="106">
        <f>IFERROR(Y227/Y$145,"…")</f>
        <v>6.2414346336680145E-2</v>
      </c>
      <c r="Z34" s="106"/>
      <c r="AA34" s="25"/>
      <c r="AB34" s="23"/>
      <c r="AC34" s="23"/>
      <c r="AY34" s="106"/>
      <c r="AZ34" s="27"/>
    </row>
    <row r="35" spans="1:54">
      <c r="D35" s="32"/>
      <c r="E35" s="32"/>
      <c r="F35" s="32"/>
      <c r="G35" s="32"/>
      <c r="H35" s="32"/>
      <c r="I35" s="32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25"/>
      <c r="AB35" s="23"/>
      <c r="AC35" s="23"/>
      <c r="AY35" s="106"/>
      <c r="AZ35" s="27"/>
    </row>
    <row r="36" spans="1:54">
      <c r="C36" s="5" t="s">
        <v>2141</v>
      </c>
      <c r="D36" s="101" t="str">
        <f t="shared" ref="D36:Y36" si="33">IF(OR(D$8="A",D$8="E"),IFERROR(D471/D151,"…"),IF(D$8="L","…","…"))</f>
        <v>…</v>
      </c>
      <c r="E36" s="101">
        <f t="shared" si="33"/>
        <v>4.3445317438815136</v>
      </c>
      <c r="F36" s="101">
        <f t="shared" si="33"/>
        <v>4.2223160027008779</v>
      </c>
      <c r="G36" s="102">
        <f t="shared" si="33"/>
        <v>2.7693798449612403</v>
      </c>
      <c r="H36" s="101">
        <f t="shared" si="33"/>
        <v>2.7997150417260328</v>
      </c>
      <c r="I36" s="101">
        <f t="shared" si="33"/>
        <v>5.238521836506159</v>
      </c>
      <c r="J36" s="107">
        <f t="shared" si="33"/>
        <v>3.1183981427742307</v>
      </c>
      <c r="K36" s="107">
        <f t="shared" si="33"/>
        <v>-0.78448435474912048</v>
      </c>
      <c r="L36" s="107">
        <f t="shared" si="33"/>
        <v>-0.6101495205590769</v>
      </c>
      <c r="M36" s="107">
        <f t="shared" si="33"/>
        <v>-0.32802705064397247</v>
      </c>
      <c r="N36" s="107">
        <f t="shared" si="33"/>
        <v>-0.51522653282691266</v>
      </c>
      <c r="O36" s="107">
        <f t="shared" si="33"/>
        <v>-1.0200808365945981</v>
      </c>
      <c r="P36" s="107">
        <f t="shared" si="33"/>
        <v>-0.85148408373960438</v>
      </c>
      <c r="Q36" s="107">
        <f t="shared" si="33"/>
        <v>-0.94708212452577545</v>
      </c>
      <c r="R36" s="107">
        <f t="shared" si="33"/>
        <v>-0.83286056566880551</v>
      </c>
      <c r="S36" s="107">
        <f t="shared" si="33"/>
        <v>-0.88165043567401336</v>
      </c>
      <c r="T36" s="107">
        <f t="shared" si="33"/>
        <v>-0.93272894129425177</v>
      </c>
      <c r="U36" s="107">
        <f t="shared" si="33"/>
        <v>-0.86171627957692731</v>
      </c>
      <c r="V36" s="107">
        <f t="shared" si="33"/>
        <v>-0.89162377375812474</v>
      </c>
      <c r="W36" s="107" t="str">
        <f t="shared" si="33"/>
        <v>…</v>
      </c>
      <c r="X36" s="107" t="str">
        <f t="shared" si="33"/>
        <v>…</v>
      </c>
      <c r="Y36" s="107" t="str">
        <f t="shared" si="33"/>
        <v>…</v>
      </c>
      <c r="Z36" s="107"/>
      <c r="AA36" s="25"/>
      <c r="AB36" s="23"/>
      <c r="AC36" s="23"/>
      <c r="AY36" s="107"/>
      <c r="AZ36" s="27"/>
    </row>
    <row r="37" spans="1:54">
      <c r="D37" s="32"/>
      <c r="E37" s="32"/>
      <c r="F37" s="32"/>
      <c r="G37" s="32"/>
      <c r="H37" s="32"/>
      <c r="I37" s="32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25"/>
      <c r="AB37" s="23"/>
      <c r="AC37" s="23"/>
      <c r="AY37" s="22"/>
      <c r="AZ37" s="22"/>
    </row>
    <row r="38" spans="1:54">
      <c r="D38" s="32"/>
      <c r="E38" s="32"/>
      <c r="F38" s="32"/>
      <c r="G38" s="32"/>
      <c r="H38" s="32"/>
      <c r="I38" s="32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25"/>
      <c r="AB38" s="23"/>
      <c r="AC38" s="23"/>
      <c r="AY38" s="22"/>
      <c r="AZ38" s="22"/>
    </row>
    <row r="39" spans="1:54"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25"/>
      <c r="AB39" s="23"/>
      <c r="AC39" s="23"/>
      <c r="AE39" s="30"/>
      <c r="AF39" s="30"/>
      <c r="AY39" s="22"/>
      <c r="AZ39" s="22"/>
    </row>
    <row r="40" spans="1:54" ht="13.15">
      <c r="C40" s="87" t="s">
        <v>12</v>
      </c>
      <c r="D40" s="88" t="str">
        <f t="shared" ref="D40:L40" si="34">IF(OR(D$8="A",D$8="E"),IFERROR(D227/D271,"…"),IF(D$8="L","…","…"))</f>
        <v>…</v>
      </c>
      <c r="E40" s="88" t="str">
        <f t="shared" si="34"/>
        <v>…</v>
      </c>
      <c r="F40" s="88">
        <f t="shared" si="34"/>
        <v>8.8513744157959637E-2</v>
      </c>
      <c r="G40" s="88">
        <f t="shared" si="34"/>
        <v>0.13528740876202694</v>
      </c>
      <c r="H40" s="88">
        <f t="shared" si="34"/>
        <v>0.10956101151966799</v>
      </c>
      <c r="I40" s="88">
        <f t="shared" si="34"/>
        <v>6.6831794823716567E-2</v>
      </c>
      <c r="J40" s="88">
        <f t="shared" si="34"/>
        <v>0.1240149619392299</v>
      </c>
      <c r="K40" s="88">
        <f t="shared" si="34"/>
        <v>0.12921773021583707</v>
      </c>
      <c r="L40" s="88">
        <f t="shared" si="34"/>
        <v>0.10584385034174242</v>
      </c>
      <c r="M40" s="88">
        <f t="shared" ref="M40:Y40" si="35">IF(OR(M$8="A",M$8="E"),IFERROR(M281/M271,"…"),IF(M$8="L","…","…"))</f>
        <v>9.5337998015797093E-2</v>
      </c>
      <c r="N40" s="88">
        <f t="shared" si="35"/>
        <v>0.10261636596020604</v>
      </c>
      <c r="O40" s="88">
        <f t="shared" si="35"/>
        <v>1.6875924012327369E-2</v>
      </c>
      <c r="P40" s="88">
        <f t="shared" si="35"/>
        <v>4.0269882348761575E-2</v>
      </c>
      <c r="Q40" s="88">
        <f t="shared" si="35"/>
        <v>5.4441512407684058E-2</v>
      </c>
      <c r="R40" s="88">
        <f t="shared" si="35"/>
        <v>4.970894880524835E-2</v>
      </c>
      <c r="S40" s="88">
        <f t="shared" si="35"/>
        <v>5.2460023113227339E-2</v>
      </c>
      <c r="T40" s="88">
        <f t="shared" si="35"/>
        <v>4.846281471996617E-2</v>
      </c>
      <c r="U40" s="88">
        <f t="shared" si="35"/>
        <v>6.8669970444507025E-2</v>
      </c>
      <c r="V40" s="88">
        <f t="shared" si="35"/>
        <v>4.81680644998808E-2</v>
      </c>
      <c r="W40" s="88">
        <f t="shared" si="35"/>
        <v>5.6251569768055842E-2</v>
      </c>
      <c r="X40" s="88">
        <f t="shared" si="35"/>
        <v>6.2369787030526064E-2</v>
      </c>
      <c r="Y40" s="88">
        <f t="shared" si="35"/>
        <v>8.2077020467931361E-2</v>
      </c>
      <c r="Z40" s="88"/>
      <c r="AA40" s="25"/>
      <c r="AB40" s="5"/>
      <c r="AC40" s="5"/>
      <c r="AD40" s="30">
        <f>AVERAGE(K40:O40)</f>
        <v>8.9978373709181991E-2</v>
      </c>
      <c r="AY40" s="22"/>
      <c r="AZ40" s="22"/>
    </row>
    <row r="41" spans="1:54" ht="13.15">
      <c r="C41" s="87" t="s">
        <v>128</v>
      </c>
      <c r="D41" s="88" t="str">
        <f t="shared" ref="D41:Y41" si="36">IF(OR(D$8="A",D$8="E"),IFERROR(D227/D272,"…"),IF(D$8="L","…","…"))</f>
        <v>…</v>
      </c>
      <c r="E41" s="88" t="str">
        <f t="shared" si="36"/>
        <v>…</v>
      </c>
      <c r="F41" s="88">
        <f t="shared" si="36"/>
        <v>8.8810716543017448E-2</v>
      </c>
      <c r="G41" s="88">
        <f t="shared" si="36"/>
        <v>0.13571487022756534</v>
      </c>
      <c r="H41" s="88">
        <f t="shared" si="36"/>
        <v>0.11176797231126576</v>
      </c>
      <c r="I41" s="88">
        <f t="shared" si="36"/>
        <v>6.9186745824185367E-2</v>
      </c>
      <c r="J41" s="88">
        <f t="shared" si="36"/>
        <v>0.12888675196540292</v>
      </c>
      <c r="K41" s="88">
        <f t="shared" si="36"/>
        <v>0.13423868033174149</v>
      </c>
      <c r="L41" s="88">
        <f t="shared" si="36"/>
        <v>0.1173331388728345</v>
      </c>
      <c r="M41" s="88">
        <f t="shared" si="36"/>
        <v>0.11089239345578612</v>
      </c>
      <c r="N41" s="88">
        <f t="shared" si="36"/>
        <v>0.11838455400655386</v>
      </c>
      <c r="O41" s="88">
        <f t="shared" si="36"/>
        <v>1.8905746775119938E-2</v>
      </c>
      <c r="P41" s="88">
        <f t="shared" si="36"/>
        <v>4.4313112282392202E-2</v>
      </c>
      <c r="Q41" s="88">
        <f t="shared" si="36"/>
        <v>5.9530022572708022E-2</v>
      </c>
      <c r="R41" s="88">
        <f t="shared" si="36"/>
        <v>5.3895555126109058E-2</v>
      </c>
      <c r="S41" s="88">
        <f t="shared" si="36"/>
        <v>5.7123826886295699E-2</v>
      </c>
      <c r="T41" s="88">
        <f t="shared" si="36"/>
        <v>5.3315844681086431E-2</v>
      </c>
      <c r="U41" s="88">
        <f t="shared" si="36"/>
        <v>7.5909111899543122E-2</v>
      </c>
      <c r="V41" s="88">
        <f t="shared" si="36"/>
        <v>5.3523740821019704E-2</v>
      </c>
      <c r="W41" s="88">
        <f t="shared" si="36"/>
        <v>6.2676265954111812E-2</v>
      </c>
      <c r="X41" s="88">
        <f t="shared" si="36"/>
        <v>6.9768410311426721E-2</v>
      </c>
      <c r="Y41" s="88">
        <f t="shared" si="36"/>
        <v>9.2172871061580078E-2</v>
      </c>
      <c r="Z41" s="88"/>
      <c r="AA41" s="25"/>
      <c r="AB41" s="5"/>
      <c r="AC41" s="5"/>
      <c r="AD41" s="30">
        <f>AVERAGE(K41:O41)</f>
        <v>9.9950902688407173E-2</v>
      </c>
      <c r="AY41" s="22"/>
      <c r="AZ41" s="22"/>
    </row>
    <row r="42" spans="1:54" ht="13.15">
      <c r="C42" s="9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25"/>
      <c r="AB42" s="10"/>
      <c r="AC42" s="10"/>
      <c r="AY42" s="22"/>
      <c r="AZ42" s="22"/>
    </row>
    <row r="43" spans="1:54" s="33" customFormat="1" ht="13.15">
      <c r="A43" s="5"/>
      <c r="B43" s="5"/>
      <c r="C43" s="12" t="s">
        <v>1556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25"/>
      <c r="AB43" s="20"/>
      <c r="AC43" s="20"/>
      <c r="AD43" s="24"/>
      <c r="AE43" s="5"/>
      <c r="AF43" s="5"/>
      <c r="AG43" s="9"/>
      <c r="AH43" s="5"/>
      <c r="AI43" s="5"/>
      <c r="AJ43" s="22"/>
      <c r="AK43" s="23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5"/>
      <c r="BB43" s="5"/>
    </row>
    <row r="44" spans="1:54" s="33" customFormat="1" ht="13.15" hidden="1" outlineLevel="1">
      <c r="A44" s="5"/>
      <c r="B44" s="5"/>
      <c r="C44" s="38" t="s">
        <v>1578</v>
      </c>
      <c r="D44" s="32" t="str">
        <f t="shared" ref="D44:Y44" si="37">IFERROR(D235/C235-1,"…")</f>
        <v>…</v>
      </c>
      <c r="E44" s="32">
        <f t="shared" si="37"/>
        <v>2.6624893597694488E-2</v>
      </c>
      <c r="F44" s="32">
        <f t="shared" si="37"/>
        <v>-6.791583657908018E-2</v>
      </c>
      <c r="G44" s="32">
        <f t="shared" si="37"/>
        <v>1.2608763511647858E-2</v>
      </c>
      <c r="H44" s="32">
        <f t="shared" si="37"/>
        <v>0.37937879039617961</v>
      </c>
      <c r="I44" s="32">
        <f t="shared" si="37"/>
        <v>-8.0781738724230223E-2</v>
      </c>
      <c r="J44" s="106">
        <f t="shared" si="37"/>
        <v>9.0885776122441753E-2</v>
      </c>
      <c r="K44" s="106">
        <f t="shared" si="37"/>
        <v>0.36628838378787654</v>
      </c>
      <c r="L44" s="106">
        <f t="shared" si="37"/>
        <v>0.41100945074206741</v>
      </c>
      <c r="M44" s="106">
        <f t="shared" si="37"/>
        <v>1.2644884422081892E-2</v>
      </c>
      <c r="N44" s="106">
        <f t="shared" si="37"/>
        <v>7.9312421518344722E-2</v>
      </c>
      <c r="O44" s="106">
        <f t="shared" si="37"/>
        <v>0.38574050928906689</v>
      </c>
      <c r="P44" s="106">
        <f t="shared" si="37"/>
        <v>2.5087605523144818E-2</v>
      </c>
      <c r="Q44" s="106">
        <f t="shared" si="37"/>
        <v>9.9633612605825039E-2</v>
      </c>
      <c r="R44" s="106">
        <f t="shared" si="37"/>
        <v>9.0253939506027336E-2</v>
      </c>
      <c r="S44" s="106">
        <f t="shared" si="37"/>
        <v>-0.18346967601452469</v>
      </c>
      <c r="T44" s="106">
        <f t="shared" si="37"/>
        <v>-4.5265332927449942E-3</v>
      </c>
      <c r="U44" s="106">
        <f t="shared" si="37"/>
        <v>3.3551574837212161E-2</v>
      </c>
      <c r="V44" s="106">
        <f t="shared" si="37"/>
        <v>-1.6585802680928241E-2</v>
      </c>
      <c r="W44" s="106">
        <f t="shared" si="37"/>
        <v>-3.1228445252636572E-2</v>
      </c>
      <c r="X44" s="106">
        <f t="shared" si="37"/>
        <v>-3.5593597225725304E-2</v>
      </c>
      <c r="Y44" s="106">
        <f t="shared" si="37"/>
        <v>-2.7924473333428512E-2</v>
      </c>
      <c r="Z44" s="106"/>
      <c r="AA44" s="25"/>
      <c r="AB44" s="20"/>
      <c r="AC44" s="20"/>
      <c r="AD44" s="24"/>
      <c r="AE44" s="5"/>
      <c r="AF44" s="5"/>
      <c r="AG44" s="9"/>
      <c r="AH44" s="5"/>
      <c r="AI44" s="5"/>
      <c r="AJ44" s="22"/>
      <c r="AK44" s="23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5"/>
      <c r="BB44" s="5"/>
    </row>
    <row r="45" spans="1:54" s="33" customFormat="1" ht="13.15" hidden="1" outlineLevel="1">
      <c r="A45" s="5"/>
      <c r="B45" s="5"/>
      <c r="C45" s="38" t="s">
        <v>1579</v>
      </c>
      <c r="D45" s="32" t="str">
        <f t="shared" ref="D45:Y45" si="38">IFERROR(D236/C236-1,"…")</f>
        <v>…</v>
      </c>
      <c r="E45" s="32">
        <f t="shared" si="38"/>
        <v>2.6517152646665876E-2</v>
      </c>
      <c r="F45" s="32">
        <f t="shared" si="38"/>
        <v>-6.7513997565848971E-2</v>
      </c>
      <c r="G45" s="32">
        <f t="shared" si="38"/>
        <v>1.2551897453602523E-2</v>
      </c>
      <c r="H45" s="32">
        <f t="shared" si="38"/>
        <v>0.33983063601809893</v>
      </c>
      <c r="I45" s="32">
        <f t="shared" si="38"/>
        <v>-8.5301471611746837E-2</v>
      </c>
      <c r="J45" s="106">
        <f t="shared" si="38"/>
        <v>8.8106244486598317E-2</v>
      </c>
      <c r="K45" s="106">
        <f t="shared" si="38"/>
        <v>0.37015397880152801</v>
      </c>
      <c r="L45" s="106">
        <f t="shared" si="38"/>
        <v>0.25673886832615378</v>
      </c>
      <c r="M45" s="106">
        <f t="shared" si="38"/>
        <v>1.5829308431477562E-2</v>
      </c>
      <c r="N45" s="106">
        <f t="shared" si="38"/>
        <v>9.314879073410709E-2</v>
      </c>
      <c r="O45" s="106">
        <f t="shared" si="38"/>
        <v>0.44187591280009264</v>
      </c>
      <c r="P45" s="106">
        <f t="shared" si="38"/>
        <v>2.802176054429184E-2</v>
      </c>
      <c r="Q45" s="106">
        <f t="shared" si="38"/>
        <v>0.10997356089484689</v>
      </c>
      <c r="R45" s="106">
        <f t="shared" si="38"/>
        <v>9.872441571506374E-2</v>
      </c>
      <c r="S45" s="106">
        <f t="shared" si="38"/>
        <v>-0.19794741773512359</v>
      </c>
      <c r="T45" s="106">
        <f t="shared" si="38"/>
        <v>-5.2824985363567611E-3</v>
      </c>
      <c r="U45" s="106">
        <f t="shared" si="38"/>
        <v>2.4609039840003621E-2</v>
      </c>
      <c r="V45" s="106">
        <f t="shared" si="38"/>
        <v>-1.841295510765395E-2</v>
      </c>
      <c r="W45" s="106">
        <f t="shared" si="38"/>
        <v>-3.4733217730001376E-2</v>
      </c>
      <c r="X45" s="106">
        <f t="shared" si="38"/>
        <v>-3.9732011729489147E-2</v>
      </c>
      <c r="Y45" s="106">
        <f t="shared" si="38"/>
        <v>-3.1305547093956831E-2</v>
      </c>
      <c r="Z45" s="106"/>
      <c r="AA45" s="25"/>
      <c r="AB45" s="20"/>
      <c r="AC45" s="20"/>
      <c r="AD45" s="24"/>
      <c r="AE45" s="5"/>
      <c r="AF45" s="5"/>
      <c r="AG45" s="9"/>
      <c r="AH45" s="5"/>
      <c r="AI45" s="5"/>
      <c r="AJ45" s="22"/>
      <c r="AK45" s="23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5"/>
      <c r="BB45" s="5"/>
    </row>
    <row r="46" spans="1:54" s="33" customFormat="1" ht="13.15" hidden="1" outlineLevel="1">
      <c r="A46" s="5"/>
      <c r="B46" s="5"/>
      <c r="C46" s="38" t="s">
        <v>1559</v>
      </c>
      <c r="D46" s="32">
        <f t="shared" ref="D46:Q46" si="39">IFERROR(D160/D145,"…")</f>
        <v>-5.5416296662657509E-2</v>
      </c>
      <c r="E46" s="32">
        <f t="shared" si="39"/>
        <v>-5.4719318134105889E-2</v>
      </c>
      <c r="F46" s="32">
        <f t="shared" si="39"/>
        <v>-4.5635280095351609E-2</v>
      </c>
      <c r="G46" s="32">
        <f t="shared" si="39"/>
        <v>-4.4353838948731371E-2</v>
      </c>
      <c r="H46" s="32">
        <f t="shared" si="39"/>
        <v>-4.0638619429214116E-2</v>
      </c>
      <c r="I46" s="32">
        <f t="shared" si="39"/>
        <v>-4.3484461007538958E-2</v>
      </c>
      <c r="J46" s="106">
        <f t="shared" si="39"/>
        <v>-3.7288669950738915E-2</v>
      </c>
      <c r="K46" s="106">
        <f t="shared" si="39"/>
        <v>-3.0859122488813021E-2</v>
      </c>
      <c r="L46" s="106">
        <f t="shared" si="39"/>
        <v>-3.0979468122651496E-2</v>
      </c>
      <c r="M46" s="106">
        <f t="shared" si="39"/>
        <v>-3.3953108265188547E-2</v>
      </c>
      <c r="N46" s="106">
        <f t="shared" si="39"/>
        <v>-3.7089174050914261E-2</v>
      </c>
      <c r="O46" s="106">
        <f t="shared" si="39"/>
        <v>-6.1347823640830412E-2</v>
      </c>
      <c r="P46" s="106">
        <f t="shared" si="39"/>
        <v>-7.0733245269645181E-2</v>
      </c>
      <c r="Q46" s="106">
        <f t="shared" si="39"/>
        <v>-7.2671469815590292E-2</v>
      </c>
      <c r="R46" s="106">
        <f t="shared" ref="R46:Y46" si="40">IFERROR(R160/R145,"…")</f>
        <v>-7.2817777476266596E-2</v>
      </c>
      <c r="S46" s="106">
        <f t="shared" si="40"/>
        <v>-7.7884036859938569E-2</v>
      </c>
      <c r="T46" s="106">
        <f t="shared" si="40"/>
        <v>-9.1976095188528562E-2</v>
      </c>
      <c r="U46" s="106">
        <f t="shared" si="40"/>
        <v>-9.0095923261390889E-2</v>
      </c>
      <c r="V46" s="106">
        <f t="shared" si="40"/>
        <v>-9.0719368792898589E-2</v>
      </c>
      <c r="W46" s="106">
        <f t="shared" si="40"/>
        <v>-8.3957048845238788E-2</v>
      </c>
      <c r="X46" s="106">
        <f t="shared" si="40"/>
        <v>-7.8630574281750673E-2</v>
      </c>
      <c r="Y46" s="106">
        <f t="shared" si="40"/>
        <v>-7.160986863619577E-2</v>
      </c>
      <c r="Z46" s="106"/>
      <c r="AA46" s="25"/>
      <c r="AB46" s="20"/>
      <c r="AC46" s="20"/>
      <c r="AD46" s="24"/>
      <c r="AE46" s="5"/>
      <c r="AF46" s="5"/>
      <c r="AG46" s="9"/>
      <c r="AH46" s="5"/>
      <c r="AI46" s="5"/>
      <c r="AJ46" s="22"/>
      <c r="AK46" s="23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5"/>
      <c r="BB46" s="5"/>
    </row>
    <row r="47" spans="1:54" s="33" customFormat="1" ht="13.15" hidden="1" outlineLevel="1">
      <c r="A47" s="5"/>
      <c r="B47" s="5"/>
      <c r="C47" s="38"/>
      <c r="D47" s="32"/>
      <c r="E47" s="32"/>
      <c r="F47" s="32"/>
      <c r="G47" s="32"/>
      <c r="H47" s="32"/>
      <c r="I47" s="32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25"/>
      <c r="AB47" s="20"/>
      <c r="AC47" s="20"/>
      <c r="AD47" s="24"/>
      <c r="AE47" s="5"/>
      <c r="AF47" s="5"/>
      <c r="AG47" s="9"/>
      <c r="AH47" s="5"/>
      <c r="AI47" s="5"/>
      <c r="AJ47" s="22"/>
      <c r="AK47" s="23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5"/>
      <c r="BB47" s="5"/>
    </row>
    <row r="48" spans="1:54" collapsed="1">
      <c r="C48" s="38" t="s">
        <v>1742</v>
      </c>
      <c r="D48" s="25">
        <f t="shared" ref="D48:Y48" si="41">IF(OR(D$8="A",D$8="E"),IFERROR(D147/D265,"…"),IF(D$8="L","…","…"))</f>
        <v>2.7406118110963926</v>
      </c>
      <c r="E48" s="25">
        <f t="shared" si="41"/>
        <v>2.9136618038352142</v>
      </c>
      <c r="F48" s="25">
        <f t="shared" si="41"/>
        <v>3.4210268789144052</v>
      </c>
      <c r="G48" s="25">
        <f t="shared" si="41"/>
        <v>3.8858478447045388</v>
      </c>
      <c r="H48" s="25">
        <f t="shared" si="41"/>
        <v>3.7418994229725953</v>
      </c>
      <c r="I48" s="25">
        <f t="shared" si="41"/>
        <v>3.6520727727241162</v>
      </c>
      <c r="J48" s="25">
        <f t="shared" si="41"/>
        <v>5.0456344077469133</v>
      </c>
      <c r="K48" s="25">
        <f t="shared" si="41"/>
        <v>5.5207456299915112</v>
      </c>
      <c r="L48" s="25">
        <f t="shared" si="41"/>
        <v>5.4046563814866762</v>
      </c>
      <c r="M48" s="25">
        <f t="shared" si="41"/>
        <v>4.8160905490637074</v>
      </c>
      <c r="N48" s="25">
        <f t="shared" si="41"/>
        <v>4.5723771130458353</v>
      </c>
      <c r="O48" s="25">
        <f t="shared" si="41"/>
        <v>3.2937542949356433</v>
      </c>
      <c r="P48" s="25">
        <f t="shared" si="41"/>
        <v>2.4715270510078717</v>
      </c>
      <c r="Q48" s="25">
        <f t="shared" si="41"/>
        <v>2.4614350421741706</v>
      </c>
      <c r="R48" s="25">
        <f t="shared" si="41"/>
        <v>2.3988262636228175</v>
      </c>
      <c r="S48" s="25">
        <f t="shared" si="41"/>
        <v>2.3309620689973336</v>
      </c>
      <c r="T48" s="25">
        <f t="shared" si="41"/>
        <v>1.940982578670301</v>
      </c>
      <c r="U48" s="25">
        <f t="shared" si="41"/>
        <v>2.1028390849035987</v>
      </c>
      <c r="V48" s="25">
        <f t="shared" si="41"/>
        <v>2.302260090161826</v>
      </c>
      <c r="W48" s="25">
        <f t="shared" si="41"/>
        <v>2.5143313705871706</v>
      </c>
      <c r="X48" s="25">
        <f t="shared" si="41"/>
        <v>2.7177036555450145</v>
      </c>
      <c r="Y48" s="25">
        <f t="shared" si="41"/>
        <v>3.0303536302575589</v>
      </c>
      <c r="Z48" s="25"/>
      <c r="AA48" s="25"/>
      <c r="AB48" s="97" t="s">
        <v>1741</v>
      </c>
      <c r="AC48" s="97" t="s">
        <v>1741</v>
      </c>
      <c r="AJ48" s="31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</row>
    <row r="49" spans="3:52">
      <c r="C49" s="38" t="s">
        <v>129</v>
      </c>
      <c r="D49" s="25">
        <f t="shared" ref="D49:Y49" si="42">IF(OR(D$8="A",D$8="E"),IFERROR(D147/D271,"…"),IF(D$8="L","…","…"))</f>
        <v>1.3627307246967775</v>
      </c>
      <c r="E49" s="25">
        <f t="shared" si="42"/>
        <v>1.4401386262675644</v>
      </c>
      <c r="F49" s="25">
        <f t="shared" si="42"/>
        <v>1.619812574363684</v>
      </c>
      <c r="G49" s="25">
        <f t="shared" si="42"/>
        <v>1.7322886501902228</v>
      </c>
      <c r="H49" s="25">
        <f t="shared" si="42"/>
        <v>1.51227658365122</v>
      </c>
      <c r="I49" s="25">
        <f t="shared" si="42"/>
        <v>1.2562503041737565</v>
      </c>
      <c r="J49" s="25">
        <f t="shared" si="42"/>
        <v>1.5130928595970279</v>
      </c>
      <c r="K49" s="25">
        <f t="shared" si="42"/>
        <v>1.5391803840546643</v>
      </c>
      <c r="L49" s="25">
        <f t="shared" si="42"/>
        <v>1.3369860892063992</v>
      </c>
      <c r="M49" s="25">
        <f t="shared" si="42"/>
        <v>1.1606005205020014</v>
      </c>
      <c r="N49" s="25">
        <f t="shared" si="42"/>
        <v>1.1400562459957777</v>
      </c>
      <c r="O49" s="25">
        <f t="shared" si="42"/>
        <v>0.96987389574942406</v>
      </c>
      <c r="P49" s="25">
        <f t="shared" si="42"/>
        <v>0.83990844496557004</v>
      </c>
      <c r="Q49" s="25">
        <f t="shared" si="42"/>
        <v>0.83905649736923227</v>
      </c>
      <c r="R49" s="25">
        <f t="shared" si="42"/>
        <v>0.78362448143633567</v>
      </c>
      <c r="S49" s="25">
        <f t="shared" si="42"/>
        <v>0.8859129506504666</v>
      </c>
      <c r="T49" s="25">
        <f t="shared" si="42"/>
        <v>0.87137673411140215</v>
      </c>
      <c r="U49" s="25">
        <f t="shared" si="42"/>
        <v>0.96421847664579607</v>
      </c>
      <c r="V49" s="25">
        <f t="shared" si="42"/>
        <v>1.0634305883196553</v>
      </c>
      <c r="W49" s="25">
        <f t="shared" si="42"/>
        <v>1.1371501567959528</v>
      </c>
      <c r="X49" s="25">
        <f t="shared" si="42"/>
        <v>1.2085087842019731</v>
      </c>
      <c r="Y49" s="25">
        <f t="shared" si="42"/>
        <v>1.3150345278821851</v>
      </c>
      <c r="Z49" s="25"/>
      <c r="AA49" s="25"/>
      <c r="AB49" s="97" t="s">
        <v>1741</v>
      </c>
      <c r="AC49" s="97" t="s">
        <v>1741</v>
      </c>
      <c r="AJ49" s="31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</row>
    <row r="50" spans="3:52">
      <c r="C50" s="38" t="s">
        <v>130</v>
      </c>
      <c r="D50" s="25">
        <f t="shared" ref="D50:Y50" si="43">IF(OR(D$8="A",D$8="E"),IFERROR(D147/D272,"…"),IF(D$8="L","…","…"))</f>
        <v>1.3674436720895806</v>
      </c>
      <c r="E50" s="25">
        <f t="shared" si="43"/>
        <v>1.4451961162591922</v>
      </c>
      <c r="F50" s="25">
        <f t="shared" si="43"/>
        <v>1.6252472061051337</v>
      </c>
      <c r="G50" s="25">
        <f t="shared" si="43"/>
        <v>1.7377620837633974</v>
      </c>
      <c r="H50" s="25">
        <f t="shared" si="43"/>
        <v>1.5427393831441811</v>
      </c>
      <c r="I50" s="25">
        <f t="shared" si="43"/>
        <v>1.3005167782143936</v>
      </c>
      <c r="J50" s="25">
        <f t="shared" si="43"/>
        <v>1.5725330318697137</v>
      </c>
      <c r="K50" s="25">
        <f t="shared" si="43"/>
        <v>1.5989875631067065</v>
      </c>
      <c r="L50" s="25">
        <f t="shared" si="43"/>
        <v>1.4821151533074497</v>
      </c>
      <c r="M50" s="25">
        <f t="shared" si="43"/>
        <v>1.3499525083710355</v>
      </c>
      <c r="N50" s="25">
        <f t="shared" si="43"/>
        <v>1.315239035817491</v>
      </c>
      <c r="O50" s="25">
        <f t="shared" si="43"/>
        <v>1.0865295591188746</v>
      </c>
      <c r="P50" s="25">
        <f t="shared" si="43"/>
        <v>0.92423804237494467</v>
      </c>
      <c r="Q50" s="25">
        <f t="shared" si="43"/>
        <v>0.9174809813167083</v>
      </c>
      <c r="R50" s="25">
        <f t="shared" si="43"/>
        <v>0.84962320573074623</v>
      </c>
      <c r="S50" s="25">
        <f t="shared" si="43"/>
        <v>0.96467243104444289</v>
      </c>
      <c r="T50" s="25">
        <f t="shared" si="43"/>
        <v>0.95863574749106717</v>
      </c>
      <c r="U50" s="25">
        <f t="shared" si="43"/>
        <v>1.0658657309086919</v>
      </c>
      <c r="V50" s="25">
        <f t="shared" si="43"/>
        <v>1.1816705483465415</v>
      </c>
      <c r="W50" s="25">
        <f t="shared" si="43"/>
        <v>1.2670282082968152</v>
      </c>
      <c r="X50" s="25">
        <f t="shared" si="43"/>
        <v>1.3518682800680319</v>
      </c>
      <c r="Y50" s="25">
        <f t="shared" si="43"/>
        <v>1.476789816308806</v>
      </c>
      <c r="Z50" s="25"/>
      <c r="AA50" s="25"/>
      <c r="AB50" s="97" t="s">
        <v>1741</v>
      </c>
      <c r="AC50" s="97" t="s">
        <v>1741</v>
      </c>
      <c r="AE50" s="30"/>
      <c r="AF50" s="30"/>
      <c r="AJ50" s="31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</row>
    <row r="51" spans="3:52">
      <c r="C51" s="38" t="s">
        <v>344</v>
      </c>
      <c r="D51" s="73">
        <f t="shared" ref="D51:Y51" si="44">IFERROR(IF(D71="…","…",-D71/D162),"…")</f>
        <v>1.1257606490872212</v>
      </c>
      <c r="E51" s="73">
        <f t="shared" si="44"/>
        <v>0.85056589295990792</v>
      </c>
      <c r="F51" s="73">
        <f t="shared" si="44"/>
        <v>0.77893857083159213</v>
      </c>
      <c r="G51" s="73">
        <f t="shared" si="44"/>
        <v>0.96024844720496894</v>
      </c>
      <c r="H51" s="73">
        <f t="shared" si="44"/>
        <v>1.4882162162162162</v>
      </c>
      <c r="I51" s="73">
        <f t="shared" si="44"/>
        <v>1.3036729339746393</v>
      </c>
      <c r="J51" s="73">
        <f t="shared" si="44"/>
        <v>1.2170788416825196</v>
      </c>
      <c r="K51" s="73">
        <f t="shared" si="44"/>
        <v>1.6447020540980273</v>
      </c>
      <c r="L51" s="73">
        <f t="shared" si="44"/>
        <v>1.757915898810521</v>
      </c>
      <c r="M51" s="73">
        <f t="shared" si="44"/>
        <v>1.7020481387352369</v>
      </c>
      <c r="N51" s="73">
        <f t="shared" si="44"/>
        <v>1.5996803835397524</v>
      </c>
      <c r="O51" s="73">
        <f t="shared" si="44"/>
        <v>1.0097821933511655</v>
      </c>
      <c r="P51" s="73">
        <f t="shared" si="44"/>
        <v>0.85580426861009895</v>
      </c>
      <c r="Q51" s="73">
        <f t="shared" si="44"/>
        <v>0.77857313290384156</v>
      </c>
      <c r="R51" s="73">
        <f t="shared" si="44"/>
        <v>0.79940607895656224</v>
      </c>
      <c r="S51" s="73">
        <f t="shared" si="44"/>
        <v>0.72321610083350274</v>
      </c>
      <c r="T51" s="73">
        <f t="shared" si="44"/>
        <v>0.54990243902439029</v>
      </c>
      <c r="U51" s="73">
        <f t="shared" si="44"/>
        <v>0.82060154378493477</v>
      </c>
      <c r="V51" s="73">
        <f t="shared" si="44"/>
        <v>0.79648123502794776</v>
      </c>
      <c r="W51" s="73">
        <f t="shared" si="44"/>
        <v>0.77236092627096076</v>
      </c>
      <c r="X51" s="73">
        <f t="shared" si="44"/>
        <v>0.74824061751397386</v>
      </c>
      <c r="Y51" s="73">
        <f t="shared" si="44"/>
        <v>0.72412030875698696</v>
      </c>
      <c r="Z51" s="73"/>
      <c r="AA51" s="73"/>
      <c r="AB51" s="31"/>
      <c r="AC51" s="31"/>
      <c r="AE51" s="30"/>
      <c r="AF51" s="30"/>
      <c r="AJ51" s="31"/>
      <c r="AY51" s="73"/>
      <c r="AZ51" s="27"/>
    </row>
    <row r="52" spans="3:52">
      <c r="C52" s="38" t="s">
        <v>1532</v>
      </c>
      <c r="D52" s="30">
        <f>IFERROR(D71/D145,"…")</f>
        <v>-6.2385486100963325E-2</v>
      </c>
      <c r="E52" s="30">
        <f>IFERROR(E71/E145,"…")</f>
        <v>-4.6542385690893057E-2</v>
      </c>
      <c r="F52" s="31">
        <f>IFERROR(F71/F145,"…")</f>
        <v>-3.5547079856972585E-2</v>
      </c>
      <c r="G52" s="31">
        <f>IFERROR(G71/G145,"…")</f>
        <v>-4.2590704978098567E-2</v>
      </c>
      <c r="H52" s="31">
        <f t="shared" ref="H52:Q52" si="45">IFERROR(H62/H145,"…")</f>
        <v>-7.9950442851117673E-2</v>
      </c>
      <c r="I52" s="31">
        <f t="shared" si="45"/>
        <v>-7.5208913649025072E-2</v>
      </c>
      <c r="J52" s="31">
        <f t="shared" si="45"/>
        <v>-5.8522167487684726E-2</v>
      </c>
      <c r="K52" s="31">
        <f t="shared" si="45"/>
        <v>-6.1209888475369817E-2</v>
      </c>
      <c r="L52" s="31">
        <f t="shared" si="45"/>
        <v>-6.8031306441902473E-2</v>
      </c>
      <c r="M52" s="31">
        <f t="shared" si="45"/>
        <v>-7.8200266995588991E-2</v>
      </c>
      <c r="N52" s="31">
        <f t="shared" si="45"/>
        <v>-8.2056525304013667E-2</v>
      </c>
      <c r="O52" s="31">
        <f t="shared" si="45"/>
        <v>-8.5488438384937082E-2</v>
      </c>
      <c r="P52" s="31">
        <f t="shared" si="45"/>
        <v>-8.6998945997321261E-2</v>
      </c>
      <c r="Q52" s="31">
        <f t="shared" si="45"/>
        <v>-7.9382006398418609E-2</v>
      </c>
      <c r="R52" s="31">
        <f t="shared" ref="R52:Y52" si="46">IFERROR(R71/R145,"…")</f>
        <v>-5.8210973970633753E-2</v>
      </c>
      <c r="S52" s="31">
        <f t="shared" si="46"/>
        <v>-5.6326989455017573E-2</v>
      </c>
      <c r="T52" s="31">
        <f t="shared" si="46"/>
        <v>-5.0577879076111339E-2</v>
      </c>
      <c r="U52" s="31">
        <f t="shared" si="46"/>
        <v>-7.3932853717026376E-2</v>
      </c>
      <c r="V52" s="31">
        <f t="shared" si="46"/>
        <v>-7.2256274897123732E-2</v>
      </c>
      <c r="W52" s="31">
        <f t="shared" si="46"/>
        <v>-6.4845144013084929E-2</v>
      </c>
      <c r="X52" s="31">
        <f t="shared" si="46"/>
        <v>-5.8834589456055512E-2</v>
      </c>
      <c r="Y52" s="31">
        <f t="shared" si="46"/>
        <v>-5.1854160186889355E-2</v>
      </c>
      <c r="Z52" s="31"/>
      <c r="AA52" s="31"/>
      <c r="AB52" s="31"/>
      <c r="AC52" s="31"/>
      <c r="AE52" s="30"/>
      <c r="AF52" s="30"/>
      <c r="AJ52" s="31"/>
      <c r="AY52" s="31"/>
      <c r="AZ52" s="27"/>
    </row>
    <row r="53" spans="3:52">
      <c r="C53" s="38" t="s">
        <v>131</v>
      </c>
      <c r="D53" s="36">
        <f>IF(D$8="A",D174,IF(D$8="L","…",IF(D$8="E",C53,"…")))</f>
        <v>6.5843813387423937</v>
      </c>
      <c r="E53" s="36">
        <f t="shared" ref="E53:Y53" si="47">IF(E$8="A",E174,IF(E$8="L",D53,IF(E$8="E",D53,"…")))</f>
        <v>6.2722041051218111</v>
      </c>
      <c r="F53" s="36">
        <f t="shared" si="47"/>
        <v>6.4053489343919763</v>
      </c>
      <c r="G53" s="36">
        <f t="shared" si="47"/>
        <v>5.8020703933747413</v>
      </c>
      <c r="H53" s="36">
        <f t="shared" si="47"/>
        <v>6.5761081081081079</v>
      </c>
      <c r="I53" s="36">
        <f t="shared" si="47"/>
        <v>6.2968954962833408</v>
      </c>
      <c r="J53" s="36">
        <f t="shared" si="47"/>
        <v>5.3150496723737053</v>
      </c>
      <c r="K53" s="36">
        <f t="shared" si="47"/>
        <v>5.8697376449054302</v>
      </c>
      <c r="L53" s="36">
        <f t="shared" si="47"/>
        <v>5.9725247110068684</v>
      </c>
      <c r="M53" s="36">
        <f t="shared" si="47"/>
        <v>6.115413365226491</v>
      </c>
      <c r="N53" s="36">
        <f t="shared" si="47"/>
        <v>5.8967239312824606</v>
      </c>
      <c r="O53" s="36">
        <f t="shared" si="47"/>
        <v>4.9489109667558271</v>
      </c>
      <c r="P53" s="36">
        <f t="shared" si="47"/>
        <v>5.7201978136387295</v>
      </c>
      <c r="Q53" s="36">
        <f t="shared" si="47"/>
        <v>5.5904617036506803</v>
      </c>
      <c r="R53" s="36">
        <f t="shared" si="47"/>
        <v>5.7248456969838131</v>
      </c>
      <c r="S53" s="36">
        <f t="shared" si="47"/>
        <v>5.5082842041065261</v>
      </c>
      <c r="T53" s="36">
        <f t="shared" si="47"/>
        <v>5.6014878048780492</v>
      </c>
      <c r="U53" s="36">
        <f t="shared" si="47"/>
        <v>5.2782361813503682</v>
      </c>
      <c r="V53" s="36">
        <f t="shared" si="47"/>
        <v>5.2782361813503682</v>
      </c>
      <c r="W53" s="36">
        <f t="shared" si="47"/>
        <v>5.2782361813503682</v>
      </c>
      <c r="X53" s="36">
        <f t="shared" si="47"/>
        <v>5.2782361813503682</v>
      </c>
      <c r="Y53" s="36">
        <f t="shared" si="47"/>
        <v>5.2782361813503682</v>
      </c>
      <c r="Z53" s="36"/>
      <c r="AA53" s="36"/>
      <c r="AB53" s="31"/>
      <c r="AC53" s="31"/>
      <c r="AE53" s="30"/>
      <c r="AF53" s="30"/>
      <c r="AJ53" s="31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36"/>
    </row>
    <row r="54" spans="3:52">
      <c r="C54" s="38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1"/>
      <c r="AC54" s="31"/>
      <c r="AE54" s="30"/>
      <c r="AF54" s="30"/>
      <c r="AJ54" s="31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36"/>
    </row>
    <row r="55" spans="3:52">
      <c r="C55" s="38" t="s">
        <v>1545</v>
      </c>
      <c r="D55" s="25" t="str">
        <f t="shared" ref="D55:Y55" si="48">IFERROR(-(D56*D145-C56*C145),"...")</f>
        <v>...</v>
      </c>
      <c r="E55" s="25">
        <f t="shared" si="48"/>
        <v>-927</v>
      </c>
      <c r="F55" s="25">
        <f t="shared" si="48"/>
        <v>569</v>
      </c>
      <c r="G55" s="25">
        <f t="shared" si="48"/>
        <v>-1400</v>
      </c>
      <c r="H55" s="25">
        <f t="shared" si="48"/>
        <v>-12117</v>
      </c>
      <c r="I55" s="25">
        <f t="shared" si="48"/>
        <v>9260</v>
      </c>
      <c r="J55" s="25">
        <f t="shared" si="48"/>
        <v>262</v>
      </c>
      <c r="K55" s="25">
        <f t="shared" si="48"/>
        <v>-4339</v>
      </c>
      <c r="L55" s="25">
        <f t="shared" si="48"/>
        <v>-6618</v>
      </c>
      <c r="M55" s="25">
        <f t="shared" si="48"/>
        <v>3792</v>
      </c>
      <c r="N55" s="25">
        <f t="shared" si="48"/>
        <v>-4094</v>
      </c>
      <c r="O55" s="25">
        <f t="shared" si="48"/>
        <v>2646</v>
      </c>
      <c r="P55" s="25">
        <f t="shared" si="48"/>
        <v>3447</v>
      </c>
      <c r="Q55" s="25">
        <f t="shared" si="48"/>
        <v>-17287</v>
      </c>
      <c r="R55" s="25">
        <f t="shared" si="48"/>
        <v>-12136</v>
      </c>
      <c r="S55" s="25">
        <f t="shared" si="48"/>
        <v>-5451.9999999999927</v>
      </c>
      <c r="T55" s="25">
        <f t="shared" si="48"/>
        <v>1646.9999999999927</v>
      </c>
      <c r="U55" s="25">
        <f t="shared" si="48"/>
        <v>10829</v>
      </c>
      <c r="V55" s="25">
        <f t="shared" si="48"/>
        <v>-5485.7867020784324</v>
      </c>
      <c r="W55" s="25">
        <f t="shared" si="48"/>
        <v>-2156.7845124370215</v>
      </c>
      <c r="X55" s="25">
        <f t="shared" si="48"/>
        <v>-1249.7791758261155</v>
      </c>
      <c r="Y55" s="25">
        <f t="shared" si="48"/>
        <v>-2867.9616559976203</v>
      </c>
      <c r="Z55" s="25"/>
      <c r="AA55" s="25"/>
      <c r="AB55" s="31"/>
      <c r="AC55" s="31"/>
      <c r="AE55" s="30"/>
      <c r="AF55" s="30"/>
      <c r="AJ55" s="31"/>
      <c r="AY55" s="25"/>
      <c r="AZ55" s="27"/>
    </row>
    <row r="56" spans="3:52">
      <c r="C56" s="38" t="s">
        <v>362</v>
      </c>
      <c r="D56" s="31">
        <f t="shared" ref="D56:T56" si="49">IFERROR((D242-D229)/D145,"…")</f>
        <v>0.22891539179209333</v>
      </c>
      <c r="E56" s="31">
        <f t="shared" si="49"/>
        <v>0.2234958223117941</v>
      </c>
      <c r="F56" s="31">
        <f t="shared" si="49"/>
        <v>0.19759713945172824</v>
      </c>
      <c r="G56" s="31">
        <f t="shared" si="49"/>
        <v>0.20315527516827828</v>
      </c>
      <c r="H56" s="31">
        <f t="shared" si="49"/>
        <v>0.30085758470406299</v>
      </c>
      <c r="I56" s="31">
        <f t="shared" si="49"/>
        <v>0.23748181809539201</v>
      </c>
      <c r="J56" s="31">
        <f t="shared" si="49"/>
        <v>0.19482167487684729</v>
      </c>
      <c r="K56" s="31">
        <f t="shared" si="49"/>
        <v>0.18236191217356923</v>
      </c>
      <c r="L56" s="31">
        <f t="shared" si="49"/>
        <v>0.18515539039631299</v>
      </c>
      <c r="M56" s="31">
        <f t="shared" si="49"/>
        <v>0.16183688904455171</v>
      </c>
      <c r="N56" s="31">
        <f t="shared" si="49"/>
        <v>0.17770105404577741</v>
      </c>
      <c r="O56" s="31">
        <f t="shared" si="49"/>
        <v>0.15626933968456388</v>
      </c>
      <c r="P56" s="31">
        <f t="shared" si="49"/>
        <v>0.13754504825859426</v>
      </c>
      <c r="Q56" s="31">
        <f t="shared" si="49"/>
        <v>0.20448496198229599</v>
      </c>
      <c r="R56" s="31">
        <f t="shared" si="49"/>
        <v>0.2514617403508177</v>
      </c>
      <c r="S56" s="31">
        <f t="shared" si="49"/>
        <v>0.25633728110453147</v>
      </c>
      <c r="T56" s="31">
        <f t="shared" si="49"/>
        <v>0.28316074729455681</v>
      </c>
      <c r="U56" s="31">
        <f>IFERROR((U242-U229)/U145,"…")</f>
        <v>0.20896482813749001</v>
      </c>
      <c r="V56" s="31">
        <f>IFERROR((V242-V229)/V145,"…")</f>
        <v>0.20767387328024997</v>
      </c>
      <c r="W56" s="31">
        <f>IFERROR((W242-W229)/W145,"…")</f>
        <v>0.20638291842301004</v>
      </c>
      <c r="X56" s="31">
        <f>IFERROR((X242-X229)/X145,"…")</f>
        <v>0.20509196356576995</v>
      </c>
      <c r="Y56" s="31">
        <f>IFERROR((Y242-Y229)/Y145,"…")</f>
        <v>0.20380100870852996</v>
      </c>
      <c r="Z56" s="31"/>
      <c r="AA56" s="31"/>
      <c r="AB56" s="97" t="s">
        <v>1741</v>
      </c>
      <c r="AC56" s="97" t="s">
        <v>1741</v>
      </c>
      <c r="AE56" s="30"/>
      <c r="AF56" s="30"/>
      <c r="AJ56" s="31"/>
      <c r="AY56" s="31"/>
      <c r="AZ56" s="27"/>
    </row>
    <row r="57" spans="3:52">
      <c r="D57" s="5"/>
      <c r="E57" s="5"/>
      <c r="F57" s="5"/>
      <c r="G57" s="5"/>
      <c r="H57" s="5"/>
      <c r="I57" s="5"/>
      <c r="J57" s="23"/>
      <c r="N57" s="23"/>
      <c r="O57" s="5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5"/>
      <c r="AC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23"/>
      <c r="AZ57" s="5"/>
    </row>
    <row r="58" spans="3:52">
      <c r="D58" s="5"/>
      <c r="E58" s="5"/>
      <c r="F58" s="5"/>
      <c r="G58" s="5"/>
      <c r="H58" s="5"/>
      <c r="I58" s="5"/>
      <c r="J58" s="23"/>
      <c r="N58" s="23"/>
      <c r="O58" s="5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5"/>
      <c r="AC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23"/>
      <c r="AZ58" s="5"/>
    </row>
    <row r="59" spans="3:52">
      <c r="D59" s="5"/>
      <c r="E59" s="5"/>
      <c r="F59" s="5"/>
      <c r="G59" s="5"/>
      <c r="H59" s="5"/>
      <c r="I59" s="5"/>
      <c r="J59" s="23"/>
      <c r="N59" s="23"/>
      <c r="O59" s="5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5"/>
      <c r="AC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23"/>
      <c r="AZ59" s="5"/>
    </row>
    <row r="60" spans="3:52">
      <c r="P60" s="92"/>
      <c r="Q60" s="92"/>
      <c r="R60" s="95"/>
      <c r="S60" s="95"/>
      <c r="T60" s="95"/>
      <c r="U60" s="95">
        <f>IF(U71="…","…",-U71/U162)</f>
        <v>0.82060154378493477</v>
      </c>
      <c r="V60" s="95">
        <f>IF(V71="…","…",-V71/V162)</f>
        <v>0.79648123502794776</v>
      </c>
      <c r="W60" s="95">
        <f>IF(W71="…","…",-W71/W162)</f>
        <v>0.77236092627096076</v>
      </c>
      <c r="X60" s="95">
        <f>IF(X71="…","…",-X71/X162)</f>
        <v>0.74824061751397386</v>
      </c>
      <c r="Y60" s="95">
        <f>IF(Y71="…","…",-Y71/Y162)</f>
        <v>0.72412030875698696</v>
      </c>
      <c r="Z60" s="95"/>
      <c r="AA60" s="95"/>
      <c r="AB60" s="5"/>
      <c r="AC60" s="5"/>
      <c r="AG60" s="27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95"/>
    </row>
    <row r="61" spans="3:52">
      <c r="C61" s="52"/>
      <c r="D61" s="5"/>
      <c r="E61" s="5"/>
      <c r="F61" s="5"/>
      <c r="G61" s="5"/>
      <c r="H61" s="5"/>
      <c r="I61" s="5"/>
      <c r="J61" s="23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"/>
      <c r="AC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4"/>
      <c r="AZ61" s="5"/>
    </row>
    <row r="62" spans="3:52" ht="13.15">
      <c r="C62" s="89" t="s">
        <v>2188</v>
      </c>
      <c r="D62" s="90">
        <f t="shared" ref="D62:Y62" si="50">IF(D$8="A",SUM(D71,D88),IF(D$8="E",IF(D61=0,D63,D73+D95),"?"))</f>
        <v>-7051</v>
      </c>
      <c r="E62" s="90">
        <f t="shared" si="50"/>
        <v>-5866</v>
      </c>
      <c r="F62" s="90">
        <f t="shared" si="50"/>
        <v>-5206</v>
      </c>
      <c r="G62" s="90">
        <f t="shared" si="50"/>
        <v>-6084</v>
      </c>
      <c r="H62" s="90">
        <f t="shared" si="50"/>
        <v>-9099</v>
      </c>
      <c r="I62" s="90">
        <f t="shared" si="50"/>
        <v>-7911</v>
      </c>
      <c r="J62" s="90">
        <f t="shared" si="50"/>
        <v>-7425</v>
      </c>
      <c r="K62" s="90">
        <f t="shared" si="50"/>
        <v>-9753</v>
      </c>
      <c r="L62" s="90">
        <f t="shared" si="50"/>
        <v>-13108</v>
      </c>
      <c r="M62" s="90">
        <f t="shared" si="50"/>
        <v>-15406</v>
      </c>
      <c r="N62" s="90">
        <f t="shared" si="50"/>
        <v>-16613</v>
      </c>
      <c r="O62" s="90">
        <f t="shared" si="50"/>
        <v>-18234</v>
      </c>
      <c r="P62" s="90">
        <f t="shared" si="50"/>
        <v>-18902</v>
      </c>
      <c r="Q62" s="90">
        <f t="shared" si="50"/>
        <v>-18312</v>
      </c>
      <c r="R62" s="90">
        <f t="shared" si="50"/>
        <v>-18963</v>
      </c>
      <c r="S62" s="90">
        <f t="shared" si="50"/>
        <v>-19401</v>
      </c>
      <c r="T62" s="90">
        <f t="shared" si="50"/>
        <v>-17746</v>
      </c>
      <c r="U62" s="90">
        <f t="shared" si="50"/>
        <v>-26341</v>
      </c>
      <c r="V62" s="90">
        <f t="shared" si="50"/>
        <v>0</v>
      </c>
      <c r="W62" s="90">
        <f t="shared" si="50"/>
        <v>0</v>
      </c>
      <c r="X62" s="90">
        <f t="shared" si="50"/>
        <v>0</v>
      </c>
      <c r="Y62" s="90">
        <f t="shared" si="50"/>
        <v>0</v>
      </c>
      <c r="Z62" s="90"/>
      <c r="AA62" s="90"/>
      <c r="AB62" s="5"/>
      <c r="AC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90"/>
      <c r="AZ62" s="5"/>
    </row>
    <row r="63" spans="3:52">
      <c r="C63" s="74" t="s">
        <v>2220</v>
      </c>
      <c r="D63" s="54">
        <f t="shared" ref="D63:Y63" si="51">SUM(D72,D92)</f>
        <v>-7051</v>
      </c>
      <c r="E63" s="54">
        <f t="shared" si="51"/>
        <v>-5866</v>
      </c>
      <c r="F63" s="54">
        <f t="shared" si="51"/>
        <v>-5206</v>
      </c>
      <c r="G63" s="54">
        <f t="shared" si="51"/>
        <v>-6084</v>
      </c>
      <c r="H63" s="54">
        <f t="shared" si="51"/>
        <v>-9099</v>
      </c>
      <c r="I63" s="54">
        <f t="shared" si="51"/>
        <v>-7911</v>
      </c>
      <c r="J63" s="54">
        <f t="shared" si="51"/>
        <v>-7425</v>
      </c>
      <c r="K63" s="54">
        <f t="shared" si="51"/>
        <v>-9753</v>
      </c>
      <c r="L63" s="54">
        <f t="shared" si="51"/>
        <v>-13108</v>
      </c>
      <c r="M63" s="54">
        <f t="shared" si="51"/>
        <v>-15406</v>
      </c>
      <c r="N63" s="54">
        <f t="shared" si="51"/>
        <v>-16613</v>
      </c>
      <c r="O63" s="54">
        <f t="shared" si="51"/>
        <v>-18234</v>
      </c>
      <c r="P63" s="54">
        <f t="shared" si="51"/>
        <v>-18902</v>
      </c>
      <c r="Q63" s="54">
        <f t="shared" si="51"/>
        <v>-18312</v>
      </c>
      <c r="R63" s="54">
        <f t="shared" si="51"/>
        <v>-18963</v>
      </c>
      <c r="S63" s="54">
        <f t="shared" si="51"/>
        <v>-19401</v>
      </c>
      <c r="T63" s="54">
        <f t="shared" si="51"/>
        <v>-17746</v>
      </c>
      <c r="U63" s="54">
        <f t="shared" si="51"/>
        <v>-26341</v>
      </c>
      <c r="V63" s="54">
        <f t="shared" si="51"/>
        <v>0</v>
      </c>
      <c r="W63" s="54">
        <f t="shared" si="51"/>
        <v>0</v>
      </c>
      <c r="X63" s="54">
        <f t="shared" si="51"/>
        <v>0</v>
      </c>
      <c r="Y63" s="54">
        <f t="shared" si="51"/>
        <v>0</v>
      </c>
      <c r="Z63" s="54"/>
      <c r="AA63" s="54"/>
      <c r="AB63" s="5"/>
      <c r="AC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4"/>
      <c r="AZ63" s="5"/>
    </row>
    <row r="64" spans="3:52" hidden="1" outlineLevel="1">
      <c r="C64" s="74" t="s">
        <v>3626</v>
      </c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 t="str">
        <f t="shared" ref="O64:Y64" si="52">IFERROR(1/(1/AM25),"…")</f>
        <v>…</v>
      </c>
      <c r="P64" s="94" t="str">
        <f t="shared" si="52"/>
        <v>…</v>
      </c>
      <c r="Q64" s="94" t="str">
        <f t="shared" si="52"/>
        <v>…</v>
      </c>
      <c r="R64" s="94" t="str">
        <f t="shared" si="52"/>
        <v>…</v>
      </c>
      <c r="S64" s="94">
        <f t="shared" si="52"/>
        <v>-20607.214</v>
      </c>
      <c r="T64" s="94">
        <f t="shared" si="52"/>
        <v>-16145.6</v>
      </c>
      <c r="U64" s="94">
        <f t="shared" si="52"/>
        <v>-16201.499999999998</v>
      </c>
      <c r="V64" s="94">
        <f t="shared" si="52"/>
        <v>-19611.544999999998</v>
      </c>
      <c r="W64" s="94">
        <f t="shared" si="52"/>
        <v>-20830</v>
      </c>
      <c r="X64" s="94">
        <f t="shared" si="52"/>
        <v>-22177.332999999999</v>
      </c>
      <c r="Y64" s="94">
        <f t="shared" si="52"/>
        <v>-23946.332999999999</v>
      </c>
      <c r="Z64" s="94"/>
      <c r="AA64" s="94"/>
      <c r="AB64" s="23"/>
      <c r="AC64" s="58">
        <f>SUMIFS(D63:AA63,D8:AA8,"A",D64:AA64,"&lt;0")/SUMIFS(D64:AA64,D8:AA8,"A")</f>
        <v>1.1989202617184316</v>
      </c>
      <c r="AD64" s="27">
        <f>-2151.751/-2171.527</f>
        <v>0.99089304438765913</v>
      </c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94"/>
      <c r="AZ64" s="5"/>
    </row>
    <row r="65" spans="3:52" collapsed="1">
      <c r="C65" s="52"/>
      <c r="D65" s="5"/>
      <c r="E65" s="5"/>
      <c r="F65" s="5"/>
      <c r="G65" s="5"/>
      <c r="H65" s="5"/>
      <c r="I65" s="5"/>
      <c r="J65" s="23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"/>
      <c r="AC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4"/>
      <c r="AZ65" s="5"/>
    </row>
    <row r="66" spans="3:52">
      <c r="C66" s="38" t="s">
        <v>2222</v>
      </c>
      <c r="D66" s="110">
        <f t="shared" ref="D66:N66" si="53">D72/(SUM(D72,D93))</f>
        <v>0.78712239398666861</v>
      </c>
      <c r="E66" s="110">
        <f t="shared" si="53"/>
        <v>0.7558813501534265</v>
      </c>
      <c r="F66" s="110">
        <f t="shared" si="53"/>
        <v>0.71609681137149439</v>
      </c>
      <c r="G66" s="110">
        <f t="shared" si="53"/>
        <v>0.76232741617357003</v>
      </c>
      <c r="H66" s="110">
        <f t="shared" si="53"/>
        <v>0.75645675348939445</v>
      </c>
      <c r="I66" s="110">
        <f t="shared" si="53"/>
        <v>0.75376058652509159</v>
      </c>
      <c r="J66" s="110">
        <f t="shared" si="53"/>
        <v>0.77548821548821545</v>
      </c>
      <c r="K66" s="110">
        <f t="shared" si="53"/>
        <v>0.82918076489285353</v>
      </c>
      <c r="L66" s="110">
        <f t="shared" si="53"/>
        <v>0.8005035093072933</v>
      </c>
      <c r="M66" s="110">
        <f t="shared" si="53"/>
        <v>0.73899779306763602</v>
      </c>
      <c r="N66" s="110">
        <f t="shared" si="53"/>
        <v>0.72304821525311502</v>
      </c>
      <c r="O66" s="110">
        <f>IF(O8="A",O72/(SUM(O72,O93)),"?")</f>
        <v>0.72463529669847537</v>
      </c>
      <c r="P66" s="110">
        <f t="shared" ref="P66:Y66" si="54">IF(P8="A",P72/(SUM(P72,P93)),P73/(SUM(P73,P95)))</f>
        <v>0.69579938630832716</v>
      </c>
      <c r="Q66" s="110">
        <f t="shared" si="54"/>
        <v>0.71275666229794665</v>
      </c>
      <c r="R66" s="110">
        <f t="shared" si="54"/>
        <v>0.72398882033433531</v>
      </c>
      <c r="S66" s="110">
        <f t="shared" si="54"/>
        <v>0.73346734704396677</v>
      </c>
      <c r="T66" s="110">
        <f>IF(T8="A",T72/(SUM(T72,T93)),T73/(SUM(T73,T95)))</f>
        <v>0.63524174461850558</v>
      </c>
      <c r="U66" s="110">
        <f t="shared" si="54"/>
        <v>0.70225124330891009</v>
      </c>
      <c r="V66" s="110">
        <f>IF(V8="A",V72/(SUM(V72,V93)),V73/(SUM(V73,V95)))</f>
        <v>0.8548400143881395</v>
      </c>
      <c r="W66" s="110">
        <f t="shared" si="54"/>
        <v>0.75393919638599094</v>
      </c>
      <c r="X66" s="110">
        <f t="shared" si="54"/>
        <v>0.66002583064127618</v>
      </c>
      <c r="Y66" s="110">
        <f t="shared" si="54"/>
        <v>0.56757301907945801</v>
      </c>
      <c r="Z66" s="110"/>
      <c r="AA66" s="110"/>
      <c r="AB66" s="5"/>
      <c r="AC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4"/>
      <c r="AZ66" s="5"/>
    </row>
    <row r="67" spans="3:52">
      <c r="C67" s="74" t="s">
        <v>2144</v>
      </c>
      <c r="D67" s="5"/>
      <c r="E67" s="5"/>
      <c r="F67" s="5"/>
      <c r="G67" s="5"/>
      <c r="H67" s="5"/>
      <c r="I67" s="5"/>
      <c r="J67" s="23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"/>
      <c r="AC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4"/>
      <c r="AZ67" s="5"/>
    </row>
    <row r="68" spans="3:52">
      <c r="C68" s="52"/>
      <c r="D68" s="5"/>
      <c r="E68" s="5"/>
      <c r="F68" s="5"/>
      <c r="G68" s="5"/>
      <c r="H68" s="5"/>
      <c r="I68" s="5"/>
      <c r="J68" s="23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"/>
      <c r="AC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4"/>
      <c r="AZ68" s="5"/>
    </row>
    <row r="69" spans="3:52">
      <c r="C69" s="53" t="s">
        <v>2003</v>
      </c>
      <c r="D69" s="6" t="str">
        <f t="shared" ref="D69:J69" si="55">IF(D71="…","…",IFERROR(-D71/C147,"…"))</f>
        <v>…</v>
      </c>
      <c r="E69" s="6">
        <f t="shared" si="55"/>
        <v>4.9840945112012862E-2</v>
      </c>
      <c r="F69" s="6">
        <f t="shared" si="55"/>
        <v>3.9131712642230337E-2</v>
      </c>
      <c r="G69" s="6">
        <f t="shared" si="55"/>
        <v>4.4224076281287245E-2</v>
      </c>
      <c r="H69" s="6">
        <f t="shared" si="55"/>
        <v>6.3206516249299793E-2</v>
      </c>
      <c r="I69" s="6">
        <f t="shared" si="55"/>
        <v>5.2395262195979196E-2</v>
      </c>
      <c r="J69" s="6">
        <f t="shared" si="55"/>
        <v>5.4740604827592763E-2</v>
      </c>
      <c r="K69" s="6">
        <f t="shared" ref="K69:Y69" si="56">IF(K71="…","…",IFERROR(-K71/K147,"…"))</f>
        <v>5.07540621450134E-2</v>
      </c>
      <c r="L69" s="6">
        <f t="shared" si="56"/>
        <v>5.4459299549502793E-2</v>
      </c>
      <c r="M69" s="6">
        <f t="shared" si="56"/>
        <v>5.7789824727040154E-2</v>
      </c>
      <c r="N69" s="6">
        <f t="shared" si="56"/>
        <v>5.9330824170939156E-2</v>
      </c>
      <c r="O69" s="6">
        <f t="shared" si="56"/>
        <v>6.1947939913358216E-2</v>
      </c>
      <c r="P69" s="6">
        <f t="shared" si="56"/>
        <v>6.0533813234407437E-2</v>
      </c>
      <c r="Q69" s="6">
        <f t="shared" si="56"/>
        <v>5.6580053927051094E-2</v>
      </c>
      <c r="R69" s="6">
        <f t="shared" si="56"/>
        <v>5.8210973970633753E-2</v>
      </c>
      <c r="S69" s="6">
        <f t="shared" si="56"/>
        <v>5.6326989455017573E-2</v>
      </c>
      <c r="T69" s="6">
        <f t="shared" si="56"/>
        <v>5.0577879076111339E-2</v>
      </c>
      <c r="U69" s="6">
        <f t="shared" si="56"/>
        <v>7.3932853717026376E-2</v>
      </c>
      <c r="V69" s="6">
        <f t="shared" si="56"/>
        <v>7.2256274897123732E-2</v>
      </c>
      <c r="W69" s="6">
        <f t="shared" si="56"/>
        <v>6.4845144013084929E-2</v>
      </c>
      <c r="X69" s="6">
        <f t="shared" si="56"/>
        <v>5.8834589456055512E-2</v>
      </c>
      <c r="Y69" s="6">
        <f t="shared" si="56"/>
        <v>5.1854160186889355E-2</v>
      </c>
      <c r="Z69" s="6"/>
      <c r="AA69" s="6"/>
      <c r="AB69" s="5"/>
      <c r="AC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6"/>
      <c r="AZ69" s="5"/>
    </row>
    <row r="70" spans="3:52">
      <c r="C70" s="52"/>
      <c r="D70" s="5"/>
      <c r="E70" s="5"/>
      <c r="F70" s="5"/>
      <c r="G70" s="5"/>
      <c r="H70" s="5"/>
      <c r="I70" s="5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5"/>
      <c r="AC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23"/>
      <c r="AZ70" s="5"/>
    </row>
    <row r="71" spans="3:52" ht="13.15">
      <c r="C71" s="89" t="s">
        <v>2221</v>
      </c>
      <c r="D71" s="90">
        <f t="shared" ref="D71:P71" si="57">IF(ISNUMBER(D72),D72,IF(ISNUMBER(D73),D73,"…"))</f>
        <v>-5550</v>
      </c>
      <c r="E71" s="90">
        <f t="shared" si="57"/>
        <v>-4434</v>
      </c>
      <c r="F71" s="90">
        <f t="shared" si="57"/>
        <v>-3728</v>
      </c>
      <c r="G71" s="90">
        <f t="shared" si="57"/>
        <v>-4638</v>
      </c>
      <c r="H71" s="90">
        <f t="shared" si="57"/>
        <v>-6883</v>
      </c>
      <c r="I71" s="90">
        <f t="shared" si="57"/>
        <v>-5963</v>
      </c>
      <c r="J71" s="90">
        <f t="shared" si="57"/>
        <v>-5758</v>
      </c>
      <c r="K71" s="90">
        <f t="shared" si="57"/>
        <v>-8087</v>
      </c>
      <c r="L71" s="90">
        <f t="shared" si="57"/>
        <v>-10493</v>
      </c>
      <c r="M71" s="90">
        <f t="shared" si="57"/>
        <v>-11385</v>
      </c>
      <c r="N71" s="90">
        <f t="shared" si="57"/>
        <v>-12012</v>
      </c>
      <c r="O71" s="90">
        <f t="shared" si="57"/>
        <v>-13213</v>
      </c>
      <c r="P71" s="90">
        <f t="shared" si="57"/>
        <v>-13152</v>
      </c>
      <c r="Q71" s="90">
        <f t="shared" ref="Q71:V71" si="58">IF(ISNUMBER(Q72),Q72,IF(ISNUMBER(Q73),Q73,"…"))</f>
        <v>-13052</v>
      </c>
      <c r="R71" s="90">
        <f t="shared" si="58"/>
        <v>-13729</v>
      </c>
      <c r="S71" s="90">
        <f t="shared" si="58"/>
        <v>-14230</v>
      </c>
      <c r="T71" s="90">
        <f t="shared" si="58"/>
        <v>-11273</v>
      </c>
      <c r="U71" s="90">
        <f t="shared" si="58"/>
        <v>-18498</v>
      </c>
      <c r="V71" s="90">
        <f t="shared" si="58"/>
        <v>-20099.578567525336</v>
      </c>
      <c r="W71" s="90">
        <f>IF(ISNUMBER(W72),W72,IF(ISNUMBER(W73),W73,"…"))</f>
        <v>-18828.507345297752</v>
      </c>
      <c r="X71" s="90">
        <f>IF(ISNUMBER(X72),X72,IF(ISNUMBER(X73),X73,"…"))</f>
        <v>-17549.330370967331</v>
      </c>
      <c r="Y71" s="90">
        <f>IF(ISNUMBER(Y72),Y72,IF(ISNUMBER(Y73),Y73,"…"))</f>
        <v>-16294.875981204199</v>
      </c>
      <c r="Z71" s="90"/>
      <c r="AA71" s="90"/>
      <c r="AB71" s="27"/>
      <c r="AC71" s="27"/>
      <c r="AD71" s="27"/>
      <c r="AE71" s="27"/>
      <c r="AF71" s="27"/>
      <c r="AG71" s="27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90"/>
    </row>
    <row r="72" spans="3:52">
      <c r="C72" s="67" t="s">
        <v>1549</v>
      </c>
      <c r="D72" s="68">
        <f t="shared" ref="D72:K72" si="59">IFERROR(D478/1,"…")</f>
        <v>-5550</v>
      </c>
      <c r="E72" s="68">
        <f t="shared" si="59"/>
        <v>-4434</v>
      </c>
      <c r="F72" s="68">
        <f t="shared" si="59"/>
        <v>-3728</v>
      </c>
      <c r="G72" s="68">
        <f t="shared" si="59"/>
        <v>-4638</v>
      </c>
      <c r="H72" s="68">
        <f t="shared" si="59"/>
        <v>-6883</v>
      </c>
      <c r="I72" s="68">
        <f t="shared" si="59"/>
        <v>-5963</v>
      </c>
      <c r="J72" s="68">
        <f t="shared" si="59"/>
        <v>-5758</v>
      </c>
      <c r="K72" s="68">
        <f t="shared" si="59"/>
        <v>-8087</v>
      </c>
      <c r="L72" s="68">
        <f t="shared" ref="L72:Q72" si="60">IFERROR(L478/1,"…")</f>
        <v>-10493</v>
      </c>
      <c r="M72" s="68">
        <f t="shared" si="60"/>
        <v>-11385</v>
      </c>
      <c r="N72" s="68">
        <f t="shared" si="60"/>
        <v>-12012</v>
      </c>
      <c r="O72" s="68">
        <f t="shared" si="60"/>
        <v>-13213</v>
      </c>
      <c r="P72" s="68">
        <f t="shared" si="60"/>
        <v>-13152</v>
      </c>
      <c r="Q72" s="68">
        <f t="shared" si="60"/>
        <v>-13052</v>
      </c>
      <c r="R72" s="68">
        <f t="shared" ref="R72:Y72" si="61">IFERROR(R478/1,"…")</f>
        <v>-13729</v>
      </c>
      <c r="S72" s="68">
        <f t="shared" si="61"/>
        <v>-14230</v>
      </c>
      <c r="T72" s="68">
        <f t="shared" si="61"/>
        <v>-11273</v>
      </c>
      <c r="U72" s="68">
        <f t="shared" si="61"/>
        <v>-18498</v>
      </c>
      <c r="V72" s="68" t="str">
        <f t="shared" si="61"/>
        <v>…</v>
      </c>
      <c r="W72" s="68" t="str">
        <f t="shared" si="61"/>
        <v>…</v>
      </c>
      <c r="X72" s="68" t="str">
        <f t="shared" si="61"/>
        <v>…</v>
      </c>
      <c r="Y72" s="68" t="str">
        <f t="shared" si="61"/>
        <v>…</v>
      </c>
      <c r="Z72" s="68"/>
      <c r="AA72" s="68"/>
      <c r="AB72" s="23"/>
      <c r="AC72" s="23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68"/>
      <c r="AZ72" s="5"/>
    </row>
    <row r="73" spans="3:52" ht="13.15">
      <c r="C73" s="67" t="s">
        <v>353</v>
      </c>
      <c r="D73" s="7"/>
      <c r="E73" s="55" t="str">
        <f t="shared" ref="E73:V73" si="62">IFERROR(-E79*E162,"…")</f>
        <v>…</v>
      </c>
      <c r="F73" s="55" t="str">
        <f t="shared" si="62"/>
        <v>…</v>
      </c>
      <c r="G73" s="55" t="str">
        <f t="shared" si="62"/>
        <v>…</v>
      </c>
      <c r="H73" s="55" t="str">
        <f t="shared" si="62"/>
        <v>…</v>
      </c>
      <c r="I73" s="55" t="str">
        <f t="shared" si="62"/>
        <v>…</v>
      </c>
      <c r="J73" s="55" t="str">
        <f t="shared" si="62"/>
        <v>…</v>
      </c>
      <c r="K73" s="55" t="str">
        <f t="shared" si="62"/>
        <v>…</v>
      </c>
      <c r="L73" s="55" t="str">
        <f t="shared" si="62"/>
        <v>…</v>
      </c>
      <c r="M73" s="55" t="str">
        <f t="shared" si="62"/>
        <v>…</v>
      </c>
      <c r="N73" s="55" t="str">
        <f t="shared" si="62"/>
        <v>…</v>
      </c>
      <c r="O73" s="55" t="str">
        <f t="shared" si="62"/>
        <v>…</v>
      </c>
      <c r="P73" s="55" t="str">
        <f t="shared" si="62"/>
        <v>…</v>
      </c>
      <c r="Q73" s="55" t="str">
        <f t="shared" si="62"/>
        <v>…</v>
      </c>
      <c r="R73" s="55" t="str">
        <f t="shared" si="62"/>
        <v>…</v>
      </c>
      <c r="S73" s="55" t="str">
        <f t="shared" si="62"/>
        <v>…</v>
      </c>
      <c r="T73" s="55" t="str">
        <f t="shared" si="62"/>
        <v>…</v>
      </c>
      <c r="U73" s="55" t="str">
        <f t="shared" si="62"/>
        <v>…</v>
      </c>
      <c r="V73" s="55">
        <f t="shared" si="62"/>
        <v>-20099.578567525336</v>
      </c>
      <c r="W73" s="55">
        <f>IFERROR(-W79*W162,"…")</f>
        <v>-18828.507345297752</v>
      </c>
      <c r="X73" s="55">
        <f>IFERROR(-X79*X162,"…")</f>
        <v>-17549.330370967331</v>
      </c>
      <c r="Y73" s="55">
        <f>IFERROR(-Y79*Y162,"…")</f>
        <v>-16294.875981204199</v>
      </c>
      <c r="Z73" s="55"/>
      <c r="AA73" s="55"/>
      <c r="AG73" s="9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5"/>
      <c r="AZ73" s="5"/>
    </row>
    <row r="74" spans="3:52" ht="13.15">
      <c r="C74" s="67" t="s">
        <v>2474</v>
      </c>
      <c r="D74" s="7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G74" s="9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5"/>
      <c r="AZ74" s="5"/>
    </row>
    <row r="75" spans="3:52">
      <c r="C75" s="52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55"/>
      <c r="AB75" s="23"/>
      <c r="AC75" s="23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68"/>
      <c r="AZ75" s="5"/>
    </row>
    <row r="76" spans="3:52">
      <c r="C76" s="53" t="s">
        <v>344</v>
      </c>
      <c r="D76" s="109"/>
      <c r="E76" s="109">
        <f t="shared" ref="E76:Y76" si="63">IF(E8="A",IF(E72="…","…",-E72/E162),IF(E73="…","…",-E73/E$162))</f>
        <v>0.85056589295990792</v>
      </c>
      <c r="F76" s="109">
        <f t="shared" si="63"/>
        <v>0.77893857083159213</v>
      </c>
      <c r="G76" s="109">
        <f t="shared" si="63"/>
        <v>0.96024844720496894</v>
      </c>
      <c r="H76" s="109">
        <f t="shared" si="63"/>
        <v>1.4882162162162162</v>
      </c>
      <c r="I76" s="109">
        <f t="shared" si="63"/>
        <v>1.3036729339746393</v>
      </c>
      <c r="J76" s="109">
        <f t="shared" si="63"/>
        <v>1.2170788416825196</v>
      </c>
      <c r="K76" s="109">
        <f t="shared" si="63"/>
        <v>1.6447020540980273</v>
      </c>
      <c r="L76" s="109">
        <f t="shared" si="63"/>
        <v>1.757915898810521</v>
      </c>
      <c r="M76" s="109">
        <f t="shared" si="63"/>
        <v>1.7020481387352369</v>
      </c>
      <c r="N76" s="109">
        <f t="shared" si="63"/>
        <v>1.5996803835397524</v>
      </c>
      <c r="O76" s="109">
        <f t="shared" si="63"/>
        <v>1.0097821933511655</v>
      </c>
      <c r="P76" s="109">
        <f t="shared" si="63"/>
        <v>0.85580426861009895</v>
      </c>
      <c r="Q76" s="109">
        <f t="shared" si="63"/>
        <v>0.77857313290384156</v>
      </c>
      <c r="R76" s="109">
        <f t="shared" si="63"/>
        <v>0.79940607895656224</v>
      </c>
      <c r="S76" s="109">
        <f t="shared" si="63"/>
        <v>0.72321610083350274</v>
      </c>
      <c r="T76" s="109">
        <f t="shared" si="63"/>
        <v>0.54990243902439029</v>
      </c>
      <c r="U76" s="109">
        <f t="shared" si="63"/>
        <v>0.82060154378493477</v>
      </c>
      <c r="V76" s="109">
        <f t="shared" si="63"/>
        <v>0.79648123502794776</v>
      </c>
      <c r="W76" s="109">
        <f t="shared" si="63"/>
        <v>0.77236092627096076</v>
      </c>
      <c r="X76" s="109">
        <f t="shared" si="63"/>
        <v>0.74824061751397386</v>
      </c>
      <c r="Y76" s="109">
        <f t="shared" si="63"/>
        <v>0.72412030875698696</v>
      </c>
      <c r="Z76" s="109"/>
      <c r="AA76" s="55"/>
      <c r="AB76" s="5"/>
      <c r="AC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109"/>
      <c r="AZ76" s="5"/>
    </row>
    <row r="77" spans="3:52">
      <c r="C77" s="52" t="s">
        <v>1548</v>
      </c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09"/>
      <c r="AA77" s="55"/>
      <c r="AB77" s="5"/>
      <c r="AC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23"/>
      <c r="AZ77" s="5"/>
    </row>
    <row r="78" spans="3:52">
      <c r="C78" s="52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09"/>
      <c r="AA78" s="55"/>
      <c r="AB78" s="5"/>
      <c r="AC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23"/>
      <c r="AZ78" s="5"/>
    </row>
    <row r="79" spans="3:52" ht="13.15">
      <c r="C79" s="52" t="s">
        <v>1550</v>
      </c>
      <c r="D79" s="109" t="str">
        <f t="shared" ref="D79:Y79" si="64">IF(D8="A","…",IFERROR(IF(D80&gt;0,D80,IFERROR(1/(1/(D82*D83)),IFERROR(1/(1/(D85*D86)),"no dep. ratio"))),"…"))</f>
        <v>…</v>
      </c>
      <c r="E79" s="109" t="str">
        <f t="shared" si="64"/>
        <v>…</v>
      </c>
      <c r="F79" s="109" t="str">
        <f t="shared" si="64"/>
        <v>…</v>
      </c>
      <c r="G79" s="109" t="str">
        <f t="shared" si="64"/>
        <v>…</v>
      </c>
      <c r="H79" s="109" t="str">
        <f t="shared" si="64"/>
        <v>…</v>
      </c>
      <c r="I79" s="109" t="str">
        <f t="shared" si="64"/>
        <v>…</v>
      </c>
      <c r="J79" s="109" t="str">
        <f t="shared" si="64"/>
        <v>…</v>
      </c>
      <c r="K79" s="109" t="str">
        <f t="shared" si="64"/>
        <v>…</v>
      </c>
      <c r="L79" s="109" t="str">
        <f t="shared" si="64"/>
        <v>…</v>
      </c>
      <c r="M79" s="109" t="str">
        <f t="shared" si="64"/>
        <v>…</v>
      </c>
      <c r="N79" s="109" t="str">
        <f t="shared" si="64"/>
        <v>…</v>
      </c>
      <c r="O79" s="109" t="str">
        <f t="shared" si="64"/>
        <v>…</v>
      </c>
      <c r="P79" s="109" t="str">
        <f t="shared" si="64"/>
        <v>…</v>
      </c>
      <c r="Q79" s="109" t="str">
        <f t="shared" si="64"/>
        <v>…</v>
      </c>
      <c r="R79" s="109" t="str">
        <f t="shared" si="64"/>
        <v>…</v>
      </c>
      <c r="S79" s="109" t="str">
        <f t="shared" si="64"/>
        <v>…</v>
      </c>
      <c r="T79" s="109" t="str">
        <f t="shared" si="64"/>
        <v>…</v>
      </c>
      <c r="U79" s="109" t="str">
        <f t="shared" si="64"/>
        <v>…</v>
      </c>
      <c r="V79" s="109">
        <f t="shared" si="64"/>
        <v>0.79648123502794776</v>
      </c>
      <c r="W79" s="109">
        <f t="shared" si="64"/>
        <v>0.77236092627096076</v>
      </c>
      <c r="X79" s="109">
        <f t="shared" si="64"/>
        <v>0.74824061751397386</v>
      </c>
      <c r="Y79" s="109">
        <f t="shared" si="64"/>
        <v>0.72412030875698696</v>
      </c>
      <c r="Z79" s="109"/>
      <c r="AA79" s="55"/>
      <c r="AG79" s="9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36"/>
      <c r="AZ79" s="5"/>
    </row>
    <row r="80" spans="3:52">
      <c r="C80" s="52" t="s">
        <v>1551</v>
      </c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113">
        <v>0</v>
      </c>
      <c r="S80" s="113">
        <v>0</v>
      </c>
      <c r="T80" s="113">
        <v>0</v>
      </c>
      <c r="U80" s="113">
        <v>0</v>
      </c>
      <c r="V80" s="113">
        <v>0</v>
      </c>
      <c r="W80" s="113">
        <v>0</v>
      </c>
      <c r="X80" s="113">
        <v>0</v>
      </c>
      <c r="Y80" s="113">
        <v>0</v>
      </c>
      <c r="Z80" s="109"/>
      <c r="AA80" s="5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75"/>
      <c r="AZ80" s="5"/>
    </row>
    <row r="81" spans="1:54">
      <c r="Z81" s="109"/>
      <c r="AA81" s="55"/>
    </row>
    <row r="82" spans="1:54" ht="13.15" thickBot="1">
      <c r="C82" s="74" t="s">
        <v>2144</v>
      </c>
      <c r="R82" s="75">
        <v>0</v>
      </c>
      <c r="S82" s="75">
        <v>1</v>
      </c>
      <c r="T82" s="75">
        <v>1</v>
      </c>
      <c r="U82" s="75">
        <v>1</v>
      </c>
      <c r="V82" s="75">
        <v>1</v>
      </c>
      <c r="W82" s="75">
        <v>1</v>
      </c>
      <c r="X82" s="75">
        <v>1</v>
      </c>
      <c r="Y82" s="75">
        <v>1</v>
      </c>
      <c r="Z82" s="109"/>
      <c r="AA82" s="55"/>
    </row>
    <row r="83" spans="1:54" ht="13.15" thickBot="1">
      <c r="D83" s="36" t="str">
        <f t="shared" ref="D83:P83" si="65">IF("E"=D8,MAX($AF$86,C76-(($K$76-$AF$86)/$AF$83)),"…")</f>
        <v>…</v>
      </c>
      <c r="E83" s="36" t="str">
        <f t="shared" si="65"/>
        <v>…</v>
      </c>
      <c r="F83" s="36" t="str">
        <f t="shared" si="65"/>
        <v>…</v>
      </c>
      <c r="G83" s="36" t="str">
        <f t="shared" si="65"/>
        <v>…</v>
      </c>
      <c r="H83" s="36" t="str">
        <f t="shared" si="65"/>
        <v>…</v>
      </c>
      <c r="I83" s="36" t="str">
        <f t="shared" si="65"/>
        <v>…</v>
      </c>
      <c r="J83" s="36" t="str">
        <f t="shared" si="65"/>
        <v>…</v>
      </c>
      <c r="K83" s="36" t="str">
        <f t="shared" si="65"/>
        <v>…</v>
      </c>
      <c r="L83" s="36" t="str">
        <f t="shared" si="65"/>
        <v>…</v>
      </c>
      <c r="M83" s="36" t="str">
        <f t="shared" si="65"/>
        <v>…</v>
      </c>
      <c r="N83" s="36" t="str">
        <f t="shared" si="65"/>
        <v>…</v>
      </c>
      <c r="O83" s="36" t="str">
        <f t="shared" si="65"/>
        <v>…</v>
      </c>
      <c r="P83" s="36" t="str">
        <f t="shared" si="65"/>
        <v>…</v>
      </c>
      <c r="Q83" s="25" t="str">
        <f t="shared" ref="Q83:Y83" si="66">IF("E"=Q8,MAX($AF$86,P76-((P76-$AF$86)/($AF$83-COUNTIF(D8:Q8,"E")+1))),"…")</f>
        <v>…</v>
      </c>
      <c r="R83" s="25" t="str">
        <f t="shared" si="66"/>
        <v>…</v>
      </c>
      <c r="S83" s="25" t="str">
        <f t="shared" si="66"/>
        <v>…</v>
      </c>
      <c r="T83" s="25" t="str">
        <f t="shared" si="66"/>
        <v>…</v>
      </c>
      <c r="U83" s="25" t="str">
        <f t="shared" si="66"/>
        <v>…</v>
      </c>
      <c r="V83" s="25">
        <f t="shared" si="66"/>
        <v>0.79648123502794776</v>
      </c>
      <c r="W83" s="25">
        <f t="shared" si="66"/>
        <v>0.77236092627096076</v>
      </c>
      <c r="X83" s="25">
        <f t="shared" si="66"/>
        <v>0.74824061751397386</v>
      </c>
      <c r="Y83" s="25">
        <f t="shared" si="66"/>
        <v>0.72412030875698696</v>
      </c>
      <c r="Z83" s="109"/>
      <c r="AA83" s="125" t="s">
        <v>3813</v>
      </c>
      <c r="AC83" s="29" t="s">
        <v>324</v>
      </c>
      <c r="AF83" s="26">
        <v>5</v>
      </c>
      <c r="AG83" s="29" t="s">
        <v>1748</v>
      </c>
      <c r="AK83" s="22"/>
      <c r="AY83" s="36"/>
    </row>
    <row r="84" spans="1:54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25"/>
      <c r="R84" s="25"/>
      <c r="S84" s="25"/>
      <c r="T84" s="25"/>
      <c r="U84" s="25"/>
      <c r="V84" s="25"/>
      <c r="W84" s="25"/>
      <c r="X84" s="25"/>
      <c r="Y84" s="25"/>
      <c r="Z84" s="109"/>
      <c r="AA84" s="55"/>
      <c r="AC84" s="29"/>
      <c r="AF84" s="23"/>
      <c r="AG84" s="29"/>
      <c r="AK84" s="22"/>
      <c r="AY84" s="36"/>
    </row>
    <row r="85" spans="1:54" ht="13.15" thickBot="1">
      <c r="C85" s="74" t="s">
        <v>2145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109"/>
      <c r="AA85" s="55"/>
    </row>
    <row r="86" spans="1:54" s="33" customFormat="1" ht="13.5" thickBot="1">
      <c r="A86" s="5"/>
      <c r="B86" s="5"/>
      <c r="C86" s="74"/>
      <c r="D86" s="7"/>
      <c r="E86" s="7"/>
      <c r="F86" s="7"/>
      <c r="G86" s="7"/>
      <c r="H86" s="7"/>
      <c r="I86" s="7"/>
      <c r="J86" s="7"/>
      <c r="K86" s="36" t="str">
        <f>IF("E"=K8,(SUM($D76:J76)-MAX($D76:J76)-MIN($D76:J76))/(COUNT($D76:J76)-2),"…")</f>
        <v>…</v>
      </c>
      <c r="L86" s="36" t="str">
        <f>IF("E"=L8,(SUM($D76:K76)-MAX($D76:K76)-MIN($D76:K76))/(COUNT($D76:K76)-2),"…")</f>
        <v>…</v>
      </c>
      <c r="M86" s="36" t="str">
        <f>IF("E"=M8,(SUM($D76:L76)-MAX($D76:L76)-MIN($D76:L76))/(COUNT($D76:L76)-2),"…")</f>
        <v>…</v>
      </c>
      <c r="N86" s="36" t="str">
        <f>IF("E"=N8,(SUM($D76:M76)-MAX($D76:M76)-MIN($D76:M76))/(COUNT($D76:M76)-2),"…")</f>
        <v>…</v>
      </c>
      <c r="O86" s="36" t="str">
        <f>IF("E"=O8,(SUM($D76:N76)-MAX($D76:N76)-MIN($D76:N76))/(COUNT($D76:N76)-2),"…")</f>
        <v>…</v>
      </c>
      <c r="P86" s="36" t="str">
        <f>IF("E"=P8,(SUM($D76:O76)-MAX($D76:O76)-MIN($D76:O76))/(COUNT($D76:O76)-2),"…")</f>
        <v>…</v>
      </c>
      <c r="Q86" s="25" t="str">
        <f>IF("E"=Q8,(SUM($D76:P76)-MAX($D76:P76)-MIN($D76:P76))/(COUNT($D76:P76)-2),"…")</f>
        <v>…</v>
      </c>
      <c r="R86" s="25" t="str">
        <f>IF("E"=R8,(SUM($D76:Q76)-MAX($D76:Q76)-MIN($D76:Q76))/(COUNT($D76:Q76)-2),"…")</f>
        <v>…</v>
      </c>
      <c r="S86" s="25" t="str">
        <f>IF("E"=S8,(SUM($D76:R76)-MAX($D76:R76)-MIN($D76:R76))/(COUNT($D76:R76)-2),"…")</f>
        <v>…</v>
      </c>
      <c r="T86" s="25" t="str">
        <f>IF("E"=T8,(SUM($D76:S76)-MAX($D76:S76)-MIN($D76:S76))/(COUNT($D76:S76)-2),"…")</f>
        <v>…</v>
      </c>
      <c r="U86" s="25" t="str">
        <f>IF("E"=U8,(SUM($D76:T76)-MAX($D76:T76)-MIN($D76:T76))/(COUNT($D76:T76)-2),"…")</f>
        <v>…</v>
      </c>
      <c r="V86" s="25">
        <f>IF("E"=V8,(SUM($D76:U76)-MAX($D76:U76)-MIN($D76:U76))/(COUNT($D76:U76)-2),"…")</f>
        <v>1.102168986512198</v>
      </c>
      <c r="W86" s="25">
        <f>IF("E"=W8,(SUM($D76:V76)-MAX($D76:V76)-MIN($D76:V76))/(COUNT($D76:V76)-2),"…")</f>
        <v>1.0830635020444324</v>
      </c>
      <c r="X86" s="25">
        <f>IF("E"=X8,(SUM($D76:W76)-MAX($D76:W76)-MIN($D76:W76))/(COUNT($D76:W76)-2),"…")</f>
        <v>1.0647868799401103</v>
      </c>
      <c r="Y86" s="25">
        <f>IF("E"=Y8,(SUM($D76:X76)-MAX($D76:X76)-MIN($D76:X76))/(COUNT($D76:X76)-2),"…")</f>
        <v>1.0472009764719918</v>
      </c>
      <c r="Z86" s="109"/>
      <c r="AA86" s="55"/>
      <c r="AB86" s="20"/>
      <c r="AC86" s="29" t="s">
        <v>324</v>
      </c>
      <c r="AE86" s="5"/>
      <c r="AF86" s="26">
        <v>0.7</v>
      </c>
      <c r="AG86" s="29" t="s">
        <v>1749</v>
      </c>
      <c r="AH86" s="5"/>
      <c r="AI86" s="5"/>
      <c r="AJ86" s="22"/>
      <c r="AK86" s="23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36"/>
      <c r="AZ86" s="24"/>
      <c r="BA86" s="5"/>
      <c r="BB86" s="5"/>
    </row>
    <row r="87" spans="1:54">
      <c r="C87" s="52"/>
      <c r="D87" s="5"/>
      <c r="E87" s="5"/>
      <c r="F87" s="5"/>
      <c r="G87" s="5"/>
      <c r="H87" s="5"/>
      <c r="I87" s="5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109"/>
      <c r="AA87" s="55"/>
      <c r="AB87" s="5"/>
      <c r="AC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23"/>
      <c r="AZ87" s="5"/>
    </row>
    <row r="88" spans="1:54" s="33" customFormat="1" ht="13.15">
      <c r="A88" s="5"/>
      <c r="B88" s="5"/>
      <c r="C88" s="89" t="s">
        <v>2000</v>
      </c>
      <c r="D88" s="90">
        <f t="shared" ref="D88:X88" si="67">IFERROR(1/(1/D93),IFERROR(1/(1/D95),IFERROR(1/(1/D94),"…")))</f>
        <v>-1501</v>
      </c>
      <c r="E88" s="90">
        <f t="shared" si="67"/>
        <v>-1432</v>
      </c>
      <c r="F88" s="90">
        <f t="shared" si="67"/>
        <v>-1478</v>
      </c>
      <c r="G88" s="90">
        <f t="shared" si="67"/>
        <v>-1446</v>
      </c>
      <c r="H88" s="90">
        <f t="shared" si="67"/>
        <v>-2216</v>
      </c>
      <c r="I88" s="90">
        <f t="shared" si="67"/>
        <v>-1948</v>
      </c>
      <c r="J88" s="90">
        <f t="shared" si="67"/>
        <v>-1667.0000000000002</v>
      </c>
      <c r="K88" s="90">
        <f t="shared" si="67"/>
        <v>-1666.0000000000002</v>
      </c>
      <c r="L88" s="90">
        <f t="shared" si="67"/>
        <v>-2615</v>
      </c>
      <c r="M88" s="90">
        <f t="shared" si="67"/>
        <v>-4021</v>
      </c>
      <c r="N88" s="90">
        <f t="shared" si="67"/>
        <v>-4601</v>
      </c>
      <c r="O88" s="90">
        <f t="shared" si="67"/>
        <v>-5021</v>
      </c>
      <c r="P88" s="90">
        <f t="shared" si="67"/>
        <v>-5750</v>
      </c>
      <c r="Q88" s="90">
        <f t="shared" si="67"/>
        <v>-5260</v>
      </c>
      <c r="R88" s="90">
        <f t="shared" si="67"/>
        <v>-5234</v>
      </c>
      <c r="S88" s="90">
        <f t="shared" si="67"/>
        <v>-5171</v>
      </c>
      <c r="T88" s="90">
        <f t="shared" si="67"/>
        <v>-6473</v>
      </c>
      <c r="U88" s="90">
        <f t="shared" si="67"/>
        <v>-7843</v>
      </c>
      <c r="V88" s="90">
        <f t="shared" si="67"/>
        <v>-3413.1000965774624</v>
      </c>
      <c r="W88" s="90">
        <f t="shared" si="67"/>
        <v>-6145.0017062971783</v>
      </c>
      <c r="X88" s="90">
        <f t="shared" si="67"/>
        <v>-9039.523513609478</v>
      </c>
      <c r="Y88" s="90">
        <f>IFERROR(1/(1/Y93),IFERROR(1/(1/Y95),IFERROR(1/(1/Y94),"…")))</f>
        <v>-12414.867846352516</v>
      </c>
      <c r="Z88" s="109"/>
      <c r="AA88" s="55"/>
      <c r="AB88" s="20"/>
      <c r="AC88" s="20"/>
      <c r="AD88" s="24"/>
      <c r="AE88" s="5"/>
      <c r="AF88" s="5"/>
      <c r="AG88" s="9"/>
      <c r="AH88" s="5"/>
      <c r="AI88" s="5"/>
      <c r="AJ88" s="22"/>
      <c r="AK88" s="23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90"/>
      <c r="AZ88" s="24"/>
      <c r="BA88" s="5"/>
      <c r="BB88" s="5"/>
    </row>
    <row r="89" spans="1:54" s="33" customFormat="1" ht="13.15">
      <c r="A89" s="5"/>
      <c r="B89" s="5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109"/>
      <c r="AA89" s="55"/>
      <c r="AB89" s="20"/>
      <c r="AC89" s="20"/>
      <c r="AD89" s="24"/>
      <c r="AE89" s="5"/>
      <c r="AF89" s="5"/>
      <c r="AG89" s="9"/>
      <c r="AH89" s="5"/>
      <c r="AI89" s="5"/>
      <c r="AJ89" s="22"/>
      <c r="AK89" s="23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90"/>
      <c r="AZ89" s="24"/>
      <c r="BA89" s="5"/>
      <c r="BB89" s="5"/>
    </row>
    <row r="90" spans="1:54" s="33" customFormat="1" ht="13.15">
      <c r="A90" s="5"/>
      <c r="B90" s="5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109"/>
      <c r="AA90" s="55"/>
      <c r="AB90" s="20"/>
      <c r="AC90" s="20"/>
      <c r="AD90" s="24"/>
      <c r="AE90" s="5"/>
      <c r="AF90" s="5"/>
      <c r="AG90" s="9"/>
      <c r="AH90" s="5"/>
      <c r="AI90" s="5"/>
      <c r="AJ90" s="22"/>
      <c r="AK90" s="23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90"/>
      <c r="AZ90" s="24"/>
      <c r="BA90" s="5"/>
      <c r="BB90" s="5"/>
    </row>
    <row r="91" spans="1:54" s="33" customFormat="1" ht="13.15">
      <c r="A91" s="5"/>
      <c r="B91" s="5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109"/>
      <c r="AA91" s="55"/>
      <c r="AB91" s="20"/>
      <c r="AC91" s="20"/>
      <c r="AD91" s="24"/>
      <c r="AE91" s="5"/>
      <c r="AF91" s="5"/>
      <c r="AG91" s="9"/>
      <c r="AH91" s="5"/>
      <c r="AI91" s="5"/>
      <c r="AJ91" s="22"/>
      <c r="AK91" s="23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90"/>
      <c r="AZ91" s="24"/>
      <c r="BA91" s="5"/>
      <c r="BB91" s="5"/>
    </row>
    <row r="92" spans="1:54" s="33" customFormat="1" ht="13.15">
      <c r="A92" s="5"/>
      <c r="B92" s="5"/>
      <c r="C92" s="38" t="s">
        <v>2001</v>
      </c>
      <c r="D92" s="36">
        <f>IFERROR(IF(D93&lt;0,D93,1/(1/#REF!)),0)</f>
        <v>-1501</v>
      </c>
      <c r="E92" s="36">
        <f>IFERROR(IF(E93&lt;0,E93,1/(1/#REF!)),0)</f>
        <v>-1432</v>
      </c>
      <c r="F92" s="36">
        <f>IFERROR(IF(F93&lt;0,F93,1/(1/#REF!)),0)</f>
        <v>-1478</v>
      </c>
      <c r="G92" s="36">
        <f>IFERROR(IF(G93&lt;0,G93,1/(1/#REF!)),0)</f>
        <v>-1446</v>
      </c>
      <c r="H92" s="36">
        <f>IFERROR(IF(H93&lt;0,H93,1/(1/#REF!)),0)</f>
        <v>-2216</v>
      </c>
      <c r="I92" s="36">
        <f>IFERROR(IF(I93&lt;0,I93,1/(1/#REF!)),0)</f>
        <v>-1948</v>
      </c>
      <c r="J92" s="36">
        <f>IFERROR(IF(J93&lt;0,J93,1/(1/#REF!)),0)</f>
        <v>-1667</v>
      </c>
      <c r="K92" s="36">
        <f>IFERROR(IF(K93&lt;0,K93,1/(1/#REF!)),0)</f>
        <v>-1666</v>
      </c>
      <c r="L92" s="36">
        <f>IFERROR(IF(L93&lt;0,L93,1/(1/#REF!)),0)</f>
        <v>-2615</v>
      </c>
      <c r="M92" s="36">
        <f>IFERROR(IF(M93&lt;0,M93,1/(1/#REF!)),0)</f>
        <v>-4021</v>
      </c>
      <c r="N92" s="36">
        <f>IFERROR(IF(N93&lt;0,N93,1/(1/#REF!)),0)</f>
        <v>-4601</v>
      </c>
      <c r="O92" s="36">
        <f>IFERROR(IF(O93&lt;0,O93,1/(1/#REF!)),0)</f>
        <v>-5021</v>
      </c>
      <c r="P92" s="36">
        <f>IFERROR(IF(P93&lt;0,P93,1/(1/#REF!)),0)</f>
        <v>-5750</v>
      </c>
      <c r="Q92" s="36">
        <f>IFERROR(IF(Q93&lt;0,Q93,1/(1/#REF!)),0)</f>
        <v>-5260</v>
      </c>
      <c r="R92" s="36">
        <f>IFERROR(IF(R93&lt;0,R93,1/(1/#REF!)),0)</f>
        <v>-5234</v>
      </c>
      <c r="S92" s="36">
        <f>IFERROR(IF(S93&lt;0,S93,1/(1/#REF!)),0)</f>
        <v>-5171</v>
      </c>
      <c r="T92" s="36">
        <f>IFERROR(IF(T93&lt;0,T93,1/(1/#REF!)),0)</f>
        <v>-6473</v>
      </c>
      <c r="U92" s="36">
        <f>IFERROR(IF(U93&lt;0,U93,1/(1/#REF!)),0)</f>
        <v>-7843</v>
      </c>
      <c r="V92" s="36">
        <f>IFERROR(IF(V93&lt;0,V93,1/(1/#REF!)),0)</f>
        <v>0</v>
      </c>
      <c r="W92" s="36">
        <f>IFERROR(IF(W93&lt;0,W93,1/(1/#REF!)),0)</f>
        <v>0</v>
      </c>
      <c r="X92" s="36">
        <f>IFERROR(IF(X93&lt;0,X93,1/(1/#REF!)),0)</f>
        <v>0</v>
      </c>
      <c r="Y92" s="36">
        <f>IFERROR(IF(Y93&lt;0,Y93,1/(1/#REF!)),0)</f>
        <v>0</v>
      </c>
      <c r="Z92" s="109"/>
      <c r="AA92" s="55"/>
      <c r="AB92" s="20"/>
      <c r="AC92" s="20"/>
      <c r="AD92" s="24"/>
      <c r="AE92" s="5"/>
      <c r="AF92" s="5"/>
      <c r="AG92" s="9"/>
      <c r="AH92" s="5"/>
      <c r="AI92" s="5"/>
      <c r="AJ92" s="22"/>
      <c r="AK92" s="23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36"/>
      <c r="AZ92" s="24"/>
      <c r="BA92" s="5"/>
      <c r="BB92" s="5"/>
    </row>
    <row r="93" spans="1:54" s="33" customFormat="1" ht="13.15">
      <c r="A93" s="5"/>
      <c r="B93" s="5"/>
      <c r="C93" s="67" t="s">
        <v>1575</v>
      </c>
      <c r="D93" s="25">
        <f t="shared" ref="D93:P93" si="68">IFERROR(D118/1,"…")</f>
        <v>-1501</v>
      </c>
      <c r="E93" s="25">
        <f t="shared" si="68"/>
        <v>-1432</v>
      </c>
      <c r="F93" s="25">
        <f t="shared" si="68"/>
        <v>-1478</v>
      </c>
      <c r="G93" s="25">
        <f t="shared" si="68"/>
        <v>-1446</v>
      </c>
      <c r="H93" s="25">
        <f t="shared" si="68"/>
        <v>-2216</v>
      </c>
      <c r="I93" s="36">
        <f t="shared" si="68"/>
        <v>-1948</v>
      </c>
      <c r="J93" s="36">
        <f t="shared" si="68"/>
        <v>-1667</v>
      </c>
      <c r="K93" s="36">
        <f t="shared" si="68"/>
        <v>-1666</v>
      </c>
      <c r="L93" s="36">
        <f t="shared" si="68"/>
        <v>-2615</v>
      </c>
      <c r="M93" s="36">
        <f t="shared" si="68"/>
        <v>-4021</v>
      </c>
      <c r="N93" s="36">
        <f t="shared" si="68"/>
        <v>-4601</v>
      </c>
      <c r="O93" s="36">
        <f t="shared" si="68"/>
        <v>-5021</v>
      </c>
      <c r="P93" s="36">
        <f t="shared" si="68"/>
        <v>-5750</v>
      </c>
      <c r="Q93" s="36">
        <f t="shared" ref="Q93:V93" si="69">IFERROR(Q118/1,"…")</f>
        <v>-5260</v>
      </c>
      <c r="R93" s="36">
        <f t="shared" si="69"/>
        <v>-5234</v>
      </c>
      <c r="S93" s="36">
        <f t="shared" si="69"/>
        <v>-5171</v>
      </c>
      <c r="T93" s="36">
        <f t="shared" si="69"/>
        <v>-6473</v>
      </c>
      <c r="U93" s="36">
        <f t="shared" si="69"/>
        <v>-7843</v>
      </c>
      <c r="V93" s="36" t="str">
        <f t="shared" si="69"/>
        <v>…</v>
      </c>
      <c r="W93" s="36" t="str">
        <f>IFERROR(W118/1,"…")</f>
        <v>…</v>
      </c>
      <c r="X93" s="36" t="str">
        <f>IFERROR(X118/1,"…")</f>
        <v>…</v>
      </c>
      <c r="Y93" s="36" t="str">
        <f>IFERROR(Y118/1,"…")</f>
        <v>…</v>
      </c>
      <c r="Z93" s="109"/>
      <c r="AA93" s="25"/>
      <c r="AB93" s="20"/>
      <c r="AC93" s="20"/>
      <c r="AD93" s="24"/>
      <c r="AE93" s="5"/>
      <c r="AF93" s="5"/>
      <c r="AG93" s="9"/>
      <c r="AH93" s="5"/>
      <c r="AI93" s="5"/>
      <c r="AJ93" s="22"/>
      <c r="AK93" s="23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5"/>
      <c r="AZ93" s="24"/>
      <c r="BA93" s="5"/>
      <c r="BB93" s="5"/>
    </row>
    <row r="94" spans="1:54" ht="13.15" hidden="1">
      <c r="C94" s="67" t="s">
        <v>2002</v>
      </c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109"/>
      <c r="AA94" s="55"/>
      <c r="AG94" s="9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5"/>
      <c r="AZ94" s="5"/>
    </row>
    <row r="95" spans="1:54" ht="13.15" hidden="1">
      <c r="C95" s="67"/>
      <c r="D95" s="55">
        <f t="shared" ref="D95:Y95" si="70">IF(D$8="A",IF(D66=1,0,D64*$AC$64-D71),IFERROR(D64*$AC$64-D71,"…"))</f>
        <v>5550</v>
      </c>
      <c r="E95" s="55">
        <f t="shared" si="70"/>
        <v>4434</v>
      </c>
      <c r="F95" s="55">
        <f t="shared" si="70"/>
        <v>3728</v>
      </c>
      <c r="G95" s="55">
        <f t="shared" si="70"/>
        <v>4638</v>
      </c>
      <c r="H95" s="55">
        <f t="shared" si="70"/>
        <v>6883</v>
      </c>
      <c r="I95" s="55">
        <f t="shared" si="70"/>
        <v>5963</v>
      </c>
      <c r="J95" s="55">
        <f t="shared" si="70"/>
        <v>5758</v>
      </c>
      <c r="K95" s="55">
        <f t="shared" si="70"/>
        <v>8087</v>
      </c>
      <c r="L95" s="55">
        <f t="shared" si="70"/>
        <v>10493</v>
      </c>
      <c r="M95" s="55">
        <f t="shared" si="70"/>
        <v>11385</v>
      </c>
      <c r="N95" s="55">
        <f t="shared" si="70"/>
        <v>12012</v>
      </c>
      <c r="O95" s="55" t="e">
        <f t="shared" si="70"/>
        <v>#VALUE!</v>
      </c>
      <c r="P95" s="55" t="e">
        <f t="shared" si="70"/>
        <v>#VALUE!</v>
      </c>
      <c r="Q95" s="55" t="e">
        <f t="shared" si="70"/>
        <v>#VALUE!</v>
      </c>
      <c r="R95" s="55" t="e">
        <f t="shared" si="70"/>
        <v>#VALUE!</v>
      </c>
      <c r="S95" s="55">
        <f t="shared" si="70"/>
        <v>-10476.406402167726</v>
      </c>
      <c r="T95" s="55">
        <f t="shared" si="70"/>
        <v>-8084.2869776011103</v>
      </c>
      <c r="U95" s="55">
        <f>IF(U$8="A",IF(U66=1,0,U64*$AC$64-U71),IFERROR(U64*$AC$64-U71,"…"))</f>
        <v>-926.30662023116747</v>
      </c>
      <c r="V95" s="55">
        <f>IF(V$8="A",IF(V66=1,0,V64*$AC$64-V71),IFERROR(V64*$AC$64-V71,"…"))</f>
        <v>-3413.100096577462</v>
      </c>
      <c r="W95" s="55">
        <f t="shared" si="70"/>
        <v>-6145.0017062971783</v>
      </c>
      <c r="X95" s="55">
        <f t="shared" si="70"/>
        <v>-9039.523513609478</v>
      </c>
      <c r="Y95" s="55">
        <f t="shared" si="70"/>
        <v>-12414.867846352516</v>
      </c>
      <c r="Z95" s="55"/>
      <c r="AA95" s="55"/>
      <c r="AG95" s="9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5"/>
      <c r="AZ95" s="5"/>
    </row>
    <row r="96" spans="1:54" ht="13.15">
      <c r="C96" s="67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G96" s="9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5"/>
      <c r="AZ96" s="5"/>
    </row>
    <row r="97" spans="1:54" ht="13.15">
      <c r="C97" s="67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G97" s="9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5"/>
      <c r="AZ97" s="5"/>
    </row>
    <row r="98" spans="1:54" ht="13.15">
      <c r="C98" s="67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G98" s="9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5"/>
      <c r="AZ98" s="5"/>
    </row>
    <row r="99" spans="1:54" ht="13.15">
      <c r="C99" s="67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G99" s="9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5"/>
      <c r="AZ99" s="5"/>
    </row>
    <row r="100" spans="1:54" ht="13.15">
      <c r="C100" s="67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G100" s="9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5"/>
      <c r="AZ100" s="5"/>
    </row>
    <row r="101" spans="1:54" s="33" customFormat="1" ht="13.15">
      <c r="A101" s="5"/>
      <c r="B101" s="5"/>
      <c r="C101" s="52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55"/>
      <c r="AB101" s="20"/>
      <c r="AC101" s="20"/>
      <c r="AD101" s="24"/>
      <c r="AE101" s="5"/>
      <c r="AF101" s="5"/>
      <c r="AG101" s="9"/>
      <c r="AH101" s="5"/>
      <c r="AI101" s="5"/>
      <c r="AJ101" s="22"/>
      <c r="AK101" s="23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5"/>
      <c r="AZ101" s="24"/>
      <c r="BA101" s="5"/>
      <c r="BB101" s="5"/>
    </row>
    <row r="102" spans="1:54">
      <c r="C102" s="53" t="s">
        <v>2208</v>
      </c>
      <c r="D102" s="109"/>
      <c r="E102" s="109">
        <f t="shared" ref="E102:V102" si="71">IF(E$8="A",IF(E92="…","…",-E92/E190),IF(E95="…","…",-E95/E190))</f>
        <v>0.9623655913978495</v>
      </c>
      <c r="F102" s="109">
        <f t="shared" si="71"/>
        <v>0.95849546044098577</v>
      </c>
      <c r="G102" s="109">
        <f t="shared" si="71"/>
        <v>0.91000629326620519</v>
      </c>
      <c r="H102" s="109">
        <f t="shared" si="71"/>
        <v>1.394587791063562</v>
      </c>
      <c r="I102" s="109">
        <f t="shared" si="71"/>
        <v>1.1195402298850574</v>
      </c>
      <c r="J102" s="109">
        <f t="shared" si="71"/>
        <v>0.87783043707214325</v>
      </c>
      <c r="K102" s="109">
        <f t="shared" si="71"/>
        <v>0.76987060998151569</v>
      </c>
      <c r="L102" s="109">
        <f t="shared" si="71"/>
        <v>0.74353141882286045</v>
      </c>
      <c r="M102" s="109">
        <f t="shared" si="71"/>
        <v>1.1203677904708833</v>
      </c>
      <c r="N102" s="109">
        <f t="shared" si="71"/>
        <v>1.147667747567972</v>
      </c>
      <c r="O102" s="109">
        <f t="shared" si="71"/>
        <v>1.2273282815937423</v>
      </c>
      <c r="P102" s="109">
        <f t="shared" si="71"/>
        <v>1.3732983042751374</v>
      </c>
      <c r="Q102" s="109">
        <f t="shared" si="71"/>
        <v>1.2589755864049785</v>
      </c>
      <c r="R102" s="109">
        <f t="shared" si="71"/>
        <v>1.2068249942356468</v>
      </c>
      <c r="S102" s="109">
        <f t="shared" si="71"/>
        <v>1.093003593320651</v>
      </c>
      <c r="T102" s="109">
        <f t="shared" si="71"/>
        <v>1.2331872737664318</v>
      </c>
      <c r="U102" s="109">
        <f t="shared" si="71"/>
        <v>1.3455138102590496</v>
      </c>
      <c r="V102" s="109">
        <f t="shared" si="71"/>
        <v>0.5797267950121866</v>
      </c>
      <c r="W102" s="109">
        <f>IF(W$8="A",IF(W92="…","…",-W92/W190),IF(W95="…","…",-W95/W190))</f>
        <v>1.1784270616785657</v>
      </c>
      <c r="X102" s="109">
        <f>IF(X$8="A",IF(X92="…","…",-X92/X190),IF(X95="…","…",-X95/X190))</f>
        <v>1.9571881998646343</v>
      </c>
      <c r="Y102" s="109">
        <f>IF(Y$8="A",IF(Y92="…","…",-Y92/Y190),IF(Y95="…","…",-Y95/Y190))</f>
        <v>3.0348379162128905</v>
      </c>
      <c r="Z102" s="109"/>
      <c r="AA102" s="55"/>
      <c r="AB102" s="86" t="s">
        <v>1711</v>
      </c>
      <c r="AC102" s="86" t="s">
        <v>1711</v>
      </c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109"/>
      <c r="AZ102" s="5"/>
    </row>
    <row r="103" spans="1:54">
      <c r="C103" s="53" t="s">
        <v>2003</v>
      </c>
      <c r="D103" s="6">
        <f t="shared" ref="D103:T103" si="72">IF(D88="…","…",IFERROR(-D88/D147,"…"))</f>
        <v>1.6872182817575847E-2</v>
      </c>
      <c r="E103" s="6">
        <f t="shared" si="72"/>
        <v>1.50312801780241E-2</v>
      </c>
      <c r="F103" s="6">
        <f t="shared" si="72"/>
        <v>1.4092967818831943E-2</v>
      </c>
      <c r="G103" s="6">
        <f t="shared" si="72"/>
        <v>1.3278602716328273E-2</v>
      </c>
      <c r="H103" s="6">
        <f t="shared" si="72"/>
        <v>1.9471390411921832E-2</v>
      </c>
      <c r="I103" s="6">
        <f t="shared" si="72"/>
        <v>1.8519398785020964E-2</v>
      </c>
      <c r="J103" s="6">
        <f t="shared" si="72"/>
        <v>1.3138916256157637E-2</v>
      </c>
      <c r="K103" s="6">
        <f t="shared" si="72"/>
        <v>1.0455826330356415E-2</v>
      </c>
      <c r="L103" s="6">
        <f t="shared" si="72"/>
        <v>1.3572006892399676E-2</v>
      </c>
      <c r="M103" s="6">
        <f t="shared" si="72"/>
        <v>2.0410442268548833E-2</v>
      </c>
      <c r="N103" s="6">
        <f t="shared" si="72"/>
        <v>2.2725701133074514E-2</v>
      </c>
      <c r="O103" s="6">
        <f t="shared" si="72"/>
        <v>2.354049847157887E-2</v>
      </c>
      <c r="P103" s="6">
        <f t="shared" si="72"/>
        <v>2.6465132762913835E-2</v>
      </c>
      <c r="Q103" s="6">
        <f t="shared" si="72"/>
        <v>2.2801952471367511E-2</v>
      </c>
      <c r="R103" s="6">
        <f t="shared" si="72"/>
        <v>2.219216532611968E-2</v>
      </c>
      <c r="S103" s="39">
        <f t="shared" si="72"/>
        <v>2.0468507552487414E-2</v>
      </c>
      <c r="T103" s="39">
        <f t="shared" si="72"/>
        <v>2.9042012885626602E-2</v>
      </c>
      <c r="U103" s="39">
        <f>IF(U88="…","…",IFERROR(-U88/U147,"…"))</f>
        <v>3.1346922462030379E-2</v>
      </c>
      <c r="V103" s="39">
        <f>IF(V88="…","…",IFERROR(-V88/V147,"…"))</f>
        <v>1.2269804463868633E-2</v>
      </c>
      <c r="W103" s="39">
        <f>IF(W88="…","…",IFERROR(-W88/W147,"…"))</f>
        <v>2.1163309087536792E-2</v>
      </c>
      <c r="X103" s="39">
        <f>IF(X88="…","…",IFERROR(-X88/X147,"…"))</f>
        <v>3.0305239206244363E-2</v>
      </c>
      <c r="Y103" s="39">
        <f>IF(Y88="…","…",IFERROR(-Y88/Y147,"…"))</f>
        <v>3.9507054042411373E-2</v>
      </c>
      <c r="Z103" s="39"/>
      <c r="AA103" s="55"/>
      <c r="AB103" s="86" t="s">
        <v>1711</v>
      </c>
      <c r="AC103" s="86" t="s">
        <v>1711</v>
      </c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6"/>
      <c r="AZ103" s="5"/>
    </row>
    <row r="104" spans="1:54">
      <c r="C104" s="53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55"/>
      <c r="AB104" s="5"/>
      <c r="AC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6"/>
      <c r="AZ104" s="5"/>
    </row>
    <row r="105" spans="1:54" ht="13.15">
      <c r="C105" s="111" t="s">
        <v>2207</v>
      </c>
      <c r="D105" s="5"/>
      <c r="E105" s="5"/>
      <c r="F105" s="5"/>
      <c r="G105" s="5"/>
      <c r="H105" s="5"/>
      <c r="I105" s="5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55"/>
      <c r="AB105" s="5"/>
      <c r="AC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23"/>
      <c r="AZ105" s="5"/>
    </row>
    <row r="106" spans="1:54" ht="13.15" hidden="1" outlineLevel="1">
      <c r="C106" s="52" t="s">
        <v>1550</v>
      </c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 t="str">
        <f t="shared" ref="P106:V106" si="73">IFERROR(IF(P107&gt;0,P107,IF(P109=1,P110,IF(P109=2,P111,"…"))),"…")</f>
        <v>…</v>
      </c>
      <c r="Q106" s="25" t="str">
        <f t="shared" si="73"/>
        <v>…</v>
      </c>
      <c r="R106" s="25" t="str">
        <f t="shared" si="73"/>
        <v>…</v>
      </c>
      <c r="S106" s="25" t="str">
        <f t="shared" si="73"/>
        <v>…</v>
      </c>
      <c r="T106" s="25" t="str">
        <f t="shared" si="73"/>
        <v>…</v>
      </c>
      <c r="U106" s="25" t="str">
        <f t="shared" si="73"/>
        <v>…</v>
      </c>
      <c r="V106" s="25" t="str">
        <f t="shared" si="73"/>
        <v>…</v>
      </c>
      <c r="W106" s="25" t="str">
        <f>IFERROR(IF(W107&gt;0,W107,IF(W109=1,W110,IF(W109=2,W111,"…"))),"…")</f>
        <v>…</v>
      </c>
      <c r="X106" s="25" t="str">
        <f>IFERROR(IF(X107&gt;0,X107,IF(X109=1,X110,IF(X109=2,X111,"…"))),"…")</f>
        <v>…</v>
      </c>
      <c r="Y106" s="25" t="str">
        <f>IFERROR(IF(Y107&gt;0,Y107,IF(Y109=1,Y110,IF(Y109=2,Y111,"…"))),"…")</f>
        <v>…</v>
      </c>
      <c r="Z106" s="25"/>
      <c r="AA106" s="55"/>
      <c r="AG106" s="9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36"/>
      <c r="AZ106" s="5"/>
    </row>
    <row r="107" spans="1:54" hidden="1" outlineLevel="1">
      <c r="C107" s="52" t="s">
        <v>1551</v>
      </c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75">
        <v>0</v>
      </c>
      <c r="Q107" s="75">
        <v>0</v>
      </c>
      <c r="R107" s="75">
        <v>0</v>
      </c>
      <c r="S107" s="75">
        <v>0</v>
      </c>
      <c r="T107" s="75">
        <v>0</v>
      </c>
      <c r="U107" s="75">
        <v>0</v>
      </c>
      <c r="V107" s="75">
        <v>0</v>
      </c>
      <c r="W107" s="75">
        <v>0</v>
      </c>
      <c r="X107" s="75">
        <v>0</v>
      </c>
      <c r="Y107" s="75">
        <v>0</v>
      </c>
      <c r="Z107" s="75"/>
      <c r="AA107" s="5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75"/>
      <c r="AZ107" s="5"/>
    </row>
    <row r="108" spans="1:54" hidden="1" outlineLevel="1">
      <c r="AA108" s="55"/>
    </row>
    <row r="109" spans="1:54" ht="13.15" hidden="1" outlineLevel="1" thickBot="1">
      <c r="C109" s="52" t="s">
        <v>1548</v>
      </c>
      <c r="D109" s="5"/>
      <c r="E109" s="5"/>
      <c r="F109" s="5"/>
      <c r="G109" s="5"/>
      <c r="H109" s="5"/>
      <c r="I109" s="5"/>
      <c r="J109" s="23"/>
      <c r="K109" s="23"/>
      <c r="L109" s="23"/>
      <c r="M109" s="23"/>
      <c r="N109" s="23"/>
      <c r="O109" s="23"/>
      <c r="P109" s="75">
        <v>1</v>
      </c>
      <c r="Q109" s="75">
        <v>1</v>
      </c>
      <c r="R109" s="75">
        <v>1</v>
      </c>
      <c r="S109" s="75">
        <v>1</v>
      </c>
      <c r="T109" s="75">
        <v>1</v>
      </c>
      <c r="U109" s="75">
        <v>1</v>
      </c>
      <c r="V109" s="75">
        <v>1</v>
      </c>
      <c r="W109" s="75">
        <v>1</v>
      </c>
      <c r="X109" s="75">
        <v>1</v>
      </c>
      <c r="Y109" s="75">
        <v>1</v>
      </c>
      <c r="Z109" s="75"/>
      <c r="AA109" s="55"/>
      <c r="AB109" s="5"/>
      <c r="AC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75"/>
      <c r="AZ109" s="5"/>
    </row>
    <row r="110" spans="1:54" ht="13.15" hidden="1" outlineLevel="1" thickBot="1">
      <c r="C110" s="74" t="s">
        <v>2144</v>
      </c>
      <c r="D110" s="36" t="str">
        <f t="shared" ref="D110:P110" si="74">IF("E"=D28,MAX($AF$86,C102-(($K$76-$AF$86)/$AF$83)),"…")</f>
        <v>…</v>
      </c>
      <c r="E110" s="36" t="str">
        <f t="shared" si="74"/>
        <v>…</v>
      </c>
      <c r="F110" s="36" t="str">
        <f t="shared" si="74"/>
        <v>…</v>
      </c>
      <c r="G110" s="36" t="str">
        <f t="shared" si="74"/>
        <v>…</v>
      </c>
      <c r="H110" s="36" t="str">
        <f t="shared" si="74"/>
        <v>…</v>
      </c>
      <c r="I110" s="36" t="str">
        <f t="shared" si="74"/>
        <v>…</v>
      </c>
      <c r="J110" s="36" t="str">
        <f t="shared" si="74"/>
        <v>…</v>
      </c>
      <c r="K110" s="36" t="str">
        <f t="shared" si="74"/>
        <v>…</v>
      </c>
      <c r="L110" s="36" t="str">
        <f t="shared" si="74"/>
        <v>…</v>
      </c>
      <c r="M110" s="36" t="str">
        <f t="shared" si="74"/>
        <v>…</v>
      </c>
      <c r="N110" s="36" t="str">
        <f t="shared" si="74"/>
        <v>…</v>
      </c>
      <c r="O110" s="36" t="str">
        <f t="shared" si="74"/>
        <v>…</v>
      </c>
      <c r="P110" s="36" t="str">
        <f t="shared" si="74"/>
        <v>…</v>
      </c>
      <c r="Q110" s="25" t="str">
        <f t="shared" ref="Q110:Y110" si="75">IF("E"=Q28,MAX($AF$86,P102-((P102-$AF$86)/($AF$83-COUNTIF(D28:Q28,"E")+1))),"…")</f>
        <v>…</v>
      </c>
      <c r="R110" s="25" t="str">
        <f t="shared" si="75"/>
        <v>…</v>
      </c>
      <c r="S110" s="25" t="str">
        <f t="shared" si="75"/>
        <v>…</v>
      </c>
      <c r="T110" s="25" t="str">
        <f t="shared" si="75"/>
        <v>…</v>
      </c>
      <c r="U110" s="25" t="str">
        <f t="shared" si="75"/>
        <v>…</v>
      </c>
      <c r="V110" s="25" t="str">
        <f t="shared" si="75"/>
        <v>…</v>
      </c>
      <c r="W110" s="25" t="str">
        <f t="shared" si="75"/>
        <v>…</v>
      </c>
      <c r="X110" s="25" t="str">
        <f t="shared" si="75"/>
        <v>…</v>
      </c>
      <c r="Y110" s="25" t="str">
        <f t="shared" si="75"/>
        <v>…</v>
      </c>
      <c r="Z110" s="25"/>
      <c r="AA110" s="55"/>
      <c r="AC110" s="29" t="s">
        <v>324</v>
      </c>
      <c r="AF110" s="26">
        <v>5</v>
      </c>
      <c r="AG110" s="29" t="s">
        <v>1748</v>
      </c>
      <c r="AK110" s="22"/>
      <c r="AY110" s="36"/>
    </row>
    <row r="111" spans="1:54" s="33" customFormat="1" ht="13.5" hidden="1" outlineLevel="1" thickBot="1">
      <c r="A111" s="5"/>
      <c r="B111" s="5"/>
      <c r="C111" s="74" t="s">
        <v>2145</v>
      </c>
      <c r="D111" s="7"/>
      <c r="E111" s="7"/>
      <c r="F111" s="7"/>
      <c r="G111" s="7"/>
      <c r="H111" s="7"/>
      <c r="I111" s="7"/>
      <c r="J111" s="7"/>
      <c r="K111" s="36" t="str">
        <f>IF("E"=K28,(SUM($D102:J102)-MAX($D102:J102)-MIN($D102:J102))/(COUNT($D102:J102)-2),"…")</f>
        <v>…</v>
      </c>
      <c r="L111" s="36" t="str">
        <f>IF("E"=L28,(SUM($D102:K102)-MAX($D102:K102)-MIN($D102:K102))/(COUNT($D102:K102)-2),"…")</f>
        <v>…</v>
      </c>
      <c r="M111" s="36" t="str">
        <f>IF("E"=M28,(SUM($D102:L102)-MAX($D102:L102)-MIN($D102:L102))/(COUNT($D102:L102)-2),"…")</f>
        <v>…</v>
      </c>
      <c r="N111" s="36" t="str">
        <f>IF("E"=N28,(SUM($D102:M102)-MAX($D102:M102)-MIN($D102:M102))/(COUNT($D102:M102)-2),"…")</f>
        <v>…</v>
      </c>
      <c r="O111" s="36" t="str">
        <f>IF("E"=O28,(SUM($D102:N102)-MAX($D102:N102)-MIN($D102:N102))/(COUNT($D102:N102)-2),"…")</f>
        <v>…</v>
      </c>
      <c r="P111" s="36" t="str">
        <f>IF("E"=P28,(SUM($D102:O102)-MAX($D102:O102)-MIN($D102:O102))/(COUNT($D102:O102)-2),"…")</f>
        <v>…</v>
      </c>
      <c r="Q111" s="25" t="str">
        <f>IF("E"=Q28,(SUM($D102:P102)-MAX($D102:P102)-MIN($D102:P102))/(COUNT($D102:P102)-2),"…")</f>
        <v>…</v>
      </c>
      <c r="R111" s="25" t="str">
        <f>IF("E"=R28,(SUM($D102:Q102)-MAX($D102:Q102)-MIN($D102:Q102))/(COUNT($D102:Q102)-2),"…")</f>
        <v>…</v>
      </c>
      <c r="S111" s="25" t="str">
        <f>IF("E"=S28,(SUM($D102:R102)-MAX($D102:R102)-MIN($D102:R102))/(COUNT($D102:R102)-2),"…")</f>
        <v>…</v>
      </c>
      <c r="T111" s="25" t="str">
        <f>IF("E"=T28,(SUM($D102:S102)-MAX($D102:S102)-MIN($D102:S102))/(COUNT($D102:S102)-2),"…")</f>
        <v>…</v>
      </c>
      <c r="U111" s="25" t="str">
        <f>IF("E"=U28,(SUM($D102:T102)-MAX($D102:T102)-MIN($D102:T102))/(COUNT($D102:T102)-2),"…")</f>
        <v>…</v>
      </c>
      <c r="V111" s="25" t="str">
        <f>IF("E"=V28,(SUM($D102:U102)-MAX($D102:U102)-MIN($D102:U102))/(COUNT($D102:U102)-2),"…")</f>
        <v>…</v>
      </c>
      <c r="W111" s="25" t="str">
        <f>IF("E"=W28,(SUM($D102:V102)-MAX($D102:V102)-MIN($D102:V102))/(COUNT($D102:V102)-2),"…")</f>
        <v>…</v>
      </c>
      <c r="X111" s="25" t="str">
        <f>IF("E"=X28,(SUM($D102:W102)-MAX($D102:W102)-MIN($D102:W102))/(COUNT($D102:W102)-2),"…")</f>
        <v>…</v>
      </c>
      <c r="Y111" s="25" t="str">
        <f>IF("E"=Y28,(SUM($D102:X102)-MAX($D102:X102)-MIN($D102:X102))/(COUNT($D102:X102)-2),"…")</f>
        <v>…</v>
      </c>
      <c r="Z111" s="25"/>
      <c r="AA111" s="55"/>
      <c r="AB111" s="20"/>
      <c r="AC111" s="29" t="s">
        <v>324</v>
      </c>
      <c r="AE111" s="5"/>
      <c r="AF111" s="26">
        <v>1.2</v>
      </c>
      <c r="AG111" s="29" t="s">
        <v>1749</v>
      </c>
      <c r="AH111" s="5"/>
      <c r="AI111" s="5"/>
      <c r="AJ111" s="22"/>
      <c r="AK111" s="23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36"/>
      <c r="AZ111" s="24"/>
      <c r="BA111" s="5"/>
      <c r="BB111" s="5"/>
    </row>
    <row r="112" spans="1:54" hidden="1" outlineLevel="1">
      <c r="C112" s="52"/>
      <c r="D112" s="5"/>
      <c r="E112" s="5"/>
      <c r="F112" s="5"/>
      <c r="G112" s="5"/>
      <c r="H112" s="5"/>
      <c r="I112" s="5"/>
      <c r="J112" s="23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5"/>
      <c r="AB112" s="5"/>
      <c r="AC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4"/>
      <c r="AZ112" s="5"/>
    </row>
    <row r="113" spans="1:72" s="33" customFormat="1" ht="13.15" collapsed="1">
      <c r="A113" s="5"/>
      <c r="B113" s="5"/>
      <c r="C113" s="52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55"/>
      <c r="AB113" s="20"/>
      <c r="AC113" s="20"/>
      <c r="AD113" s="24"/>
      <c r="AE113" s="5"/>
      <c r="AF113" s="5"/>
      <c r="AG113" s="9"/>
      <c r="AH113" s="5"/>
      <c r="AI113" s="5"/>
      <c r="AJ113" s="22"/>
      <c r="AK113" s="23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5"/>
      <c r="AZ113" s="24"/>
      <c r="BA113" s="5"/>
      <c r="BB113" s="5"/>
    </row>
    <row r="114" spans="1:72" s="33" customFormat="1" ht="13.15">
      <c r="A114" s="5"/>
      <c r="B114" s="5"/>
      <c r="C114" s="52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55"/>
      <c r="AB114" s="20"/>
      <c r="AC114" s="20"/>
      <c r="AD114" s="24"/>
      <c r="AE114" s="5"/>
      <c r="AF114" s="5"/>
      <c r="AG114" s="9"/>
      <c r="AH114" s="5"/>
      <c r="AI114" s="5"/>
      <c r="AJ114" s="22"/>
      <c r="AK114" s="23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5"/>
      <c r="AZ114" s="24"/>
      <c r="BA114" s="5"/>
      <c r="BB114" s="5"/>
    </row>
    <row r="115" spans="1:72" s="33" customFormat="1" ht="13.15">
      <c r="A115" s="5"/>
      <c r="B115" s="5"/>
      <c r="C115" s="52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55"/>
      <c r="AB115" s="20"/>
      <c r="AC115" s="20"/>
      <c r="AD115" s="24"/>
      <c r="AE115" s="5"/>
      <c r="AF115" s="5"/>
      <c r="AG115" s="9"/>
      <c r="AH115" s="5"/>
      <c r="AI115" s="5"/>
      <c r="AJ115" s="22"/>
      <c r="AK115" s="23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5"/>
      <c r="AZ115" s="24"/>
      <c r="BA115" s="5"/>
      <c r="BB115" s="5"/>
    </row>
    <row r="116" spans="1:72" s="33" customFormat="1" ht="13.15">
      <c r="A116" s="5"/>
      <c r="B116" s="5"/>
      <c r="C116" s="52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55"/>
      <c r="AB116" s="20"/>
      <c r="AC116" s="20"/>
      <c r="AD116" s="24"/>
      <c r="AE116" s="5"/>
      <c r="AF116" s="5"/>
      <c r="AG116" s="9"/>
      <c r="AH116" s="5"/>
      <c r="AI116" s="5"/>
      <c r="AJ116" s="22"/>
      <c r="AK116" s="23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5"/>
      <c r="AZ116" s="24"/>
      <c r="BA116" s="5"/>
      <c r="BB116" s="5"/>
    </row>
    <row r="117" spans="1:72">
      <c r="C117" s="38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Z117" s="5"/>
    </row>
    <row r="118" spans="1:72">
      <c r="C118" s="38" t="s">
        <v>2000</v>
      </c>
      <c r="D118" s="103">
        <f t="shared" ref="D118:V118" si="76">IF(ISNUMBER(D463),D463,IF(ISNUMBER(D119),D119,IF(ISNUMBER(D464),D464,"…")))</f>
        <v>-1501</v>
      </c>
      <c r="E118" s="103">
        <f t="shared" si="76"/>
        <v>-1432</v>
      </c>
      <c r="F118" s="103">
        <f t="shared" si="76"/>
        <v>-1478</v>
      </c>
      <c r="G118" s="103">
        <f t="shared" si="76"/>
        <v>-1446</v>
      </c>
      <c r="H118" s="103">
        <f t="shared" si="76"/>
        <v>-2216</v>
      </c>
      <c r="I118" s="103">
        <f t="shared" si="76"/>
        <v>-1948</v>
      </c>
      <c r="J118" s="103">
        <f t="shared" si="76"/>
        <v>-1667</v>
      </c>
      <c r="K118" s="103">
        <f t="shared" si="76"/>
        <v>-1666</v>
      </c>
      <c r="L118" s="103">
        <f t="shared" si="76"/>
        <v>-2615</v>
      </c>
      <c r="M118" s="36">
        <f t="shared" si="76"/>
        <v>-4021</v>
      </c>
      <c r="N118" s="36">
        <f t="shared" si="76"/>
        <v>-4601</v>
      </c>
      <c r="O118" s="36">
        <f t="shared" si="76"/>
        <v>-5021</v>
      </c>
      <c r="P118" s="36">
        <f t="shared" si="76"/>
        <v>-5750</v>
      </c>
      <c r="Q118" s="36">
        <f t="shared" si="76"/>
        <v>-5260</v>
      </c>
      <c r="R118" s="36">
        <f t="shared" si="76"/>
        <v>-5234</v>
      </c>
      <c r="S118" s="36">
        <f t="shared" si="76"/>
        <v>-5171</v>
      </c>
      <c r="T118" s="36">
        <f t="shared" si="76"/>
        <v>-6473</v>
      </c>
      <c r="U118" s="36">
        <f t="shared" si="76"/>
        <v>-7843</v>
      </c>
      <c r="V118" s="36" t="str">
        <f t="shared" si="76"/>
        <v>…</v>
      </c>
      <c r="W118" s="36" t="str">
        <f>IF(ISNUMBER(W463),W463,IF(ISNUMBER(W119),W119,IF(ISNUMBER(W464),W464,"…")))</f>
        <v>…</v>
      </c>
      <c r="X118" s="36" t="str">
        <f>IF(ISNUMBER(X463),X463,IF(ISNUMBER(X119),X119,IF(ISNUMBER(X464),X464,"…")))</f>
        <v>…</v>
      </c>
      <c r="Y118" s="36" t="str">
        <f>IF(ISNUMBER(Y463),Y463,IF(ISNUMBER(Y119),Y119,IF(ISNUMBER(Y464),Y464,"…")))</f>
        <v>…</v>
      </c>
      <c r="Z118" s="36"/>
      <c r="AA118" s="25"/>
      <c r="AD118" s="33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25"/>
      <c r="AZ118" s="5"/>
      <c r="BJ118" s="33"/>
      <c r="BK118" s="23"/>
      <c r="BL118" s="23"/>
      <c r="BM118" s="23"/>
      <c r="BN118" s="23"/>
      <c r="BO118" s="23"/>
      <c r="BP118" s="23"/>
      <c r="BQ118" s="23"/>
      <c r="BR118" s="33"/>
      <c r="BT118" s="33"/>
    </row>
    <row r="119" spans="1:72">
      <c r="B119" s="5" t="s">
        <v>1776</v>
      </c>
      <c r="C119" s="43" t="s">
        <v>154</v>
      </c>
      <c r="D119" s="105">
        <v>-1501</v>
      </c>
      <c r="E119" s="105">
        <v>-1432</v>
      </c>
      <c r="F119" s="105">
        <v>-1478</v>
      </c>
      <c r="G119" s="105">
        <v>-1446</v>
      </c>
      <c r="H119" s="105">
        <v>-2216</v>
      </c>
      <c r="I119" s="105">
        <v>-1948</v>
      </c>
      <c r="J119" s="105">
        <v>-1667</v>
      </c>
      <c r="K119" s="105">
        <v>-1666</v>
      </c>
      <c r="L119" s="105">
        <v>-2615</v>
      </c>
      <c r="M119" s="99">
        <v>-4021</v>
      </c>
      <c r="N119" s="99">
        <v>-4601</v>
      </c>
      <c r="O119" s="99">
        <v>-5021</v>
      </c>
      <c r="P119" s="99">
        <v>-5750</v>
      </c>
      <c r="Q119" s="99">
        <v>-5260</v>
      </c>
      <c r="R119" s="99">
        <v>-5234</v>
      </c>
      <c r="S119" s="99">
        <v>-5171</v>
      </c>
      <c r="T119" s="99">
        <v>-6473</v>
      </c>
      <c r="U119" s="99">
        <v>-7843</v>
      </c>
      <c r="V119" s="99" t="s">
        <v>289</v>
      </c>
      <c r="W119" s="99"/>
      <c r="X119" s="99"/>
      <c r="Y119" s="99"/>
      <c r="Z119" s="99"/>
      <c r="AA119" s="16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16"/>
      <c r="AZ119" s="5"/>
    </row>
    <row r="120" spans="1:72" s="33" customFormat="1" ht="13.15">
      <c r="A120" s="5"/>
      <c r="B120" s="5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20"/>
      <c r="AC120" s="20"/>
      <c r="AD120" s="24"/>
      <c r="AE120" s="5"/>
      <c r="AF120" s="5"/>
      <c r="AG120" s="9"/>
      <c r="AH120" s="5"/>
      <c r="AI120" s="5"/>
      <c r="AJ120" s="22"/>
      <c r="AK120" s="23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7"/>
      <c r="AZ120" s="24"/>
      <c r="BA120" s="5"/>
      <c r="BB120" s="5"/>
    </row>
    <row r="121" spans="1:72" ht="13.15" hidden="1" outlineLevel="1">
      <c r="C121" s="50" t="s">
        <v>1574</v>
      </c>
      <c r="D121" s="14">
        <f t="shared" ref="D121:Y121" si="77">IF(D11="yes",SUM(D122,D629,D630),"...")</f>
        <v>-5550</v>
      </c>
      <c r="E121" s="14">
        <f t="shared" si="77"/>
        <v>-4434</v>
      </c>
      <c r="F121" s="14">
        <f t="shared" si="77"/>
        <v>-3728</v>
      </c>
      <c r="G121" s="14">
        <f t="shared" si="77"/>
        <v>-4638</v>
      </c>
      <c r="H121" s="14">
        <f t="shared" si="77"/>
        <v>-6883</v>
      </c>
      <c r="I121" s="14">
        <f t="shared" si="77"/>
        <v>0</v>
      </c>
      <c r="J121" s="14">
        <f t="shared" si="77"/>
        <v>0</v>
      </c>
      <c r="K121" s="14">
        <f t="shared" si="77"/>
        <v>0</v>
      </c>
      <c r="L121" s="14">
        <f t="shared" si="77"/>
        <v>0</v>
      </c>
      <c r="M121" s="14">
        <f t="shared" si="77"/>
        <v>0</v>
      </c>
      <c r="N121" s="14">
        <f t="shared" si="77"/>
        <v>0</v>
      </c>
      <c r="O121" s="14">
        <f t="shared" si="77"/>
        <v>0</v>
      </c>
      <c r="P121" s="14">
        <f t="shared" si="77"/>
        <v>0</v>
      </c>
      <c r="Q121" s="14">
        <f t="shared" si="77"/>
        <v>0</v>
      </c>
      <c r="R121" s="14">
        <f t="shared" si="77"/>
        <v>0</v>
      </c>
      <c r="S121" s="14">
        <f t="shared" si="77"/>
        <v>0</v>
      </c>
      <c r="T121" s="14">
        <f t="shared" si="77"/>
        <v>0</v>
      </c>
      <c r="U121" s="14">
        <f>IF(U11="yes",SUM(U122,U629,U630),"...")</f>
        <v>0</v>
      </c>
      <c r="V121" s="14" t="str">
        <f t="shared" si="77"/>
        <v>...</v>
      </c>
      <c r="W121" s="14" t="str">
        <f t="shared" si="77"/>
        <v>...</v>
      </c>
      <c r="X121" s="14" t="str">
        <f t="shared" si="77"/>
        <v>...</v>
      </c>
      <c r="Y121" s="14" t="str">
        <f t="shared" si="77"/>
        <v>...</v>
      </c>
      <c r="Z121" s="14"/>
      <c r="AA121" s="14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14"/>
      <c r="AZ121" s="5"/>
    </row>
    <row r="122" spans="1:72" hidden="1" outlineLevel="1">
      <c r="A122" s="5" t="s">
        <v>1561</v>
      </c>
      <c r="B122" s="5" t="s">
        <v>1561</v>
      </c>
      <c r="C122" s="38" t="s">
        <v>1573</v>
      </c>
      <c r="D122" s="16" t="s">
        <v>289</v>
      </c>
      <c r="E122" s="16" t="s">
        <v>289</v>
      </c>
      <c r="F122" s="16" t="s">
        <v>289</v>
      </c>
      <c r="G122" s="16" t="s">
        <v>289</v>
      </c>
      <c r="H122" s="16" t="s">
        <v>289</v>
      </c>
      <c r="I122" s="16" t="s">
        <v>289</v>
      </c>
      <c r="J122" s="16" t="s">
        <v>289</v>
      </c>
      <c r="K122" s="16" t="s">
        <v>289</v>
      </c>
      <c r="L122" s="16" t="s">
        <v>289</v>
      </c>
      <c r="M122" s="16" t="s">
        <v>289</v>
      </c>
      <c r="N122" s="16" t="s">
        <v>289</v>
      </c>
      <c r="O122" s="16" t="s">
        <v>289</v>
      </c>
      <c r="P122" s="20" t="s">
        <v>289</v>
      </c>
      <c r="Q122" s="20" t="s">
        <v>289</v>
      </c>
      <c r="R122" s="20" t="s">
        <v>289</v>
      </c>
      <c r="S122" s="20" t="s">
        <v>289</v>
      </c>
      <c r="T122" s="20" t="s">
        <v>289</v>
      </c>
      <c r="U122" s="20" t="s">
        <v>289</v>
      </c>
      <c r="V122" s="20" t="s">
        <v>289</v>
      </c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Z122" s="5"/>
    </row>
    <row r="123" spans="1:72" s="33" customFormat="1" ht="13.15" collapsed="1">
      <c r="A123" s="5"/>
      <c r="B123" s="5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20"/>
      <c r="AC123" s="20"/>
      <c r="AD123" s="24"/>
      <c r="AE123" s="5"/>
      <c r="AF123" s="5"/>
      <c r="AG123" s="9"/>
      <c r="AH123" s="5"/>
      <c r="AI123" s="5"/>
      <c r="AJ123" s="22"/>
      <c r="AK123" s="23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7"/>
      <c r="AZ123" s="24"/>
      <c r="BA123" s="5"/>
      <c r="BB123" s="5"/>
    </row>
    <row r="124" spans="1:72" s="33" customFormat="1" ht="13.15">
      <c r="A124" s="5"/>
      <c r="B124" s="5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20"/>
      <c r="AC124" s="20"/>
      <c r="AD124" s="24"/>
      <c r="AE124" s="5"/>
      <c r="AF124" s="5"/>
      <c r="AG124" s="9"/>
      <c r="AH124" s="5"/>
      <c r="AI124" s="5"/>
      <c r="AJ124" s="22"/>
      <c r="AK124" s="23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7"/>
      <c r="AZ124" s="24"/>
      <c r="BA124" s="5"/>
      <c r="BB124" s="5"/>
    </row>
    <row r="125" spans="1:72" s="33" customFormat="1" ht="13.15">
      <c r="A125" s="5"/>
      <c r="B125" s="5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20"/>
      <c r="AC125" s="20"/>
      <c r="AD125" s="24"/>
      <c r="AE125" s="5"/>
      <c r="AF125" s="5"/>
      <c r="AG125" s="9"/>
      <c r="AH125" s="5"/>
      <c r="AI125" s="5"/>
      <c r="AJ125" s="22"/>
      <c r="AK125" s="23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7"/>
      <c r="AZ125" s="24"/>
      <c r="BA125" s="5"/>
      <c r="BB125" s="5"/>
    </row>
    <row r="126" spans="1:72" s="33" customFormat="1" ht="13.15">
      <c r="A126" s="5"/>
      <c r="B126" s="5"/>
      <c r="C126" s="38" t="s">
        <v>1560</v>
      </c>
      <c r="D126" s="58" t="str">
        <f t="shared" ref="D126:Y126" si="78">IFERROR((D31-C31)*100,"…")</f>
        <v>…</v>
      </c>
      <c r="E126" s="58">
        <f t="shared" si="78"/>
        <v>0.38237225158164745</v>
      </c>
      <c r="F126" s="58">
        <f t="shared" si="78"/>
        <v>-0.32574173664177419</v>
      </c>
      <c r="G126" s="58">
        <f t="shared" si="78"/>
        <v>3.3918512515949404</v>
      </c>
      <c r="H126" s="58">
        <f t="shared" si="78"/>
        <v>-1.7383507194899313</v>
      </c>
      <c r="I126" s="58">
        <f t="shared" si="78"/>
        <v>-2.7631884659377715</v>
      </c>
      <c r="J126" s="58">
        <f t="shared" si="78"/>
        <v>3.3927248590956527</v>
      </c>
      <c r="K126" s="58">
        <f t="shared" si="78"/>
        <v>-2.1611770522872442E-2</v>
      </c>
      <c r="L126" s="58">
        <f t="shared" si="78"/>
        <v>-0.78490813113290536</v>
      </c>
      <c r="M126" s="58">
        <f t="shared" si="78"/>
        <v>0.58666330432700087</v>
      </c>
      <c r="N126" s="58">
        <f t="shared" si="78"/>
        <v>1.2045572275683565</v>
      </c>
      <c r="O126" s="58">
        <f t="shared" si="78"/>
        <v>-7.2571740562023122</v>
      </c>
      <c r="P126" s="58">
        <f t="shared" si="78"/>
        <v>5.5316794864906065</v>
      </c>
      <c r="Q126" s="58">
        <f t="shared" si="78"/>
        <v>2.7005058291214219</v>
      </c>
      <c r="R126" s="58">
        <f t="shared" si="78"/>
        <v>-0.14413976114351079</v>
      </c>
      <c r="S126" s="58">
        <f t="shared" si="78"/>
        <v>4.9523229340212027E-2</v>
      </c>
      <c r="T126" s="58">
        <f t="shared" si="78"/>
        <v>0.68811349947738853</v>
      </c>
      <c r="U126" s="58">
        <f t="shared" si="78"/>
        <v>2.1938337056705559</v>
      </c>
      <c r="V126" s="58">
        <f t="shared" si="78"/>
        <v>-2.3768404674493233</v>
      </c>
      <c r="W126" s="58">
        <f t="shared" si="78"/>
        <v>-0.344355172574487</v>
      </c>
      <c r="X126" s="58">
        <f t="shared" si="78"/>
        <v>-0.23662603173217334</v>
      </c>
      <c r="Y126" s="58">
        <f t="shared" si="78"/>
        <v>0.43570094295014572</v>
      </c>
      <c r="Z126" s="58"/>
      <c r="AA126" s="58"/>
      <c r="AB126" s="20"/>
      <c r="AC126" s="20"/>
      <c r="AD126" s="24"/>
      <c r="AE126" s="5"/>
      <c r="AF126" s="5"/>
      <c r="AG126" s="9"/>
      <c r="AH126" s="5"/>
      <c r="AI126" s="5"/>
      <c r="AJ126" s="22"/>
      <c r="AK126" s="23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106"/>
      <c r="AZ126" s="24"/>
      <c r="BA126" s="5"/>
      <c r="BB126" s="5"/>
    </row>
    <row r="127" spans="1:72" s="33" customFormat="1" ht="13.15">
      <c r="A127" s="5"/>
      <c r="B127" s="5"/>
      <c r="C127" s="38" t="s">
        <v>1557</v>
      </c>
      <c r="D127" s="58" t="str">
        <f t="shared" ref="D127:Y127" si="79">IFERROR((D32-C32)*100,"…")</f>
        <v>…</v>
      </c>
      <c r="E127" s="58">
        <f t="shared" si="79"/>
        <v>0.45207010443680945</v>
      </c>
      <c r="F127" s="58">
        <f t="shared" si="79"/>
        <v>0.58266206723365377</v>
      </c>
      <c r="G127" s="58">
        <f t="shared" si="79"/>
        <v>3.5199953662569659</v>
      </c>
      <c r="H127" s="58">
        <f t="shared" si="79"/>
        <v>-1.3668287675382071</v>
      </c>
      <c r="I127" s="58">
        <f t="shared" si="79"/>
        <v>-3.0477726237702547</v>
      </c>
      <c r="J127" s="58">
        <f t="shared" si="79"/>
        <v>4.0123039647756586</v>
      </c>
      <c r="K127" s="58">
        <f t="shared" si="79"/>
        <v>0.62134297566971697</v>
      </c>
      <c r="L127" s="58">
        <f t="shared" si="79"/>
        <v>-0.79694269451675293</v>
      </c>
      <c r="M127" s="58">
        <f t="shared" si="79"/>
        <v>0.28929929007329297</v>
      </c>
      <c r="N127" s="58">
        <f t="shared" si="79"/>
        <v>0.89095064899578502</v>
      </c>
      <c r="O127" s="58">
        <f t="shared" si="79"/>
        <v>-9.6830390151939252</v>
      </c>
      <c r="P127" s="58">
        <f t="shared" si="79"/>
        <v>4.5931373236091293</v>
      </c>
      <c r="Q127" s="58">
        <f t="shared" si="79"/>
        <v>2.5066833745269115</v>
      </c>
      <c r="R127" s="58">
        <f t="shared" si="79"/>
        <v>-0.15877052721114115</v>
      </c>
      <c r="S127" s="58">
        <f t="shared" si="79"/>
        <v>-0.45710270902698524</v>
      </c>
      <c r="T127" s="58">
        <f t="shared" si="79"/>
        <v>-0.72109233338161216</v>
      </c>
      <c r="U127" s="58">
        <f t="shared" si="79"/>
        <v>2.381850898384323</v>
      </c>
      <c r="V127" s="58">
        <f t="shared" si="79"/>
        <v>-2.4391850206000933</v>
      </c>
      <c r="W127" s="58">
        <f t="shared" si="79"/>
        <v>0.33187682219149306</v>
      </c>
      <c r="X127" s="58">
        <f t="shared" si="79"/>
        <v>0.29602142461663955</v>
      </c>
      <c r="Y127" s="58">
        <f t="shared" si="79"/>
        <v>1.137771507505636</v>
      </c>
      <c r="Z127" s="58"/>
      <c r="AA127" s="58"/>
      <c r="AB127" s="20"/>
      <c r="AC127" s="20"/>
      <c r="AD127" s="24"/>
      <c r="AE127" s="5"/>
      <c r="AF127" s="5"/>
      <c r="AG127" s="9"/>
      <c r="AH127" s="5"/>
      <c r="AI127" s="5"/>
      <c r="AJ127" s="22"/>
      <c r="AK127" s="23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106"/>
      <c r="AZ127" s="24"/>
      <c r="BA127" s="5"/>
      <c r="BB127" s="5"/>
    </row>
    <row r="128" spans="1:72" s="33" customFormat="1" ht="13.15">
      <c r="A128" s="5"/>
      <c r="B128" s="5"/>
      <c r="C128" s="38" t="s">
        <v>1558</v>
      </c>
      <c r="D128" s="58" t="str">
        <f t="shared" ref="D128:Y128" si="80">IFERROR((D33-C33)*100,"…")</f>
        <v>…</v>
      </c>
      <c r="E128" s="58">
        <f t="shared" si="80"/>
        <v>0.63679207262557147</v>
      </c>
      <c r="F128" s="58">
        <f t="shared" si="80"/>
        <v>0.76515713803648744</v>
      </c>
      <c r="G128" s="58">
        <f t="shared" si="80"/>
        <v>3.0605502002893177</v>
      </c>
      <c r="H128" s="58">
        <f t="shared" si="80"/>
        <v>-0.80652289176543346</v>
      </c>
      <c r="I128" s="58">
        <f t="shared" si="80"/>
        <v>-3.8011092640350257</v>
      </c>
      <c r="J128" s="58">
        <f t="shared" si="80"/>
        <v>3.8648484732398471</v>
      </c>
      <c r="K128" s="58">
        <f t="shared" si="80"/>
        <v>1.4453122045658968</v>
      </c>
      <c r="L128" s="58">
        <f t="shared" si="80"/>
        <v>-1.1061556041441669</v>
      </c>
      <c r="M128" s="58">
        <f t="shared" si="80"/>
        <v>-4.3376005393486877E-2</v>
      </c>
      <c r="N128" s="58">
        <f t="shared" si="80"/>
        <v>0.34726921735880112</v>
      </c>
      <c r="O128" s="58">
        <f t="shared" si="80"/>
        <v>-8.1791375660888317</v>
      </c>
      <c r="P128" s="58">
        <f t="shared" si="80"/>
        <v>5.1769627262475426</v>
      </c>
      <c r="Q128" s="58">
        <f t="shared" si="80"/>
        <v>2.7208148875021312</v>
      </c>
      <c r="R128" s="58">
        <f t="shared" si="80"/>
        <v>-8.7982827784800072E-2</v>
      </c>
      <c r="S128" s="58">
        <f t="shared" si="80"/>
        <v>-0.11738272433069324</v>
      </c>
      <c r="T128" s="58">
        <f t="shared" si="80"/>
        <v>-1.2038404879011553</v>
      </c>
      <c r="U128" s="58">
        <f t="shared" si="80"/>
        <v>2.8428028668753944</v>
      </c>
      <c r="V128" s="58">
        <f t="shared" si="80"/>
        <v>0.51772851446028612</v>
      </c>
      <c r="W128" s="58">
        <f t="shared" si="80"/>
        <v>-0.28850495332997106</v>
      </c>
      <c r="X128" s="58">
        <f t="shared" si="80"/>
        <v>0.27669902859754902</v>
      </c>
      <c r="Y128" s="58">
        <f t="shared" si="80"/>
        <v>0.19345860891598204</v>
      </c>
      <c r="Z128" s="58"/>
      <c r="AA128" s="58"/>
      <c r="AB128" s="20"/>
      <c r="AC128" s="20"/>
      <c r="AD128" s="24"/>
      <c r="AE128" s="5"/>
      <c r="AF128" s="5"/>
      <c r="AG128" s="9"/>
      <c r="AH128" s="5"/>
      <c r="AI128" s="5"/>
      <c r="AJ128" s="22"/>
      <c r="AK128" s="23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106"/>
      <c r="AZ128" s="24"/>
      <c r="BA128" s="5"/>
      <c r="BB128" s="5"/>
    </row>
    <row r="129" spans="1:54" s="33" customFormat="1" ht="13.15">
      <c r="A129" s="5"/>
      <c r="B129" s="5"/>
      <c r="C129" s="12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20"/>
      <c r="AC129" s="20"/>
      <c r="AD129" s="24"/>
      <c r="AE129" s="5"/>
      <c r="AF129" s="5"/>
      <c r="AG129" s="9"/>
      <c r="AH129" s="5"/>
      <c r="AI129" s="5"/>
      <c r="AJ129" s="22"/>
      <c r="AK129" s="23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7"/>
      <c r="AZ129" s="24"/>
      <c r="BA129" s="5"/>
      <c r="BB129" s="5"/>
    </row>
    <row r="130" spans="1:54" s="33" customFormat="1" ht="13.15">
      <c r="A130" s="5"/>
      <c r="B130" s="5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20"/>
      <c r="AC130" s="20"/>
      <c r="AD130" s="24"/>
      <c r="AE130" s="5"/>
      <c r="AF130" s="5"/>
      <c r="AG130" s="9"/>
      <c r="AH130" s="5"/>
      <c r="AI130" s="5"/>
      <c r="AJ130" s="22"/>
      <c r="AK130" s="23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7"/>
      <c r="AZ130" s="24"/>
      <c r="BA130" s="5"/>
      <c r="BB130" s="5"/>
    </row>
    <row r="131" spans="1:54" s="33" customFormat="1" ht="13.15">
      <c r="A131" s="5"/>
      <c r="B131" s="5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20"/>
      <c r="AC131" s="20"/>
      <c r="AD131" s="24"/>
      <c r="AE131" s="5"/>
      <c r="AF131" s="5"/>
      <c r="AG131" s="9"/>
      <c r="AH131" s="5"/>
      <c r="AI131" s="5"/>
      <c r="AJ131" s="22"/>
      <c r="AK131" s="23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7"/>
      <c r="AZ131" s="24"/>
      <c r="BA131" s="5"/>
      <c r="BB131" s="5"/>
    </row>
    <row r="132" spans="1:54" s="33" customFormat="1" ht="13.15">
      <c r="A132" s="5"/>
      <c r="B132" s="5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20"/>
      <c r="AC132" s="20"/>
      <c r="AD132" s="24"/>
      <c r="AE132" s="5"/>
      <c r="AF132" s="5"/>
      <c r="AG132" s="9"/>
      <c r="AH132" s="5"/>
      <c r="AI132" s="5"/>
      <c r="AJ132" s="22"/>
      <c r="AK132" s="23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7"/>
      <c r="AZ132" s="24"/>
      <c r="BA132" s="5"/>
      <c r="BB132" s="5"/>
    </row>
    <row r="133" spans="1:54" s="33" customFormat="1" ht="13.15">
      <c r="A133" s="5"/>
      <c r="B133" s="5"/>
      <c r="C133" s="12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20"/>
      <c r="AC133" s="20"/>
      <c r="AD133" s="24"/>
      <c r="AE133" s="5"/>
      <c r="AF133" s="5"/>
      <c r="AG133" s="9"/>
      <c r="AH133" s="5"/>
      <c r="AI133" s="5"/>
      <c r="AJ133" s="22"/>
      <c r="AK133" s="23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7"/>
      <c r="AZ133" s="24"/>
      <c r="BA133" s="5"/>
      <c r="BB133" s="5"/>
    </row>
    <row r="134" spans="1:54" s="33" customFormat="1" ht="13.15">
      <c r="A134" s="5"/>
      <c r="B134" s="5"/>
      <c r="C134" s="12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20"/>
      <c r="AC134" s="20"/>
      <c r="AD134" s="24"/>
      <c r="AE134" s="5"/>
      <c r="AF134" s="5"/>
      <c r="AG134" s="9"/>
      <c r="AH134" s="5"/>
      <c r="AI134" s="5"/>
      <c r="AJ134" s="22"/>
      <c r="AK134" s="23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7"/>
      <c r="AZ134" s="24"/>
      <c r="BA134" s="5"/>
      <c r="BB134" s="5"/>
    </row>
    <row r="135" spans="1:54" s="33" customFormat="1" ht="13.15">
      <c r="A135" s="5"/>
      <c r="B135" s="5"/>
      <c r="C135" s="12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20"/>
      <c r="AC135" s="20"/>
      <c r="AD135" s="24"/>
      <c r="AE135" s="5"/>
      <c r="AF135" s="5"/>
      <c r="AG135" s="9"/>
      <c r="AH135" s="5"/>
      <c r="AI135" s="5"/>
      <c r="AJ135" s="22"/>
      <c r="AK135" s="23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7"/>
      <c r="AZ135" s="24"/>
      <c r="BA135" s="5"/>
      <c r="BB135" s="5"/>
    </row>
    <row r="136" spans="1:54" s="33" customFormat="1">
      <c r="A136" s="5"/>
      <c r="C136" s="5" t="s">
        <v>315</v>
      </c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Y136" s="23"/>
    </row>
    <row r="137" spans="1:54">
      <c r="C137" s="5" t="s">
        <v>138</v>
      </c>
      <c r="D137" s="36">
        <f t="shared" ref="D137:J137" si="81">IF(ISNUMBER(D138),D138,IF(ISNUMBER(D139),D139,IF(ISNUMBER(D144),D144,"…")))</f>
        <v>184.2411997122399</v>
      </c>
      <c r="E137" s="36">
        <f t="shared" si="81"/>
        <v>186.67626695217703</v>
      </c>
      <c r="F137" s="36">
        <f t="shared" si="81"/>
        <v>173.72868891537544</v>
      </c>
      <c r="G137" s="36">
        <f t="shared" si="81"/>
        <v>184.53591145761592</v>
      </c>
      <c r="H137" s="36">
        <f t="shared" si="81"/>
        <v>212.74104280894142</v>
      </c>
      <c r="I137" s="36">
        <f t="shared" si="81"/>
        <v>198.01132887143851</v>
      </c>
      <c r="J137" s="36">
        <f t="shared" si="81"/>
        <v>188.63847290640393</v>
      </c>
      <c r="K137" s="36">
        <f t="shared" ref="K137:Q137" si="82">IF(ISNUMBER(K138),K138,IF(ISNUMBER(K139),K139,"…"))</f>
        <v>196.96514400296226</v>
      </c>
      <c r="L137" s="36">
        <f>IF(ISNUMBER(L138),L138,IF(ISNUMBER(L139),L139,"…"))</f>
        <v>176.02556727355767</v>
      </c>
      <c r="M137" s="36">
        <f>IF(ISNUMBER(M138),M138,IF(ISNUMBER(M139),M139,"…"))</f>
        <v>178.66246706969804</v>
      </c>
      <c r="N137" s="36">
        <f t="shared" si="82"/>
        <v>193.25168726353121</v>
      </c>
      <c r="O137" s="36">
        <f t="shared" si="82"/>
        <v>198.34765204508372</v>
      </c>
      <c r="P137" s="36">
        <f t="shared" si="82"/>
        <v>210.75947405726592</v>
      </c>
      <c r="Q137" s="36">
        <f t="shared" si="82"/>
        <v>209.86599691349994</v>
      </c>
      <c r="R137" s="36">
        <f t="shared" ref="R137:Y137" si="83">IF(ISNUMBER(R138),R138,IF(ISNUMBER(R139),R139,"…"))</f>
        <v>223.77290787749789</v>
      </c>
      <c r="S137" s="36">
        <f t="shared" si="83"/>
        <v>220.11358576902373</v>
      </c>
      <c r="T137" s="36">
        <f t="shared" si="83"/>
        <v>240.00926401177293</v>
      </c>
      <c r="U137" s="36">
        <f t="shared" si="83"/>
        <v>212.40315747402079</v>
      </c>
      <c r="V137" s="36">
        <f t="shared" si="83"/>
        <v>211.10194919095716</v>
      </c>
      <c r="W137" s="36">
        <f t="shared" si="83"/>
        <v>209.80074090789353</v>
      </c>
      <c r="X137" s="36">
        <f t="shared" si="83"/>
        <v>208.4995326248299</v>
      </c>
      <c r="Y137" s="36">
        <f t="shared" si="83"/>
        <v>207.19832434176627</v>
      </c>
      <c r="Z137" s="36"/>
      <c r="AA137" s="36"/>
      <c r="AB137" s="5"/>
      <c r="AC137" s="5"/>
      <c r="AD137" s="27"/>
      <c r="AE137" s="27"/>
      <c r="AF137" s="30"/>
      <c r="AJ137" s="31"/>
      <c r="AY137" s="36"/>
      <c r="AZ137" s="27"/>
    </row>
    <row r="138" spans="1:54">
      <c r="C138" s="38" t="s">
        <v>349</v>
      </c>
      <c r="D138" s="36">
        <f t="shared" ref="D138:O138" si="84">IF(D$8="A",(D242+D233)/D145*365,IF(D$8="L","…",IF(D$8="E","…","…")))</f>
        <v>184.2411997122399</v>
      </c>
      <c r="E138" s="36">
        <f t="shared" si="84"/>
        <v>186.67626695217703</v>
      </c>
      <c r="F138" s="36">
        <f t="shared" si="84"/>
        <v>173.72868891537544</v>
      </c>
      <c r="G138" s="36">
        <f t="shared" si="84"/>
        <v>184.53591145761592</v>
      </c>
      <c r="H138" s="36">
        <f t="shared" si="84"/>
        <v>212.74104280894142</v>
      </c>
      <c r="I138" s="36">
        <f t="shared" si="84"/>
        <v>198.01132887143851</v>
      </c>
      <c r="J138" s="36">
        <f t="shared" si="84"/>
        <v>188.63847290640393</v>
      </c>
      <c r="K138" s="36">
        <f t="shared" si="84"/>
        <v>196.96514400296226</v>
      </c>
      <c r="L138" s="36">
        <f t="shared" si="84"/>
        <v>176.02556727355767</v>
      </c>
      <c r="M138" s="36">
        <f t="shared" si="84"/>
        <v>178.66246706969804</v>
      </c>
      <c r="N138" s="36">
        <f t="shared" si="84"/>
        <v>193.25168726353121</v>
      </c>
      <c r="O138" s="36">
        <f t="shared" si="84"/>
        <v>198.34765204508372</v>
      </c>
      <c r="P138" s="36">
        <f t="shared" ref="P138:V138" si="85">IF(P$8="A",(P242+P233)/P147*365,IF(P$8="L","…",IF(P$8="E","…","…")))</f>
        <v>210.75947405726592</v>
      </c>
      <c r="Q138" s="36">
        <f t="shared" si="85"/>
        <v>209.86599691349994</v>
      </c>
      <c r="R138" s="36">
        <f t="shared" si="85"/>
        <v>223.77290787749789</v>
      </c>
      <c r="S138" s="36">
        <f t="shared" si="85"/>
        <v>220.11358576902373</v>
      </c>
      <c r="T138" s="36">
        <f t="shared" si="85"/>
        <v>240.00926401177293</v>
      </c>
      <c r="U138" s="36">
        <f t="shared" si="85"/>
        <v>212.40315747402079</v>
      </c>
      <c r="V138" s="36" t="str">
        <f t="shared" si="85"/>
        <v>…</v>
      </c>
      <c r="W138" s="36" t="str">
        <f>IF(W$8="A",(W242+W233)/W147*365,IF(W$8="L","…",IF(W$8="E","…","…")))</f>
        <v>…</v>
      </c>
      <c r="X138" s="36" t="str">
        <f>IF(X$8="A",(X242+X233)/X147*365,IF(X$8="L","…",IF(X$8="E","…","…")))</f>
        <v>…</v>
      </c>
      <c r="Y138" s="36" t="str">
        <f>IF(Y$8="A",(Y242+Y233)/Y147*365,IF(Y$8="L","…",IF(Y$8="E","…","…")))</f>
        <v>…</v>
      </c>
      <c r="Z138" s="36"/>
      <c r="AA138" s="36"/>
      <c r="AB138" s="5"/>
      <c r="AC138" s="5"/>
      <c r="AD138" s="27"/>
      <c r="AE138" s="27"/>
      <c r="AF138" s="30"/>
      <c r="AG138" s="5" t="s">
        <v>421</v>
      </c>
      <c r="AJ138" s="31"/>
      <c r="AY138" s="36"/>
      <c r="AZ138" s="27"/>
    </row>
    <row r="139" spans="1:54">
      <c r="C139" s="38" t="s">
        <v>350</v>
      </c>
      <c r="D139" s="36" t="str">
        <f t="shared" ref="D139:Y139" si="86">IF(D$8="E",C137+$AE139,"…")</f>
        <v>…</v>
      </c>
      <c r="E139" s="36" t="str">
        <f t="shared" si="86"/>
        <v>…</v>
      </c>
      <c r="F139" s="36" t="str">
        <f t="shared" si="86"/>
        <v>…</v>
      </c>
      <c r="G139" s="36" t="str">
        <f t="shared" si="86"/>
        <v>…</v>
      </c>
      <c r="H139" s="36" t="str">
        <f t="shared" si="86"/>
        <v>…</v>
      </c>
      <c r="I139" s="36" t="str">
        <f t="shared" si="86"/>
        <v>…</v>
      </c>
      <c r="J139" s="36" t="str">
        <f t="shared" si="86"/>
        <v>…</v>
      </c>
      <c r="K139" s="36" t="str">
        <f t="shared" si="86"/>
        <v>…</v>
      </c>
      <c r="L139" s="36" t="str">
        <f t="shared" si="86"/>
        <v>…</v>
      </c>
      <c r="M139" s="36" t="str">
        <f t="shared" si="86"/>
        <v>…</v>
      </c>
      <c r="N139" s="36" t="str">
        <f t="shared" si="86"/>
        <v>…</v>
      </c>
      <c r="O139" s="36" t="str">
        <f t="shared" si="86"/>
        <v>…</v>
      </c>
      <c r="P139" s="55" t="str">
        <f t="shared" si="86"/>
        <v>…</v>
      </c>
      <c r="Q139" s="55" t="str">
        <f t="shared" si="86"/>
        <v>…</v>
      </c>
      <c r="R139" s="55" t="str">
        <f t="shared" si="86"/>
        <v>…</v>
      </c>
      <c r="S139" s="55" t="str">
        <f t="shared" si="86"/>
        <v>…</v>
      </c>
      <c r="T139" s="55" t="str">
        <f t="shared" si="86"/>
        <v>…</v>
      </c>
      <c r="U139" s="55" t="str">
        <f t="shared" si="86"/>
        <v>…</v>
      </c>
      <c r="V139" s="55">
        <f t="shared" si="86"/>
        <v>211.10194919095716</v>
      </c>
      <c r="W139" s="55">
        <f t="shared" si="86"/>
        <v>209.80074090789353</v>
      </c>
      <c r="X139" s="55">
        <f t="shared" si="86"/>
        <v>208.4995326248299</v>
      </c>
      <c r="Y139" s="55">
        <f t="shared" si="86"/>
        <v>207.19832434176627</v>
      </c>
      <c r="Z139" s="55"/>
      <c r="AA139" s="55"/>
      <c r="AB139" s="5"/>
      <c r="AC139" s="5"/>
      <c r="AD139" s="27">
        <f>(SUMIF(L15:AA15,"A",L137:AA137)-_xlfn.MAXIFS(L137:AA137,L15:AA15,"A")-_xlfn.MINIFS(L137:AA137,L15:AA15,"A"))/(COUNTIF(L15:AA15,"A")-2)</f>
        <v>205.89711605870264</v>
      </c>
      <c r="AE139" s="75">
        <f>(AD139-U138)/5</f>
        <v>-1.3012082830636302</v>
      </c>
      <c r="AF139" s="30"/>
      <c r="AG139" s="5">
        <f>(SUMIFS($C138:Q138,C$8:Q$8,"A")-MAX($A138:Q138)-MIN($A138:Q138))/(COUNTIFS($C$8:Q9,"A")-2)</f>
        <v>192.16509737712281</v>
      </c>
      <c r="AJ139" s="31"/>
      <c r="AY139" s="55"/>
      <c r="AZ139" s="27"/>
    </row>
    <row r="140" spans="1:54">
      <c r="C140" s="5" t="s">
        <v>139</v>
      </c>
      <c r="D140" s="36">
        <f t="shared" ref="D140:K140" si="87">IF(ISNUMBER(D141),D141,IF(ISNUMBER(D142),D142,"…"))</f>
        <v>89.737081708125856</v>
      </c>
      <c r="E140" s="36">
        <f t="shared" si="87"/>
        <v>94.150291808372174</v>
      </c>
      <c r="F140" s="36">
        <f t="shared" si="87"/>
        <v>90.655733015494647</v>
      </c>
      <c r="G140" s="36">
        <f t="shared" si="87"/>
        <v>99.434236021194337</v>
      </c>
      <c r="H140" s="36">
        <f t="shared" si="87"/>
        <v>91.978024391958385</v>
      </c>
      <c r="I140" s="36">
        <f t="shared" si="87"/>
        <v>100.3804652666204</v>
      </c>
      <c r="J140" s="36">
        <f t="shared" si="87"/>
        <v>106.57856157635469</v>
      </c>
      <c r="K140" s="36">
        <f t="shared" si="87"/>
        <v>119.45304605960951</v>
      </c>
      <c r="L140" s="36">
        <f t="shared" ref="L140:R140" si="88">IF(ISNUMBER(L141),L141,IF(ISNUMBER(L142),L142,"…"))</f>
        <v>97.493849778903453</v>
      </c>
      <c r="M140" s="36">
        <f t="shared" si="88"/>
        <v>108.64200256843667</v>
      </c>
      <c r="N140" s="36">
        <f t="shared" si="88"/>
        <v>117.44080253682246</v>
      </c>
      <c r="O140" s="36">
        <f t="shared" si="88"/>
        <v>130.35934306021792</v>
      </c>
      <c r="P140" s="36">
        <f t="shared" si="88"/>
        <v>149.60553144287906</v>
      </c>
      <c r="Q140" s="36">
        <f t="shared" si="88"/>
        <v>124.27898578996194</v>
      </c>
      <c r="R140" s="36">
        <f t="shared" si="88"/>
        <v>121.03937264944943</v>
      </c>
      <c r="S140" s="36">
        <f t="shared" ref="S140:Y140" si="89">IF(ISNUMBER(S141),S141,IF(ISNUMBER(S142),S142,"…"))</f>
        <v>115.60047816586973</v>
      </c>
      <c r="T140" s="36">
        <f t="shared" si="89"/>
        <v>125.70559124925971</v>
      </c>
      <c r="U140" s="36">
        <f t="shared" si="89"/>
        <v>125.18099520383694</v>
      </c>
      <c r="V140" s="36">
        <f t="shared" si="89"/>
        <v>124.35098544366592</v>
      </c>
      <c r="W140" s="36">
        <f t="shared" si="89"/>
        <v>123.5209756834949</v>
      </c>
      <c r="X140" s="36">
        <f t="shared" si="89"/>
        <v>122.69096592332387</v>
      </c>
      <c r="Y140" s="36">
        <f t="shared" si="89"/>
        <v>121.86095616315285</v>
      </c>
      <c r="Z140" s="36"/>
      <c r="AA140" s="36"/>
      <c r="AB140" s="5"/>
      <c r="AC140" s="5"/>
      <c r="AD140" s="27"/>
      <c r="AE140" s="27"/>
      <c r="AF140" s="30"/>
      <c r="AJ140" s="31"/>
      <c r="AY140" s="36"/>
      <c r="AZ140" s="27"/>
    </row>
    <row r="141" spans="1:54">
      <c r="C141" s="38" t="s">
        <v>351</v>
      </c>
      <c r="D141" s="36">
        <f t="shared" ref="D141:T141" si="90">IF(D$8="A",(D229)/D147*365,IF(D$8="L","…",IF(D$8="E",".","…")))</f>
        <v>89.737081708125856</v>
      </c>
      <c r="E141" s="36">
        <f t="shared" si="90"/>
        <v>94.150291808372174</v>
      </c>
      <c r="F141" s="36">
        <f t="shared" si="90"/>
        <v>90.655733015494647</v>
      </c>
      <c r="G141" s="36">
        <f t="shared" si="90"/>
        <v>99.434236021194337</v>
      </c>
      <c r="H141" s="36">
        <f t="shared" si="90"/>
        <v>91.978024391958385</v>
      </c>
      <c r="I141" s="36">
        <f t="shared" si="90"/>
        <v>100.3804652666204</v>
      </c>
      <c r="J141" s="36">
        <f t="shared" si="90"/>
        <v>106.57856157635469</v>
      </c>
      <c r="K141" s="36">
        <f t="shared" si="90"/>
        <v>119.45304605960951</v>
      </c>
      <c r="L141" s="36">
        <f t="shared" si="90"/>
        <v>97.493849778903453</v>
      </c>
      <c r="M141" s="55">
        <f t="shared" si="90"/>
        <v>108.64200256843667</v>
      </c>
      <c r="N141" s="55">
        <f t="shared" si="90"/>
        <v>117.44080253682246</v>
      </c>
      <c r="O141" s="55">
        <f t="shared" si="90"/>
        <v>130.35934306021792</v>
      </c>
      <c r="P141" s="55">
        <f t="shared" si="90"/>
        <v>149.60553144287906</v>
      </c>
      <c r="Q141" s="55">
        <f t="shared" si="90"/>
        <v>124.27898578996194</v>
      </c>
      <c r="R141" s="55">
        <f t="shared" si="90"/>
        <v>121.03937264944943</v>
      </c>
      <c r="S141" s="55">
        <f t="shared" si="90"/>
        <v>115.60047816586973</v>
      </c>
      <c r="T141" s="55">
        <f t="shared" si="90"/>
        <v>125.70559124925971</v>
      </c>
      <c r="U141" s="55">
        <f>IF(U$8="A",(U229)/U147*365,IF(U$8="L","…",IF(U$8="E",".","…")))</f>
        <v>125.18099520383694</v>
      </c>
      <c r="V141" s="55" t="str">
        <f>IF(V$8="A",(V229)/V147*365,IF(V$8="L","…",IF(V$8="E",".","…")))</f>
        <v>.</v>
      </c>
      <c r="W141" s="55" t="str">
        <f>IF(W$8="A",(W229)/W147*365,IF(W$8="L","…",IF(W$8="E",".","…")))</f>
        <v>.</v>
      </c>
      <c r="X141" s="55" t="str">
        <f>IF(X$8="A",(X229)/X147*365,IF(X$8="L","…",IF(X$8="E",".","…")))</f>
        <v>.</v>
      </c>
      <c r="Y141" s="55" t="str">
        <f>IF(Y$8="A",(Y229)/Y147*365,IF(Y$8="L","…",IF(Y$8="E",".","…")))</f>
        <v>.</v>
      </c>
      <c r="Z141" s="55"/>
      <c r="AA141" s="55"/>
      <c r="AB141" s="31"/>
      <c r="AC141" s="31"/>
      <c r="AE141" s="30"/>
      <c r="AF141" s="30"/>
      <c r="AG141" s="5" t="s">
        <v>421</v>
      </c>
      <c r="AJ141" s="31"/>
      <c r="AY141" s="55"/>
      <c r="AZ141" s="27"/>
    </row>
    <row r="142" spans="1:54">
      <c r="C142" s="38" t="s">
        <v>352</v>
      </c>
      <c r="D142" s="36" t="str">
        <f t="shared" ref="D142:Y142" si="91">IF(D$8="E",C140+$AE142,"…")</f>
        <v>…</v>
      </c>
      <c r="E142" s="36" t="str">
        <f t="shared" si="91"/>
        <v>…</v>
      </c>
      <c r="F142" s="36" t="str">
        <f t="shared" si="91"/>
        <v>…</v>
      </c>
      <c r="G142" s="36" t="str">
        <f t="shared" si="91"/>
        <v>…</v>
      </c>
      <c r="H142" s="36" t="str">
        <f t="shared" si="91"/>
        <v>…</v>
      </c>
      <c r="I142" s="36" t="str">
        <f t="shared" si="91"/>
        <v>…</v>
      </c>
      <c r="J142" s="36" t="str">
        <f t="shared" si="91"/>
        <v>…</v>
      </c>
      <c r="K142" s="55" t="str">
        <f t="shared" si="91"/>
        <v>…</v>
      </c>
      <c r="L142" s="55" t="str">
        <f t="shared" si="91"/>
        <v>…</v>
      </c>
      <c r="M142" s="55" t="str">
        <f t="shared" si="91"/>
        <v>…</v>
      </c>
      <c r="N142" s="55" t="str">
        <f t="shared" si="91"/>
        <v>…</v>
      </c>
      <c r="O142" s="55" t="str">
        <f t="shared" si="91"/>
        <v>…</v>
      </c>
      <c r="P142" s="55" t="str">
        <f t="shared" si="91"/>
        <v>…</v>
      </c>
      <c r="Q142" s="55" t="str">
        <f t="shared" si="91"/>
        <v>…</v>
      </c>
      <c r="R142" s="55" t="str">
        <f t="shared" si="91"/>
        <v>…</v>
      </c>
      <c r="S142" s="55" t="str">
        <f t="shared" si="91"/>
        <v>…</v>
      </c>
      <c r="T142" s="55" t="str">
        <f t="shared" si="91"/>
        <v>…</v>
      </c>
      <c r="U142" s="55" t="str">
        <f t="shared" si="91"/>
        <v>…</v>
      </c>
      <c r="V142" s="55">
        <f t="shared" si="91"/>
        <v>124.35098544366592</v>
      </c>
      <c r="W142" s="55">
        <f t="shared" si="91"/>
        <v>123.5209756834949</v>
      </c>
      <c r="X142" s="55">
        <f t="shared" si="91"/>
        <v>122.69096592332387</v>
      </c>
      <c r="Y142" s="55">
        <f t="shared" si="91"/>
        <v>121.86095616315285</v>
      </c>
      <c r="Z142" s="55"/>
      <c r="AA142" s="55"/>
      <c r="AB142" s="31"/>
      <c r="AC142" s="31"/>
      <c r="AD142" s="27">
        <f>(SUMIF(L15:AA15,"A",L140:AA140)-_xlfn.MAXIFS(L140:AA140,L15:AA15,"A")-_xlfn.MINIFS(L140:AA140,L15:AA15,"A"))/(COUNTIF(L15:AA15,"A")-2)</f>
        <v>121.03094640298184</v>
      </c>
      <c r="AE142" s="75">
        <f>(AD142-U141)/5</f>
        <v>-0.83000976017102057</v>
      </c>
      <c r="AF142" s="30"/>
      <c r="AG142" s="5">
        <f>(SUMIFS($C141:O141,C$8:O$8,"A")-MAX($A141:O141)-MIN($A141:O141))/(COUNTIFS($C$8:O8,"A")-2)</f>
        <v>102.62070130237666</v>
      </c>
      <c r="AJ142" s="31"/>
      <c r="AY142" s="55"/>
      <c r="AZ142" s="27"/>
    </row>
    <row r="143" spans="1:54">
      <c r="C143" s="38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31"/>
      <c r="AC143" s="31"/>
      <c r="AE143" s="30"/>
      <c r="AF143" s="30"/>
      <c r="AJ143" s="31"/>
      <c r="AY143" s="5"/>
      <c r="AZ143" s="27"/>
    </row>
    <row r="144" spans="1:54"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31"/>
      <c r="AC144" s="31"/>
      <c r="AE144" s="30"/>
      <c r="AF144" s="30"/>
      <c r="AJ144" s="31"/>
      <c r="AY144" s="25"/>
      <c r="AZ144" s="27"/>
    </row>
    <row r="145" spans="1:54" ht="13.15">
      <c r="C145" s="89" t="s">
        <v>340</v>
      </c>
      <c r="D145" s="90">
        <f t="shared" ref="D145:R145" si="92">D147</f>
        <v>88963</v>
      </c>
      <c r="E145" s="90">
        <f t="shared" si="92"/>
        <v>95268</v>
      </c>
      <c r="F145" s="90">
        <f t="shared" si="92"/>
        <v>104875</v>
      </c>
      <c r="G145" s="90">
        <f t="shared" si="92"/>
        <v>108897</v>
      </c>
      <c r="H145" s="90">
        <f t="shared" si="92"/>
        <v>113808</v>
      </c>
      <c r="I145" s="90">
        <f t="shared" si="92"/>
        <v>105187</v>
      </c>
      <c r="J145" s="90">
        <f t="shared" si="92"/>
        <v>126875</v>
      </c>
      <c r="K145" s="90">
        <f t="shared" si="92"/>
        <v>159337</v>
      </c>
      <c r="L145" s="90">
        <f t="shared" si="92"/>
        <v>192676</v>
      </c>
      <c r="M145" s="90">
        <f t="shared" si="92"/>
        <v>197007</v>
      </c>
      <c r="N145" s="90">
        <f t="shared" si="92"/>
        <v>202458</v>
      </c>
      <c r="O145" s="90">
        <f t="shared" si="92"/>
        <v>213292</v>
      </c>
      <c r="P145" s="90">
        <f t="shared" si="92"/>
        <v>217267</v>
      </c>
      <c r="Q145" s="90">
        <f t="shared" si="92"/>
        <v>230682</v>
      </c>
      <c r="R145" s="90">
        <f t="shared" si="92"/>
        <v>235849</v>
      </c>
      <c r="S145" s="90">
        <f t="shared" ref="S145:Y145" si="93">S147</f>
        <v>252632</v>
      </c>
      <c r="T145" s="90">
        <f t="shared" si="93"/>
        <v>222884</v>
      </c>
      <c r="U145" s="90">
        <f t="shared" si="93"/>
        <v>250200</v>
      </c>
      <c r="V145" s="90">
        <f t="shared" si="93"/>
        <v>278170.7</v>
      </c>
      <c r="W145" s="90">
        <f t="shared" si="93"/>
        <v>290361.09999999998</v>
      </c>
      <c r="X145" s="90">
        <f t="shared" si="93"/>
        <v>298282.533</v>
      </c>
      <c r="Y145" s="90">
        <f t="shared" si="93"/>
        <v>314244.33299999998</v>
      </c>
      <c r="Z145" s="90"/>
      <c r="AA145" s="90"/>
      <c r="AB145" s="31"/>
      <c r="AC145" s="31"/>
      <c r="AE145" s="30"/>
      <c r="AF145" s="30"/>
      <c r="AJ145" s="31"/>
      <c r="AY145" s="90"/>
      <c r="AZ145" s="27"/>
    </row>
    <row r="146" spans="1:54" hidden="1" outlineLevel="1">
      <c r="C146" s="41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1"/>
      <c r="AC146" s="31"/>
      <c r="AE146" s="30"/>
      <c r="AF146" s="30"/>
      <c r="AJ146" s="31"/>
      <c r="AY146" s="36"/>
      <c r="AZ146" s="27"/>
    </row>
    <row r="147" spans="1:54" hidden="1" outlineLevel="1">
      <c r="C147" s="41" t="s">
        <v>345</v>
      </c>
      <c r="D147" s="25">
        <f t="shared" ref="D147:K147" si="94">IF(ISNUMBER(D148),D148,IF(ISNUMBER(D149),D149,"…"))</f>
        <v>88963</v>
      </c>
      <c r="E147" s="25">
        <f t="shared" si="94"/>
        <v>95268</v>
      </c>
      <c r="F147" s="25">
        <f t="shared" si="94"/>
        <v>104875</v>
      </c>
      <c r="G147" s="25">
        <f t="shared" si="94"/>
        <v>108897</v>
      </c>
      <c r="H147" s="25">
        <f t="shared" si="94"/>
        <v>113808</v>
      </c>
      <c r="I147" s="25">
        <f t="shared" si="94"/>
        <v>105187</v>
      </c>
      <c r="J147" s="25">
        <f t="shared" si="94"/>
        <v>126875</v>
      </c>
      <c r="K147" s="25">
        <f t="shared" si="94"/>
        <v>159337</v>
      </c>
      <c r="L147" s="25">
        <f t="shared" ref="L147:R147" si="95">IF(ISNUMBER(L148),L148,IF(ISNUMBER(L149),L149,"…"))</f>
        <v>192676</v>
      </c>
      <c r="M147" s="25">
        <f t="shared" si="95"/>
        <v>197007</v>
      </c>
      <c r="N147" s="36">
        <f t="shared" si="95"/>
        <v>202458</v>
      </c>
      <c r="O147" s="36">
        <f t="shared" si="95"/>
        <v>213292</v>
      </c>
      <c r="P147" s="36">
        <f t="shared" si="95"/>
        <v>217267</v>
      </c>
      <c r="Q147" s="36">
        <f t="shared" si="95"/>
        <v>230682</v>
      </c>
      <c r="R147" s="36">
        <f t="shared" si="95"/>
        <v>235849</v>
      </c>
      <c r="S147" s="36">
        <f t="shared" ref="S147:Y147" si="96">IF(ISNUMBER(S148),S148,IF(ISNUMBER(S149),S149,"…"))</f>
        <v>252632</v>
      </c>
      <c r="T147" s="36">
        <f t="shared" si="96"/>
        <v>222884</v>
      </c>
      <c r="U147" s="25">
        <f t="shared" si="96"/>
        <v>250200</v>
      </c>
      <c r="V147" s="25">
        <f t="shared" si="96"/>
        <v>278170.7</v>
      </c>
      <c r="W147" s="25">
        <f t="shared" si="96"/>
        <v>290361.09999999998</v>
      </c>
      <c r="X147" s="25">
        <f t="shared" si="96"/>
        <v>298282.533</v>
      </c>
      <c r="Y147" s="25">
        <f t="shared" si="96"/>
        <v>314244.33299999998</v>
      </c>
      <c r="Z147" s="25"/>
      <c r="AA147" s="2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25"/>
      <c r="AZ147" s="5"/>
    </row>
    <row r="148" spans="1:54" s="23" customFormat="1" hidden="1" outlineLevel="1">
      <c r="A148" s="5"/>
      <c r="B148" s="5"/>
      <c r="C148" s="43" t="s">
        <v>299</v>
      </c>
      <c r="D148" s="25">
        <f t="shared" ref="D148:T148" si="97">IF(D$8="A",D315,IF(D$8="L","…","…"))</f>
        <v>88963</v>
      </c>
      <c r="E148" s="25">
        <f t="shared" si="97"/>
        <v>95268</v>
      </c>
      <c r="F148" s="25">
        <f t="shared" si="97"/>
        <v>104875</v>
      </c>
      <c r="G148" s="25">
        <f t="shared" si="97"/>
        <v>108897</v>
      </c>
      <c r="H148" s="25">
        <f t="shared" si="97"/>
        <v>113808</v>
      </c>
      <c r="I148" s="25">
        <f t="shared" si="97"/>
        <v>105187</v>
      </c>
      <c r="J148" s="25">
        <f t="shared" si="97"/>
        <v>126875</v>
      </c>
      <c r="K148" s="25">
        <f t="shared" si="97"/>
        <v>159337</v>
      </c>
      <c r="L148" s="25">
        <f t="shared" si="97"/>
        <v>192676</v>
      </c>
      <c r="M148" s="25">
        <f t="shared" si="97"/>
        <v>197007</v>
      </c>
      <c r="N148" s="36">
        <f t="shared" si="97"/>
        <v>202458</v>
      </c>
      <c r="O148" s="36">
        <f t="shared" si="97"/>
        <v>213292</v>
      </c>
      <c r="P148" s="36">
        <f t="shared" si="97"/>
        <v>217267</v>
      </c>
      <c r="Q148" s="36">
        <f t="shared" si="97"/>
        <v>230682</v>
      </c>
      <c r="R148" s="36">
        <f t="shared" si="97"/>
        <v>235849</v>
      </c>
      <c r="S148" s="36">
        <f t="shared" si="97"/>
        <v>252632</v>
      </c>
      <c r="T148" s="36">
        <f t="shared" si="97"/>
        <v>222884</v>
      </c>
      <c r="U148" s="25">
        <f>IF(U$8="A",U315,IF(U$8="L","…","…"))</f>
        <v>250200</v>
      </c>
      <c r="V148" s="25" t="str">
        <f>IF(V$8="A",V315,IF(V$8="L","…","…"))</f>
        <v>…</v>
      </c>
      <c r="W148" s="25" t="str">
        <f>IF(W$8="A",W315,IF(W$8="L","…","…"))</f>
        <v>…</v>
      </c>
      <c r="X148" s="25" t="str">
        <f>IF(X$8="A",X315,IF(X$8="L","…","…"))</f>
        <v>…</v>
      </c>
      <c r="Y148" s="25" t="str">
        <f>IF(Y$8="A",Y315,IF(Y$8="L","…","…"))</f>
        <v>…</v>
      </c>
      <c r="Z148" s="25"/>
      <c r="AA148" s="25"/>
      <c r="AB148" s="20"/>
      <c r="AC148" s="20"/>
      <c r="AD148" s="5"/>
      <c r="AE148" s="5"/>
      <c r="AF148" s="5"/>
      <c r="AG148" s="5"/>
      <c r="AI148" s="5"/>
      <c r="AJ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5"/>
      <c r="AZ148" s="24"/>
      <c r="BA148" s="5"/>
      <c r="BB148" s="5"/>
    </row>
    <row r="149" spans="1:54" s="23" customFormat="1" hidden="1" outlineLevel="1">
      <c r="A149" s="5"/>
      <c r="B149" s="5"/>
      <c r="C149" s="43" t="s">
        <v>346</v>
      </c>
      <c r="D149" s="25"/>
      <c r="E149" s="25"/>
      <c r="F149" s="25"/>
      <c r="G149" s="25"/>
      <c r="H149" s="25"/>
      <c r="I149" s="60"/>
      <c r="J149" s="60"/>
      <c r="K149" s="60"/>
      <c r="L149" s="60"/>
      <c r="M149" s="60"/>
      <c r="N149" s="60" t="str">
        <f t="shared" ref="N149:Y149" si="98">IFERROR(1/(1/AL19),"…")</f>
        <v>…</v>
      </c>
      <c r="O149" s="94" t="str">
        <f t="shared" si="98"/>
        <v>…</v>
      </c>
      <c r="P149" s="94" t="str">
        <f t="shared" si="98"/>
        <v>…</v>
      </c>
      <c r="Q149" s="94" t="str">
        <f t="shared" si="98"/>
        <v>…</v>
      </c>
      <c r="R149" s="94" t="str">
        <f t="shared" si="98"/>
        <v>…</v>
      </c>
      <c r="S149" s="94">
        <f t="shared" si="98"/>
        <v>250082.14300000004</v>
      </c>
      <c r="T149" s="94">
        <f t="shared" si="98"/>
        <v>221235.09100000001</v>
      </c>
      <c r="U149" s="94">
        <f t="shared" si="98"/>
        <v>247553.39099999997</v>
      </c>
      <c r="V149" s="94">
        <f t="shared" si="98"/>
        <v>278170.7</v>
      </c>
      <c r="W149" s="94">
        <f t="shared" si="98"/>
        <v>290361.09999999998</v>
      </c>
      <c r="X149" s="94">
        <f t="shared" si="98"/>
        <v>298282.533</v>
      </c>
      <c r="Y149" s="94">
        <f t="shared" si="98"/>
        <v>314244.33299999998</v>
      </c>
      <c r="Z149" s="94"/>
      <c r="AA149" s="60"/>
      <c r="AB149" s="20"/>
      <c r="AC149" s="20"/>
      <c r="AD149" s="5"/>
      <c r="AE149" s="5"/>
      <c r="AF149" s="5"/>
      <c r="AG149" s="5"/>
      <c r="AI149" s="5"/>
      <c r="AJ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60"/>
      <c r="AZ149" s="24"/>
      <c r="BA149" s="5"/>
      <c r="BB149" s="5"/>
    </row>
    <row r="150" spans="1:54" s="23" customFormat="1" hidden="1" outlineLevel="1">
      <c r="A150" s="5"/>
      <c r="B150" s="5"/>
      <c r="C150" s="43"/>
      <c r="D150" s="25"/>
      <c r="E150" s="25"/>
      <c r="F150" s="25"/>
      <c r="G150" s="25"/>
      <c r="H150" s="25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20"/>
      <c r="AC150" s="20"/>
      <c r="AD150" s="5"/>
      <c r="AE150" s="5"/>
      <c r="AF150" s="5"/>
      <c r="AG150" s="5"/>
      <c r="AI150" s="5"/>
      <c r="AJ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60"/>
      <c r="AZ150" s="24"/>
      <c r="BA150" s="5"/>
      <c r="BB150" s="5"/>
    </row>
    <row r="151" spans="1:54" ht="13.15" collapsed="1">
      <c r="C151" s="89" t="str">
        <f t="shared" ref="C151:R151" si="99">C153</f>
        <v>EBITDA</v>
      </c>
      <c r="D151" s="90">
        <f t="shared" si="99"/>
        <v>10000</v>
      </c>
      <c r="E151" s="90">
        <f t="shared" si="99"/>
        <v>11073</v>
      </c>
      <c r="F151" s="90">
        <f t="shared" si="99"/>
        <v>11848</v>
      </c>
      <c r="G151" s="90">
        <f t="shared" si="99"/>
        <v>15996</v>
      </c>
      <c r="H151" s="90">
        <f t="shared" si="99"/>
        <v>14739</v>
      </c>
      <c r="I151" s="90">
        <f t="shared" si="99"/>
        <v>10716</v>
      </c>
      <c r="J151" s="90">
        <f t="shared" si="99"/>
        <v>17230</v>
      </c>
      <c r="K151" s="90">
        <f t="shared" si="99"/>
        <v>21604</v>
      </c>
      <c r="L151" s="90">
        <f t="shared" si="99"/>
        <v>24612</v>
      </c>
      <c r="M151" s="90">
        <f t="shared" si="99"/>
        <v>26321</v>
      </c>
      <c r="N151" s="90">
        <f t="shared" si="99"/>
        <v>29488</v>
      </c>
      <c r="O151" s="90">
        <f t="shared" si="99"/>
        <v>15587</v>
      </c>
      <c r="P151" s="90">
        <f t="shared" si="99"/>
        <v>27896</v>
      </c>
      <c r="Q151" s="90">
        <f t="shared" si="99"/>
        <v>35848</v>
      </c>
      <c r="R151" s="90">
        <f t="shared" si="99"/>
        <v>36311</v>
      </c>
      <c r="S151" s="90">
        <f t="shared" ref="S151:Y151" si="100">S153</f>
        <v>39020</v>
      </c>
      <c r="T151" s="90">
        <f t="shared" si="100"/>
        <v>35959</v>
      </c>
      <c r="U151" s="90">
        <f t="shared" si="100"/>
        <v>45855</v>
      </c>
      <c r="V151" s="90">
        <f t="shared" si="100"/>
        <v>44369.610999999997</v>
      </c>
      <c r="W151" s="90">
        <f t="shared" si="100"/>
        <v>45314.167000000001</v>
      </c>
      <c r="X151" s="90">
        <f t="shared" si="100"/>
        <v>45844.582999999999</v>
      </c>
      <c r="Y151" s="90">
        <f t="shared" si="100"/>
        <v>49667</v>
      </c>
      <c r="Z151" s="90"/>
      <c r="AA151" s="90"/>
      <c r="AB151" s="31"/>
      <c r="AC151" s="31"/>
      <c r="AE151" s="30"/>
      <c r="AF151" s="30"/>
      <c r="AJ151" s="31"/>
      <c r="AY151" s="90"/>
      <c r="AZ151" s="27"/>
    </row>
    <row r="152" spans="1:54" s="23" customFormat="1" hidden="1" outlineLevel="1">
      <c r="A152" s="5"/>
      <c r="B152" s="5"/>
      <c r="C152" s="44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0"/>
      <c r="AC152" s="20"/>
      <c r="AD152" s="5"/>
      <c r="AE152" s="5"/>
      <c r="AF152" s="5"/>
      <c r="AG152" s="5"/>
      <c r="AI152" s="5"/>
      <c r="AY152" s="25"/>
      <c r="BB152" s="5"/>
    </row>
    <row r="153" spans="1:54" s="23" customFormat="1" hidden="1" outlineLevel="1">
      <c r="A153" s="5"/>
      <c r="B153" s="5"/>
      <c r="C153" s="44" t="s">
        <v>7</v>
      </c>
      <c r="D153" s="25">
        <f>IF(ISNUMBER(D154),D154,IF(ISNUMBER(D155),D155,"…"))</f>
        <v>10000</v>
      </c>
      <c r="E153" s="25">
        <f>IF(ISNUMBER(E154),E154,IF(ISNUMBER(E155),E155,"…"))</f>
        <v>11073</v>
      </c>
      <c r="F153" s="25">
        <f>IF(ISNUMBER(F154),F154,IF(ISNUMBER(F155),F155,"…"))</f>
        <v>11848</v>
      </c>
      <c r="G153" s="25">
        <f t="shared" ref="G153:Q153" si="101">IF(ISNUMBER(G154),G154,IF(ISNUMBER(G155),G155,IF(ISNUMBER(G158),G158,"…")))</f>
        <v>15996</v>
      </c>
      <c r="H153" s="25">
        <f t="shared" si="101"/>
        <v>14739</v>
      </c>
      <c r="I153" s="25">
        <f t="shared" si="101"/>
        <v>10716</v>
      </c>
      <c r="J153" s="25">
        <f t="shared" si="101"/>
        <v>17230</v>
      </c>
      <c r="K153" s="25">
        <f t="shared" si="101"/>
        <v>21604</v>
      </c>
      <c r="L153" s="25">
        <f>IF(ISNUMBER(L154),L154,IF(ISNUMBER(L155),L155,IF(ISNUMBER(L158),L158,"…")))</f>
        <v>24612</v>
      </c>
      <c r="M153" s="25">
        <f>IF(ISNUMBER(M154),M154,IF(ISNUMBER(M155),M155,IF(ISNUMBER(M158),M158,"…")))</f>
        <v>26321</v>
      </c>
      <c r="N153" s="25">
        <f t="shared" si="101"/>
        <v>29488</v>
      </c>
      <c r="O153" s="25">
        <f t="shared" si="101"/>
        <v>15587</v>
      </c>
      <c r="P153" s="25">
        <f t="shared" si="101"/>
        <v>27896</v>
      </c>
      <c r="Q153" s="25">
        <f t="shared" si="101"/>
        <v>35848</v>
      </c>
      <c r="R153" s="25">
        <f t="shared" ref="R153:Y153" si="102">IF(ISNUMBER(R154),R154,IF(ISNUMBER(R155),R155,IF(ISNUMBER(R158),R158,"…")))</f>
        <v>36311</v>
      </c>
      <c r="S153" s="25">
        <f t="shared" si="102"/>
        <v>39020</v>
      </c>
      <c r="T153" s="25">
        <f t="shared" si="102"/>
        <v>35959</v>
      </c>
      <c r="U153" s="25">
        <f t="shared" si="102"/>
        <v>45855</v>
      </c>
      <c r="V153" s="25">
        <f t="shared" si="102"/>
        <v>44369.610999999997</v>
      </c>
      <c r="W153" s="25">
        <f t="shared" si="102"/>
        <v>45314.167000000001</v>
      </c>
      <c r="X153" s="25">
        <f t="shared" si="102"/>
        <v>45844.582999999999</v>
      </c>
      <c r="Y153" s="25">
        <f t="shared" si="102"/>
        <v>49667</v>
      </c>
      <c r="Z153" s="25"/>
      <c r="AA153" s="25"/>
      <c r="AB153" s="20"/>
      <c r="AC153" s="20"/>
      <c r="AD153" s="5"/>
      <c r="AE153" s="5"/>
      <c r="AF153" s="5"/>
      <c r="AG153" s="5"/>
      <c r="AI153" s="5"/>
      <c r="AY153" s="25"/>
      <c r="BB153" s="5"/>
    </row>
    <row r="154" spans="1:54" s="23" customFormat="1" hidden="1" outlineLevel="1">
      <c r="A154" s="5"/>
      <c r="B154" s="5"/>
      <c r="C154" s="43" t="s">
        <v>293</v>
      </c>
      <c r="D154" s="25">
        <f t="shared" ref="D154:T154" si="103">IF(D$8="A",IF(D325="…","calc.",D325),IF(D$8="L","…","…"))</f>
        <v>10000</v>
      </c>
      <c r="E154" s="25">
        <f t="shared" si="103"/>
        <v>11073</v>
      </c>
      <c r="F154" s="25">
        <f t="shared" si="103"/>
        <v>11848</v>
      </c>
      <c r="G154" s="25">
        <f t="shared" si="103"/>
        <v>15996</v>
      </c>
      <c r="H154" s="25">
        <f t="shared" si="103"/>
        <v>14739</v>
      </c>
      <c r="I154" s="25">
        <f t="shared" si="103"/>
        <v>10716</v>
      </c>
      <c r="J154" s="25">
        <f t="shared" si="103"/>
        <v>17230</v>
      </c>
      <c r="K154" s="25">
        <f t="shared" si="103"/>
        <v>21604</v>
      </c>
      <c r="L154" s="25">
        <f t="shared" si="103"/>
        <v>24612</v>
      </c>
      <c r="M154" s="25">
        <f t="shared" si="103"/>
        <v>26321</v>
      </c>
      <c r="N154" s="25">
        <f t="shared" si="103"/>
        <v>29488</v>
      </c>
      <c r="O154" s="25">
        <f t="shared" si="103"/>
        <v>15587</v>
      </c>
      <c r="P154" s="25">
        <f t="shared" si="103"/>
        <v>27896</v>
      </c>
      <c r="Q154" s="25">
        <f t="shared" si="103"/>
        <v>35848</v>
      </c>
      <c r="R154" s="25">
        <f t="shared" si="103"/>
        <v>36311</v>
      </c>
      <c r="S154" s="25">
        <f t="shared" si="103"/>
        <v>39020</v>
      </c>
      <c r="T154" s="25">
        <f t="shared" si="103"/>
        <v>35959</v>
      </c>
      <c r="U154" s="25">
        <f>IF(U$8="A",IF(U325="…","calc.",U325),IF(U$8="L","…","…"))</f>
        <v>45855</v>
      </c>
      <c r="V154" s="25" t="str">
        <f>IF(V$8="A",IF(V325="…","calc.",V325),IF(V$8="L","…","…"))</f>
        <v>…</v>
      </c>
      <c r="W154" s="25" t="str">
        <f>IF(W$8="A",IF(W325="…","calc.",W325),IF(W$8="L","…","…"))</f>
        <v>…</v>
      </c>
      <c r="X154" s="25" t="str">
        <f>IF(X$8="A",IF(X325="…","calc.",X325),IF(X$8="L","…","…"))</f>
        <v>…</v>
      </c>
      <c r="Y154" s="25" t="str">
        <f>IF(Y$8="A",IF(Y325="…","calc.",Y325),IF(Y$8="L","…","…"))</f>
        <v>…</v>
      </c>
      <c r="Z154" s="25"/>
      <c r="AA154" s="25"/>
      <c r="AB154" s="20"/>
      <c r="AC154" s="20"/>
      <c r="AD154" s="5"/>
      <c r="AE154" s="5"/>
      <c r="AF154" s="5"/>
      <c r="AG154" s="5"/>
      <c r="AH154" s="5"/>
      <c r="AI154" s="5"/>
      <c r="AY154" s="25"/>
      <c r="BB154" s="5"/>
    </row>
    <row r="155" spans="1:54" s="23" customFormat="1" hidden="1" outlineLevel="1">
      <c r="A155" s="5"/>
      <c r="B155" s="5"/>
      <c r="C155" s="43" t="s">
        <v>294</v>
      </c>
      <c r="D155" s="25">
        <f t="shared" ref="D155:K155" si="104">IF(ISNUMBER(D156),D156,IF(ISNUMBER(D157),D157,"…"))</f>
        <v>10000</v>
      </c>
      <c r="E155" s="25">
        <f t="shared" si="104"/>
        <v>11073</v>
      </c>
      <c r="F155" s="25">
        <f t="shared" si="104"/>
        <v>11848</v>
      </c>
      <c r="G155" s="25">
        <f t="shared" si="104"/>
        <v>15996</v>
      </c>
      <c r="H155" s="25">
        <f t="shared" si="104"/>
        <v>14739</v>
      </c>
      <c r="I155" s="25">
        <f t="shared" si="104"/>
        <v>10716</v>
      </c>
      <c r="J155" s="25">
        <f t="shared" si="104"/>
        <v>17230</v>
      </c>
      <c r="K155" s="25">
        <f t="shared" si="104"/>
        <v>21604</v>
      </c>
      <c r="L155" s="25">
        <f>IF(ISNUMBER(L156),L156,IF(ISNUMBER(L157),L157,"…"))</f>
        <v>24612</v>
      </c>
      <c r="M155" s="25" t="s">
        <v>314</v>
      </c>
      <c r="N155" s="25" t="s">
        <v>314</v>
      </c>
      <c r="O155" s="25" t="s">
        <v>314</v>
      </c>
      <c r="P155" s="25" t="s">
        <v>314</v>
      </c>
      <c r="Q155" s="25" t="s">
        <v>314</v>
      </c>
      <c r="R155" s="25" t="s">
        <v>314</v>
      </c>
      <c r="S155" s="25" t="s">
        <v>314</v>
      </c>
      <c r="T155" s="25" t="s">
        <v>314</v>
      </c>
      <c r="U155" s="25" t="s">
        <v>314</v>
      </c>
      <c r="V155" s="25" t="s">
        <v>314</v>
      </c>
      <c r="W155" s="25" t="s">
        <v>314</v>
      </c>
      <c r="X155" s="25" t="s">
        <v>314</v>
      </c>
      <c r="Y155" s="25" t="s">
        <v>314</v>
      </c>
      <c r="Z155" s="25"/>
      <c r="AA155" s="25"/>
      <c r="AB155" s="20"/>
      <c r="AC155" s="20"/>
      <c r="AD155" s="5"/>
      <c r="AE155" s="5"/>
      <c r="AF155" s="5"/>
      <c r="AG155" s="5"/>
      <c r="AY155" s="25"/>
    </row>
    <row r="156" spans="1:54" s="23" customFormat="1" hidden="1" outlineLevel="1">
      <c r="A156" s="5"/>
      <c r="B156" s="5"/>
      <c r="C156" s="52" t="s">
        <v>156</v>
      </c>
      <c r="D156" s="25">
        <f t="shared" ref="D156:L156" si="105">IFERROR(D322+D339,"…")</f>
        <v>10000</v>
      </c>
      <c r="E156" s="25">
        <f t="shared" si="105"/>
        <v>11073</v>
      </c>
      <c r="F156" s="25">
        <f t="shared" si="105"/>
        <v>11848</v>
      </c>
      <c r="G156" s="25">
        <f t="shared" si="105"/>
        <v>15996</v>
      </c>
      <c r="H156" s="25">
        <f t="shared" si="105"/>
        <v>14739</v>
      </c>
      <c r="I156" s="25">
        <f t="shared" si="105"/>
        <v>10716</v>
      </c>
      <c r="J156" s="25">
        <f t="shared" si="105"/>
        <v>17230</v>
      </c>
      <c r="K156" s="25">
        <f t="shared" si="105"/>
        <v>21604</v>
      </c>
      <c r="L156" s="25">
        <f t="shared" si="105"/>
        <v>24612</v>
      </c>
      <c r="M156" s="25" t="s">
        <v>314</v>
      </c>
      <c r="N156" s="25" t="s">
        <v>314</v>
      </c>
      <c r="O156" s="25" t="s">
        <v>314</v>
      </c>
      <c r="P156" s="25" t="s">
        <v>314</v>
      </c>
      <c r="Q156" s="25" t="s">
        <v>314</v>
      </c>
      <c r="R156" s="25" t="s">
        <v>314</v>
      </c>
      <c r="S156" s="25" t="s">
        <v>314</v>
      </c>
      <c r="T156" s="25" t="s">
        <v>314</v>
      </c>
      <c r="U156" s="25" t="s">
        <v>314</v>
      </c>
      <c r="V156" s="25" t="s">
        <v>314</v>
      </c>
      <c r="W156" s="25" t="s">
        <v>314</v>
      </c>
      <c r="X156" s="25" t="s">
        <v>314</v>
      </c>
      <c r="Y156" s="25" t="s">
        <v>314</v>
      </c>
      <c r="Z156" s="25"/>
      <c r="AA156" s="25"/>
      <c r="AB156" s="20"/>
      <c r="AC156" s="20"/>
      <c r="AD156" s="5"/>
      <c r="AE156" s="5"/>
      <c r="AF156" s="5"/>
      <c r="AG156" s="5"/>
      <c r="AY156" s="25"/>
    </row>
    <row r="157" spans="1:54" hidden="1" outlineLevel="1">
      <c r="C157" s="52" t="s">
        <v>157</v>
      </c>
      <c r="D157" s="25">
        <f t="shared" ref="D157:L157" si="106">IFERROR(D322+D163+D191,"…")</f>
        <v>6661</v>
      </c>
      <c r="E157" s="25">
        <f t="shared" si="106"/>
        <v>9126</v>
      </c>
      <c r="F157" s="25">
        <f t="shared" si="106"/>
        <v>9800</v>
      </c>
      <c r="G157" s="25">
        <f t="shared" si="106"/>
        <v>13357</v>
      </c>
      <c r="H157" s="25">
        <f t="shared" si="106"/>
        <v>12547</v>
      </c>
      <c r="I157" s="25">
        <f t="shared" si="106"/>
        <v>8169</v>
      </c>
      <c r="J157" s="25">
        <f t="shared" si="106"/>
        <v>13771</v>
      </c>
      <c r="K157" s="25">
        <f t="shared" si="106"/>
        <v>18352</v>
      </c>
      <c r="L157" s="25">
        <f t="shared" si="106"/>
        <v>20984</v>
      </c>
      <c r="M157" s="25" t="s">
        <v>314</v>
      </c>
      <c r="N157" s="25" t="s">
        <v>314</v>
      </c>
      <c r="O157" s="25" t="s">
        <v>314</v>
      </c>
      <c r="P157" s="25" t="s">
        <v>314</v>
      </c>
      <c r="Q157" s="25" t="s">
        <v>314</v>
      </c>
      <c r="R157" s="25" t="s">
        <v>314</v>
      </c>
      <c r="S157" s="25" t="s">
        <v>314</v>
      </c>
      <c r="T157" s="25" t="s">
        <v>314</v>
      </c>
      <c r="U157" s="25" t="s">
        <v>314</v>
      </c>
      <c r="V157" s="25" t="s">
        <v>314</v>
      </c>
      <c r="W157" s="25" t="s">
        <v>314</v>
      </c>
      <c r="X157" s="25" t="s">
        <v>314</v>
      </c>
      <c r="Y157" s="25" t="s">
        <v>314</v>
      </c>
      <c r="Z157" s="25"/>
      <c r="AA157" s="2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25"/>
      <c r="AZ157" s="5"/>
    </row>
    <row r="158" spans="1:54" hidden="1" outlineLevel="1">
      <c r="C158" s="43" t="s">
        <v>347</v>
      </c>
      <c r="D158" s="60" t="str">
        <f t="shared" ref="D158:Y158" si="107">IFERROR(1/(1/AB20),"…")</f>
        <v>…</v>
      </c>
      <c r="E158" s="60" t="str">
        <f t="shared" si="107"/>
        <v>…</v>
      </c>
      <c r="F158" s="60" t="str">
        <f t="shared" si="107"/>
        <v>…</v>
      </c>
      <c r="G158" s="60" t="str">
        <f t="shared" si="107"/>
        <v>…</v>
      </c>
      <c r="H158" s="60" t="str">
        <f t="shared" si="107"/>
        <v>…</v>
      </c>
      <c r="I158" s="60" t="str">
        <f t="shared" si="107"/>
        <v>…</v>
      </c>
      <c r="J158" s="60" t="str">
        <f t="shared" si="107"/>
        <v>…</v>
      </c>
      <c r="K158" s="60" t="str">
        <f t="shared" si="107"/>
        <v>…</v>
      </c>
      <c r="L158" s="60" t="str">
        <f t="shared" si="107"/>
        <v>…</v>
      </c>
      <c r="M158" s="60" t="str">
        <f t="shared" si="107"/>
        <v>…</v>
      </c>
      <c r="N158" s="60" t="str">
        <f t="shared" si="107"/>
        <v>…</v>
      </c>
      <c r="O158" s="60" t="str">
        <f t="shared" si="107"/>
        <v>…</v>
      </c>
      <c r="P158" s="94" t="str">
        <f t="shared" si="107"/>
        <v>…</v>
      </c>
      <c r="Q158" s="94" t="str">
        <f t="shared" si="107"/>
        <v>…</v>
      </c>
      <c r="R158" s="94" t="str">
        <f t="shared" si="107"/>
        <v>…</v>
      </c>
      <c r="S158" s="94">
        <f t="shared" si="107"/>
        <v>37704.364000000001</v>
      </c>
      <c r="T158" s="94">
        <f t="shared" si="107"/>
        <v>31383.842000000001</v>
      </c>
      <c r="U158" s="94">
        <f t="shared" si="107"/>
        <v>45666.142999999996</v>
      </c>
      <c r="V158" s="94">
        <f t="shared" si="107"/>
        <v>44369.610999999997</v>
      </c>
      <c r="W158" s="94">
        <f t="shared" si="107"/>
        <v>45314.167000000001</v>
      </c>
      <c r="X158" s="94">
        <f t="shared" si="107"/>
        <v>45844.582999999999</v>
      </c>
      <c r="Y158" s="94">
        <f t="shared" si="107"/>
        <v>49667</v>
      </c>
      <c r="Z158" s="94"/>
      <c r="AA158" s="60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60"/>
      <c r="AZ158" s="5"/>
    </row>
    <row r="159" spans="1:54" hidden="1" outlineLevel="1">
      <c r="C159" s="44"/>
      <c r="D159" s="25"/>
      <c r="E159" s="25"/>
      <c r="F159" s="25"/>
      <c r="G159" s="25"/>
      <c r="H159" s="25"/>
      <c r="I159" s="25"/>
      <c r="J159" s="25"/>
      <c r="K159" s="25"/>
      <c r="L159" s="25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29"/>
      <c r="AC159" s="29"/>
      <c r="AE159" s="30"/>
      <c r="AF159" s="30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48"/>
      <c r="AZ159" s="5"/>
    </row>
    <row r="160" spans="1:54" ht="13.15" collapsed="1">
      <c r="C160" s="91" t="s">
        <v>141</v>
      </c>
      <c r="D160" s="90">
        <f t="shared" ref="D160:R160" si="108">IFERROR(-D162,"…")</f>
        <v>-4930</v>
      </c>
      <c r="E160" s="90">
        <f t="shared" si="108"/>
        <v>-5213</v>
      </c>
      <c r="F160" s="90">
        <f t="shared" si="108"/>
        <v>-4786</v>
      </c>
      <c r="G160" s="90">
        <f t="shared" si="108"/>
        <v>-4830</v>
      </c>
      <c r="H160" s="90">
        <f t="shared" si="108"/>
        <v>-4625</v>
      </c>
      <c r="I160" s="90">
        <f t="shared" si="108"/>
        <v>-4574</v>
      </c>
      <c r="J160" s="90">
        <f t="shared" si="108"/>
        <v>-4731</v>
      </c>
      <c r="K160" s="90">
        <f t="shared" si="108"/>
        <v>-4917</v>
      </c>
      <c r="L160" s="90">
        <f t="shared" si="108"/>
        <v>-5969</v>
      </c>
      <c r="M160" s="90">
        <f t="shared" si="108"/>
        <v>-6689</v>
      </c>
      <c r="N160" s="90">
        <f t="shared" si="108"/>
        <v>-7509</v>
      </c>
      <c r="O160" s="90">
        <f t="shared" si="108"/>
        <v>-13085</v>
      </c>
      <c r="P160" s="90">
        <f t="shared" si="108"/>
        <v>-15368</v>
      </c>
      <c r="Q160" s="90">
        <f t="shared" si="108"/>
        <v>-16764</v>
      </c>
      <c r="R160" s="90">
        <f t="shared" si="108"/>
        <v>-17174</v>
      </c>
      <c r="S160" s="90">
        <f t="shared" ref="S160:Y160" si="109">IFERROR(-S162,"…")</f>
        <v>-19676</v>
      </c>
      <c r="T160" s="90">
        <f t="shared" si="109"/>
        <v>-20500</v>
      </c>
      <c r="U160" s="90">
        <f t="shared" si="109"/>
        <v>-22542</v>
      </c>
      <c r="V160" s="90">
        <f t="shared" si="109"/>
        <v>-25235.470320678756</v>
      </c>
      <c r="W160" s="90">
        <f t="shared" si="109"/>
        <v>-24377.861055457262</v>
      </c>
      <c r="X160" s="90">
        <f t="shared" si="109"/>
        <v>-23454.126868005245</v>
      </c>
      <c r="Y160" s="90">
        <f t="shared" si="109"/>
        <v>-22502.995405798956</v>
      </c>
      <c r="Z160" s="90"/>
      <c r="AA160" s="90"/>
      <c r="AB160" s="86" t="s">
        <v>1711</v>
      </c>
      <c r="AC160" s="86" t="s">
        <v>1711</v>
      </c>
      <c r="AE160" s="30"/>
      <c r="AF160" s="30"/>
      <c r="AJ160" s="31"/>
      <c r="AY160" s="90"/>
      <c r="AZ160" s="27"/>
    </row>
    <row r="161" spans="2:70" hidden="1" outlineLevel="1"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0"/>
      <c r="AF161" s="30"/>
      <c r="AJ161" s="31"/>
      <c r="AY161" s="31"/>
      <c r="AZ161" s="27"/>
    </row>
    <row r="162" spans="2:70" hidden="1" outlineLevel="1">
      <c r="C162" s="29" t="s">
        <v>141</v>
      </c>
      <c r="D162" s="25">
        <f t="shared" ref="D162:T162" si="110">IF(ISNUMBER(D163),D163,IF(ISNUMBER(D166),D166,IF(ISNUMBER(D171),D171,"…")))</f>
        <v>4930</v>
      </c>
      <c r="E162" s="25">
        <f t="shared" si="110"/>
        <v>5213</v>
      </c>
      <c r="F162" s="25">
        <f t="shared" si="110"/>
        <v>4786</v>
      </c>
      <c r="G162" s="25">
        <f t="shared" si="110"/>
        <v>4830</v>
      </c>
      <c r="H162" s="25">
        <f t="shared" si="110"/>
        <v>4625</v>
      </c>
      <c r="I162" s="25">
        <f t="shared" si="110"/>
        <v>4574</v>
      </c>
      <c r="J162" s="25">
        <f t="shared" si="110"/>
        <v>4731</v>
      </c>
      <c r="K162" s="25">
        <f t="shared" si="110"/>
        <v>4917</v>
      </c>
      <c r="L162" s="25">
        <f t="shared" si="110"/>
        <v>5969</v>
      </c>
      <c r="M162" s="25">
        <f t="shared" si="110"/>
        <v>6689</v>
      </c>
      <c r="N162" s="25">
        <f t="shared" si="110"/>
        <v>7509</v>
      </c>
      <c r="O162" s="25">
        <f t="shared" si="110"/>
        <v>13085</v>
      </c>
      <c r="P162" s="25">
        <f t="shared" si="110"/>
        <v>15368</v>
      </c>
      <c r="Q162" s="25">
        <f t="shared" si="110"/>
        <v>16764</v>
      </c>
      <c r="R162" s="25">
        <f t="shared" si="110"/>
        <v>17174</v>
      </c>
      <c r="S162" s="25">
        <f>IF(ISNUMBER(S163),S163,IF(ISNUMBER(S166),S166,IF(ISNUMBER(S171),S171,"…")))</f>
        <v>19676</v>
      </c>
      <c r="T162" s="25">
        <f t="shared" si="110"/>
        <v>20500</v>
      </c>
      <c r="U162" s="25">
        <f>IF(ISNUMBER(U163),U163,IF(ISNUMBER(U166),U166,IF(ISNUMBER(U171),U171,"…")))</f>
        <v>22542</v>
      </c>
      <c r="V162" s="25">
        <f>IF(ISNUMBER(V163),V163,IF(ISNUMBER(V166),V166,IF(ISNUMBER(V171),V171,"…")))</f>
        <v>25235.470320678756</v>
      </c>
      <c r="W162" s="25">
        <f>IF(ISNUMBER(W163),W163,IF(ISNUMBER(W166),W166,IF(ISNUMBER(W171),W171,"…")))</f>
        <v>24377.861055457262</v>
      </c>
      <c r="X162" s="25">
        <f>IF(ISNUMBER(X163),X163,IF(ISNUMBER(X166),X166,IF(ISNUMBER(X171),X171,"…")))</f>
        <v>23454.126868005245</v>
      </c>
      <c r="Y162" s="25">
        <f>IF(ISNUMBER(Y163),Y163,IF(ISNUMBER(Y166),Y166,IF(ISNUMBER(Y171),Y171,"…")))</f>
        <v>22502.995405798956</v>
      </c>
      <c r="Z162" s="25"/>
      <c r="AA162" s="2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25"/>
      <c r="AZ162" s="5"/>
    </row>
    <row r="163" spans="2:70" hidden="1" outlineLevel="1">
      <c r="C163" s="44" t="s">
        <v>291</v>
      </c>
      <c r="D163" s="25">
        <f t="shared" ref="D163:R163" si="111">IF(ISNUMBER(D164),D164,IF(ISNUMBER(D165),D165,"…"))</f>
        <v>4930</v>
      </c>
      <c r="E163" s="25">
        <f t="shared" si="111"/>
        <v>5213</v>
      </c>
      <c r="F163" s="25">
        <f t="shared" si="111"/>
        <v>4786</v>
      </c>
      <c r="G163" s="25">
        <f t="shared" si="111"/>
        <v>4830</v>
      </c>
      <c r="H163" s="25">
        <f t="shared" si="111"/>
        <v>4625</v>
      </c>
      <c r="I163" s="25">
        <f t="shared" si="111"/>
        <v>4574</v>
      </c>
      <c r="J163" s="25">
        <f>IF(ISNUMBER(J164),J164,IF(ISNUMBER(J165),J165,"…"))</f>
        <v>4731</v>
      </c>
      <c r="K163" s="25">
        <f t="shared" si="111"/>
        <v>4917</v>
      </c>
      <c r="L163" s="25">
        <f t="shared" si="111"/>
        <v>5969</v>
      </c>
      <c r="M163" s="25">
        <f t="shared" si="111"/>
        <v>6689</v>
      </c>
      <c r="N163" s="25">
        <f t="shared" si="111"/>
        <v>7509</v>
      </c>
      <c r="O163" s="25">
        <f t="shared" si="111"/>
        <v>13085</v>
      </c>
      <c r="P163" s="25">
        <f t="shared" si="111"/>
        <v>15368</v>
      </c>
      <c r="Q163" s="25">
        <f>IF(ISNUMBER(Q164),Q164,IF(ISNUMBER(Q165),Q165,"…"))</f>
        <v>16764</v>
      </c>
      <c r="R163" s="25">
        <f t="shared" si="111"/>
        <v>17174</v>
      </c>
      <c r="S163" s="25">
        <f t="shared" ref="S163:Y163" si="112">IF(ISNUMBER(S164),S164,IF(ISNUMBER(S165),S165,"…"))</f>
        <v>19676</v>
      </c>
      <c r="T163" s="25">
        <f t="shared" si="112"/>
        <v>20500</v>
      </c>
      <c r="U163" s="25">
        <f t="shared" si="112"/>
        <v>22542</v>
      </c>
      <c r="V163" s="25" t="str">
        <f t="shared" si="112"/>
        <v>…</v>
      </c>
      <c r="W163" s="25" t="str">
        <f t="shared" si="112"/>
        <v>…</v>
      </c>
      <c r="X163" s="25" t="str">
        <f t="shared" si="112"/>
        <v>…</v>
      </c>
      <c r="Y163" s="25" t="str">
        <f t="shared" si="112"/>
        <v>…</v>
      </c>
      <c r="Z163" s="25"/>
      <c r="AA163" s="25"/>
      <c r="AB163" s="5"/>
      <c r="AC163" s="5"/>
      <c r="AD163" s="29" t="s">
        <v>325</v>
      </c>
      <c r="AE163" s="30"/>
      <c r="AF163" s="30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25"/>
      <c r="AZ163" s="5"/>
    </row>
    <row r="164" spans="2:70" hidden="1" outlineLevel="1">
      <c r="C164" s="43" t="s">
        <v>154</v>
      </c>
      <c r="D164" s="25">
        <f t="shared" ref="D164:T164" si="113">IF(D$8="A",IF(D331="…","calc.",D331),"…")</f>
        <v>4930</v>
      </c>
      <c r="E164" s="25">
        <f t="shared" si="113"/>
        <v>5213</v>
      </c>
      <c r="F164" s="25">
        <f t="shared" si="113"/>
        <v>4786</v>
      </c>
      <c r="G164" s="25">
        <f t="shared" si="113"/>
        <v>4830</v>
      </c>
      <c r="H164" s="25">
        <f t="shared" si="113"/>
        <v>4625</v>
      </c>
      <c r="I164" s="25">
        <f t="shared" si="113"/>
        <v>4574</v>
      </c>
      <c r="J164" s="25">
        <f t="shared" si="113"/>
        <v>4731</v>
      </c>
      <c r="K164" s="25">
        <f t="shared" si="113"/>
        <v>4917</v>
      </c>
      <c r="L164" s="25">
        <f t="shared" si="113"/>
        <v>5969</v>
      </c>
      <c r="M164" s="25">
        <f t="shared" si="113"/>
        <v>6689</v>
      </c>
      <c r="N164" s="25">
        <f t="shared" si="113"/>
        <v>7509</v>
      </c>
      <c r="O164" s="25">
        <f t="shared" si="113"/>
        <v>13085</v>
      </c>
      <c r="P164" s="25">
        <f t="shared" si="113"/>
        <v>15368</v>
      </c>
      <c r="Q164" s="25">
        <f t="shared" si="113"/>
        <v>16764</v>
      </c>
      <c r="R164" s="25">
        <f t="shared" si="113"/>
        <v>17174</v>
      </c>
      <c r="S164" s="25">
        <f t="shared" si="113"/>
        <v>19676</v>
      </c>
      <c r="T164" s="25">
        <f t="shared" si="113"/>
        <v>20500</v>
      </c>
      <c r="U164" s="25">
        <f>IF(U$8="A",IF(U331="…","calc.",U331),"…")</f>
        <v>22542</v>
      </c>
      <c r="V164" s="25" t="str">
        <f>IF(V$8="A",IF(V331="…","calc.",V331),"…")</f>
        <v>…</v>
      </c>
      <c r="W164" s="25" t="str">
        <f>IF(W$8="A",IF(W331="…","calc.",W331),"…")</f>
        <v>…</v>
      </c>
      <c r="X164" s="25" t="str">
        <f>IF(X$8="A",IF(X331="…","calc.",X331),"…")</f>
        <v>…</v>
      </c>
      <c r="Y164" s="25" t="str">
        <f>IF(Y$8="A",IF(Y331="…","calc.",Y331),"…")</f>
        <v>…</v>
      </c>
      <c r="Z164" s="25"/>
      <c r="AA164" s="25"/>
      <c r="AB164" s="29"/>
      <c r="AC164" s="29"/>
      <c r="AE164" s="30"/>
      <c r="AF164" s="30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25"/>
      <c r="AZ164" s="5"/>
    </row>
    <row r="165" spans="2:70" hidden="1" outlineLevel="1">
      <c r="C165" s="43" t="s">
        <v>1712</v>
      </c>
      <c r="D165" s="25" t="s">
        <v>127</v>
      </c>
      <c r="E165" s="25" t="s">
        <v>127</v>
      </c>
      <c r="F165" s="25" t="s">
        <v>127</v>
      </c>
      <c r="G165" s="25" t="s">
        <v>127</v>
      </c>
      <c r="H165" s="25" t="s">
        <v>127</v>
      </c>
      <c r="I165" s="25" t="s">
        <v>127</v>
      </c>
      <c r="J165" s="25" t="s">
        <v>127</v>
      </c>
      <c r="K165" s="25" t="s">
        <v>127</v>
      </c>
      <c r="L165" s="25" t="s">
        <v>127</v>
      </c>
      <c r="M165" s="25" t="s">
        <v>127</v>
      </c>
      <c r="N165" s="25" t="s">
        <v>127</v>
      </c>
      <c r="O165" s="25" t="s">
        <v>127</v>
      </c>
      <c r="P165" s="25" t="s">
        <v>127</v>
      </c>
      <c r="Q165" s="25" t="s">
        <v>127</v>
      </c>
      <c r="R165" s="25" t="s">
        <v>127</v>
      </c>
      <c r="S165" s="25" t="s">
        <v>127</v>
      </c>
      <c r="T165" s="25" t="s">
        <v>127</v>
      </c>
      <c r="U165" s="25" t="s">
        <v>127</v>
      </c>
      <c r="V165" s="25" t="s">
        <v>127</v>
      </c>
      <c r="W165" s="25" t="s">
        <v>127</v>
      </c>
      <c r="X165" s="25" t="s">
        <v>127</v>
      </c>
      <c r="Y165" s="25" t="s">
        <v>127</v>
      </c>
      <c r="Z165" s="25"/>
      <c r="AA165" s="25"/>
      <c r="AB165" s="29"/>
      <c r="AC165" s="29"/>
      <c r="AE165" s="30"/>
      <c r="AF165" s="30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25"/>
      <c r="AZ165" s="5"/>
    </row>
    <row r="166" spans="2:70" hidden="1" outlineLevel="1">
      <c r="C166" s="44" t="s">
        <v>2475</v>
      </c>
      <c r="D166" s="25">
        <f t="shared" ref="D166:R166" si="114">IF(ISNUMBER(D167),D167,IF(ISNUMBER(D168),D168,IF(ISNUMBER(D169),D169,IF(ISNUMBER(D170),D170,"…"))))</f>
        <v>8269</v>
      </c>
      <c r="E166" s="25">
        <f t="shared" si="114"/>
        <v>7160</v>
      </c>
      <c r="F166" s="25">
        <f t="shared" si="114"/>
        <v>6834</v>
      </c>
      <c r="G166" s="25">
        <f t="shared" si="114"/>
        <v>7469</v>
      </c>
      <c r="H166" s="25">
        <f t="shared" si="114"/>
        <v>6817</v>
      </c>
      <c r="I166" s="25">
        <f t="shared" si="114"/>
        <v>7121</v>
      </c>
      <c r="J166" s="25">
        <f t="shared" si="114"/>
        <v>8190</v>
      </c>
      <c r="K166" s="25">
        <f t="shared" si="114"/>
        <v>8169</v>
      </c>
      <c r="L166" s="25">
        <f t="shared" si="114"/>
        <v>9597</v>
      </c>
      <c r="M166" s="25">
        <f t="shared" si="114"/>
        <v>11061</v>
      </c>
      <c r="N166" s="25">
        <f t="shared" si="114"/>
        <v>12782</v>
      </c>
      <c r="O166" s="25">
        <f t="shared" si="114"/>
        <v>15565</v>
      </c>
      <c r="P166" s="25">
        <f t="shared" si="114"/>
        <v>16606</v>
      </c>
      <c r="Q166" s="25">
        <f t="shared" si="114"/>
        <v>17852</v>
      </c>
      <c r="R166" s="25">
        <f t="shared" si="114"/>
        <v>18054</v>
      </c>
      <c r="S166" s="25">
        <f t="shared" ref="S166:Y166" si="115">IF(ISNUMBER(S167),S167,IF(ISNUMBER(S168),S168,IF(ISNUMBER(S169),S169,IF(ISNUMBER(S170),S170,"…"))))</f>
        <v>19675</v>
      </c>
      <c r="T166" s="25">
        <f t="shared" si="115"/>
        <v>20500</v>
      </c>
      <c r="U166" s="25">
        <f t="shared" si="115"/>
        <v>21452</v>
      </c>
      <c r="V166" s="25" t="str">
        <f t="shared" si="115"/>
        <v>…</v>
      </c>
      <c r="W166" s="25" t="str">
        <f t="shared" si="115"/>
        <v>…</v>
      </c>
      <c r="X166" s="25" t="str">
        <f t="shared" si="115"/>
        <v>…</v>
      </c>
      <c r="Y166" s="25" t="str">
        <f t="shared" si="115"/>
        <v>…</v>
      </c>
      <c r="Z166" s="25"/>
      <c r="AA166" s="2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25"/>
      <c r="AZ166" s="5"/>
      <c r="BK166" s="22"/>
      <c r="BL166" s="23"/>
      <c r="BM166" s="22"/>
      <c r="BN166" s="22"/>
      <c r="BO166" s="22"/>
      <c r="BP166" s="22"/>
      <c r="BQ166" s="22"/>
      <c r="BR166" s="24"/>
    </row>
    <row r="167" spans="2:70" hidden="1" outlineLevel="1">
      <c r="C167" s="43" t="s">
        <v>156</v>
      </c>
      <c r="D167" s="25">
        <f t="shared" ref="D167:T167" si="116">IFERROR(D154-(D321+D191),"…")</f>
        <v>8269</v>
      </c>
      <c r="E167" s="25">
        <f t="shared" si="116"/>
        <v>7160</v>
      </c>
      <c r="F167" s="25">
        <f t="shared" si="116"/>
        <v>6834</v>
      </c>
      <c r="G167" s="25">
        <f t="shared" si="116"/>
        <v>7469</v>
      </c>
      <c r="H167" s="25">
        <f t="shared" si="116"/>
        <v>6817</v>
      </c>
      <c r="I167" s="25">
        <f t="shared" si="116"/>
        <v>7121</v>
      </c>
      <c r="J167" s="25">
        <f t="shared" si="116"/>
        <v>8190</v>
      </c>
      <c r="K167" s="25">
        <f t="shared" si="116"/>
        <v>8169</v>
      </c>
      <c r="L167" s="25">
        <f t="shared" si="116"/>
        <v>9597</v>
      </c>
      <c r="M167" s="48">
        <f t="shared" si="116"/>
        <v>11061</v>
      </c>
      <c r="N167" s="48">
        <f t="shared" si="116"/>
        <v>12782</v>
      </c>
      <c r="O167" s="48">
        <f t="shared" si="116"/>
        <v>15565</v>
      </c>
      <c r="P167" s="48">
        <f t="shared" si="116"/>
        <v>16606</v>
      </c>
      <c r="Q167" s="48">
        <f t="shared" si="116"/>
        <v>17852</v>
      </c>
      <c r="R167" s="48">
        <f t="shared" si="116"/>
        <v>18054</v>
      </c>
      <c r="S167" s="48">
        <f t="shared" si="116"/>
        <v>19675</v>
      </c>
      <c r="T167" s="48">
        <f t="shared" si="116"/>
        <v>20500</v>
      </c>
      <c r="U167" s="48">
        <f>IFERROR(U154-(U321+U191),"…")</f>
        <v>21452</v>
      </c>
      <c r="V167" s="48" t="str">
        <f>IFERROR(V154-(V321+V191),"…")</f>
        <v>…</v>
      </c>
      <c r="W167" s="48" t="str">
        <f>IFERROR(W154-(W321+W191),"…")</f>
        <v>…</v>
      </c>
      <c r="X167" s="48" t="str">
        <f>IFERROR(X154-(X321+X191),"…")</f>
        <v>…</v>
      </c>
      <c r="Y167" s="48" t="str">
        <f>IFERROR(Y154-(Y321+Y191),"…")</f>
        <v>…</v>
      </c>
      <c r="Z167" s="48"/>
      <c r="AA167" s="48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48"/>
      <c r="AZ167" s="5"/>
    </row>
    <row r="168" spans="2:70" hidden="1" outlineLevel="1">
      <c r="C168" s="43" t="s">
        <v>157</v>
      </c>
      <c r="D168" s="25">
        <f t="shared" ref="D168:V168" si="117">IFERROR(D339-(D196),"…")</f>
        <v>8268.9997728821254</v>
      </c>
      <c r="E168" s="25">
        <f t="shared" si="117"/>
        <v>7312.5220588235297</v>
      </c>
      <c r="F168" s="25">
        <f t="shared" si="117"/>
        <v>6941.6370656370655</v>
      </c>
      <c r="G168" s="25">
        <f t="shared" si="117"/>
        <v>7597.0396659707721</v>
      </c>
      <c r="H168" s="25">
        <f t="shared" si="117"/>
        <v>7218.0071684587811</v>
      </c>
      <c r="I168" s="25">
        <f t="shared" si="117"/>
        <v>7300.3442622950824</v>
      </c>
      <c r="J168" s="25">
        <f t="shared" si="117"/>
        <v>8332.3098591549297</v>
      </c>
      <c r="K168" s="25">
        <f t="shared" si="117"/>
        <v>8919.8804664723029</v>
      </c>
      <c r="L168" s="25">
        <f t="shared" si="117"/>
        <v>10894.845771144279</v>
      </c>
      <c r="M168" s="25">
        <f t="shared" si="117"/>
        <v>11246.908212560385</v>
      </c>
      <c r="N168" s="25">
        <f t="shared" si="117"/>
        <v>13036.983086680761</v>
      </c>
      <c r="O168" s="25">
        <f t="shared" si="117"/>
        <v>15840.88982161595</v>
      </c>
      <c r="P168" s="25">
        <f t="shared" si="117"/>
        <v>16902.854771784234</v>
      </c>
      <c r="Q168" s="25">
        <f t="shared" si="117"/>
        <v>18110.321285140562</v>
      </c>
      <c r="R168" s="25">
        <f t="shared" si="117"/>
        <v>18340.64539007092</v>
      </c>
      <c r="S168" s="25">
        <f t="shared" si="117"/>
        <v>20017.477151965992</v>
      </c>
      <c r="T168" s="25">
        <f t="shared" si="117"/>
        <v>20893.971751412428</v>
      </c>
      <c r="U168" s="25">
        <f t="shared" si="117"/>
        <v>22178.142857142855</v>
      </c>
      <c r="V168" s="25" t="str">
        <f t="shared" si="117"/>
        <v>…</v>
      </c>
      <c r="W168" s="25" t="str">
        <f>IFERROR(W339-(W196),"…")</f>
        <v>…</v>
      </c>
      <c r="X168" s="25" t="str">
        <f>IFERROR(X339-(X196),"…")</f>
        <v>…</v>
      </c>
      <c r="Y168" s="25" t="str">
        <f>IFERROR(Y339-(Y196),"…")</f>
        <v>…</v>
      </c>
      <c r="Z168" s="25"/>
      <c r="AA168" s="2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25"/>
      <c r="AZ168" s="5"/>
      <c r="BK168" s="22"/>
      <c r="BL168" s="23"/>
      <c r="BM168" s="22"/>
      <c r="BN168" s="22"/>
      <c r="BO168" s="22"/>
      <c r="BP168" s="22"/>
      <c r="BQ168" s="22"/>
      <c r="BR168" s="24"/>
    </row>
    <row r="169" spans="2:70" hidden="1" outlineLevel="1">
      <c r="C169" s="43" t="s">
        <v>366</v>
      </c>
      <c r="D169" s="25" t="str">
        <f t="shared" ref="D169:V169" si="118">IFERROR(D339-(D195),"…")</f>
        <v>…</v>
      </c>
      <c r="E169" s="25" t="str">
        <f t="shared" si="118"/>
        <v>…</v>
      </c>
      <c r="F169" s="25" t="str">
        <f t="shared" si="118"/>
        <v>…</v>
      </c>
      <c r="G169" s="25" t="str">
        <f t="shared" si="118"/>
        <v>…</v>
      </c>
      <c r="H169" s="25" t="str">
        <f t="shared" si="118"/>
        <v>…</v>
      </c>
      <c r="I169" s="25" t="str">
        <f t="shared" si="118"/>
        <v>…</v>
      </c>
      <c r="J169" s="25" t="str">
        <f t="shared" si="118"/>
        <v>…</v>
      </c>
      <c r="K169" s="25" t="str">
        <f t="shared" si="118"/>
        <v>…</v>
      </c>
      <c r="L169" s="25" t="str">
        <f t="shared" si="118"/>
        <v>…</v>
      </c>
      <c r="M169" s="25" t="str">
        <f t="shared" si="118"/>
        <v>…</v>
      </c>
      <c r="N169" s="25" t="str">
        <f t="shared" si="118"/>
        <v>…</v>
      </c>
      <c r="O169" s="25" t="str">
        <f t="shared" si="118"/>
        <v>…</v>
      </c>
      <c r="P169" s="25" t="str">
        <f t="shared" si="118"/>
        <v>…</v>
      </c>
      <c r="Q169" s="25" t="str">
        <f t="shared" si="118"/>
        <v>…</v>
      </c>
      <c r="R169" s="25" t="str">
        <f t="shared" si="118"/>
        <v>…</v>
      </c>
      <c r="S169" s="25" t="str">
        <f t="shared" si="118"/>
        <v>…</v>
      </c>
      <c r="T169" s="25" t="str">
        <f t="shared" si="118"/>
        <v>…</v>
      </c>
      <c r="U169" s="25" t="str">
        <f t="shared" si="118"/>
        <v>…</v>
      </c>
      <c r="V169" s="25" t="str">
        <f t="shared" si="118"/>
        <v>…</v>
      </c>
      <c r="W169" s="25" t="str">
        <f>IFERROR(W339-(W195),"…")</f>
        <v>…</v>
      </c>
      <c r="X169" s="25" t="str">
        <f>IFERROR(X339-(X195),"…")</f>
        <v>…</v>
      </c>
      <c r="Y169" s="25" t="str">
        <f>IFERROR(Y339-(Y195),"…")</f>
        <v>…</v>
      </c>
      <c r="Z169" s="25"/>
      <c r="AA169" s="2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25"/>
      <c r="AZ169" s="5"/>
      <c r="BK169" s="22"/>
      <c r="BL169" s="23"/>
      <c r="BM169" s="22"/>
      <c r="BN169" s="22"/>
      <c r="BO169" s="22"/>
      <c r="BP169" s="22"/>
      <c r="BQ169" s="22"/>
      <c r="BR169" s="24"/>
    </row>
    <row r="170" spans="2:70" hidden="1" outlineLevel="1">
      <c r="C170" s="43" t="s">
        <v>409</v>
      </c>
      <c r="D170" s="25">
        <f t="shared" ref="D170:V170" si="119">IF(D$8="A",IFERROR(D339-(D196),"…"),"...")</f>
        <v>8268.9997728821254</v>
      </c>
      <c r="E170" s="25">
        <f t="shared" si="119"/>
        <v>7312.5220588235297</v>
      </c>
      <c r="F170" s="25">
        <f t="shared" si="119"/>
        <v>6941.6370656370655</v>
      </c>
      <c r="G170" s="25">
        <f t="shared" si="119"/>
        <v>7597.0396659707721</v>
      </c>
      <c r="H170" s="25">
        <f t="shared" si="119"/>
        <v>7218.0071684587811</v>
      </c>
      <c r="I170" s="25">
        <f t="shared" si="119"/>
        <v>7300.3442622950824</v>
      </c>
      <c r="J170" s="25">
        <f t="shared" si="119"/>
        <v>8332.3098591549297</v>
      </c>
      <c r="K170" s="25">
        <f t="shared" si="119"/>
        <v>8919.8804664723029</v>
      </c>
      <c r="L170" s="25">
        <f t="shared" si="119"/>
        <v>10894.845771144279</v>
      </c>
      <c r="M170" s="25">
        <f t="shared" si="119"/>
        <v>11246.908212560385</v>
      </c>
      <c r="N170" s="25">
        <f t="shared" si="119"/>
        <v>13036.983086680761</v>
      </c>
      <c r="O170" s="25">
        <f t="shared" si="119"/>
        <v>15840.88982161595</v>
      </c>
      <c r="P170" s="25">
        <f t="shared" si="119"/>
        <v>16902.854771784234</v>
      </c>
      <c r="Q170" s="25">
        <f t="shared" si="119"/>
        <v>18110.321285140562</v>
      </c>
      <c r="R170" s="25">
        <f t="shared" si="119"/>
        <v>18340.64539007092</v>
      </c>
      <c r="S170" s="25">
        <f t="shared" si="119"/>
        <v>20017.477151965992</v>
      </c>
      <c r="T170" s="25">
        <f t="shared" si="119"/>
        <v>20893.971751412428</v>
      </c>
      <c r="U170" s="25">
        <f t="shared" si="119"/>
        <v>22178.142857142855</v>
      </c>
      <c r="V170" s="25" t="str">
        <f t="shared" si="119"/>
        <v>...</v>
      </c>
      <c r="W170" s="25" t="str">
        <f>IF(W$8="A",IFERROR(W339-(W196),"…"),"...")</f>
        <v>...</v>
      </c>
      <c r="X170" s="25" t="str">
        <f>IF(X$8="A",IFERROR(X339-(X196),"…"),"...")</f>
        <v>...</v>
      </c>
      <c r="Y170" s="25" t="str">
        <f>IF(Y$8="A",IFERROR(Y339-(Y196),"…"),"...")</f>
        <v>...</v>
      </c>
      <c r="Z170" s="25"/>
      <c r="AA170" s="2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25"/>
      <c r="AZ170" s="5"/>
      <c r="BK170" s="22"/>
      <c r="BL170" s="23"/>
      <c r="BM170" s="22"/>
      <c r="BN170" s="22"/>
      <c r="BO170" s="22"/>
      <c r="BP170" s="22"/>
      <c r="BQ170" s="22"/>
      <c r="BR170" s="24"/>
    </row>
    <row r="171" spans="2:70" collapsed="1">
      <c r="C171" s="44" t="s">
        <v>364</v>
      </c>
      <c r="D171" s="55" t="str">
        <f t="shared" ref="D171:T171" si="120">IF(ISNUMBER(D173),D173,IF(ISNUMBER(D172),D172,"…"))</f>
        <v>…</v>
      </c>
      <c r="E171" s="55" t="str">
        <f t="shared" si="120"/>
        <v>…</v>
      </c>
      <c r="F171" s="55" t="str">
        <f t="shared" si="120"/>
        <v>…</v>
      </c>
      <c r="G171" s="55" t="str">
        <f t="shared" si="120"/>
        <v>…</v>
      </c>
      <c r="H171" s="55" t="str">
        <f t="shared" si="120"/>
        <v>…</v>
      </c>
      <c r="I171" s="55" t="str">
        <f t="shared" si="120"/>
        <v>…</v>
      </c>
      <c r="J171" s="55" t="str">
        <f t="shared" si="120"/>
        <v>…</v>
      </c>
      <c r="K171" s="55" t="str">
        <f t="shared" si="120"/>
        <v>…</v>
      </c>
      <c r="L171" s="55" t="str">
        <f t="shared" si="120"/>
        <v>…</v>
      </c>
      <c r="M171" s="55" t="str">
        <f t="shared" si="120"/>
        <v>…</v>
      </c>
      <c r="N171" s="55" t="str">
        <f t="shared" si="120"/>
        <v>…</v>
      </c>
      <c r="O171" s="55" t="str">
        <f t="shared" si="120"/>
        <v>…</v>
      </c>
      <c r="P171" s="55" t="str">
        <f t="shared" si="120"/>
        <v>…</v>
      </c>
      <c r="Q171" s="55" t="str">
        <f t="shared" si="120"/>
        <v>…</v>
      </c>
      <c r="R171" s="55" t="str">
        <f t="shared" si="120"/>
        <v>…</v>
      </c>
      <c r="S171" s="55" t="str">
        <f t="shared" si="120"/>
        <v>…</v>
      </c>
      <c r="T171" s="55" t="str">
        <f t="shared" si="120"/>
        <v>…</v>
      </c>
      <c r="U171" s="55" t="str">
        <f>IF(ISNUMBER(U173),U173,IF(ISNUMBER(U172),U172,"…"))</f>
        <v>…</v>
      </c>
      <c r="V171" s="55">
        <f>IF(ISNUMBER(V173),V173,IF(ISNUMBER(V172),V172,"…"))</f>
        <v>25235.470320678756</v>
      </c>
      <c r="W171" s="55">
        <f>IF(ISNUMBER(W173),W173,IF(ISNUMBER(W172),W172,"…"))</f>
        <v>24377.861055457262</v>
      </c>
      <c r="X171" s="55">
        <f>IF(ISNUMBER(X173),X173,IF(ISNUMBER(X172),X172,"…"))</f>
        <v>23454.126868005245</v>
      </c>
      <c r="Y171" s="55">
        <f>IF(ISNUMBER(Y173),Y173,IF(ISNUMBER(Y172),Y172,"…"))</f>
        <v>22502.995405798956</v>
      </c>
      <c r="Z171" s="55"/>
      <c r="AA171" s="55"/>
      <c r="AB171" s="5"/>
      <c r="AC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48"/>
      <c r="AZ171" s="5"/>
    </row>
    <row r="172" spans="2:70">
      <c r="C172" s="43" t="s">
        <v>156</v>
      </c>
      <c r="D172" s="55" t="str">
        <f t="shared" ref="D172:T172" si="121">IF(D$8="E",IFERROR((2*C246)/(2*D177-D79+1),"…"),"…")</f>
        <v>…</v>
      </c>
      <c r="E172" s="55" t="str">
        <f t="shared" si="121"/>
        <v>…</v>
      </c>
      <c r="F172" s="55" t="str">
        <f t="shared" si="121"/>
        <v>…</v>
      </c>
      <c r="G172" s="55" t="str">
        <f t="shared" si="121"/>
        <v>…</v>
      </c>
      <c r="H172" s="55" t="str">
        <f t="shared" si="121"/>
        <v>…</v>
      </c>
      <c r="I172" s="55" t="str">
        <f t="shared" si="121"/>
        <v>…</v>
      </c>
      <c r="J172" s="55" t="str">
        <f t="shared" si="121"/>
        <v>…</v>
      </c>
      <c r="K172" s="55" t="str">
        <f t="shared" si="121"/>
        <v>…</v>
      </c>
      <c r="L172" s="55" t="str">
        <f t="shared" si="121"/>
        <v>…</v>
      </c>
      <c r="M172" s="55" t="str">
        <f t="shared" si="121"/>
        <v>…</v>
      </c>
      <c r="N172" s="55" t="str">
        <f t="shared" si="121"/>
        <v>…</v>
      </c>
      <c r="O172" s="55" t="str">
        <f t="shared" si="121"/>
        <v>…</v>
      </c>
      <c r="P172" s="55" t="str">
        <f t="shared" si="121"/>
        <v>…</v>
      </c>
      <c r="Q172" s="55" t="str">
        <f t="shared" si="121"/>
        <v>…</v>
      </c>
      <c r="R172" s="55" t="str">
        <f t="shared" si="121"/>
        <v>…</v>
      </c>
      <c r="S172" s="55" t="str">
        <f t="shared" si="121"/>
        <v>…</v>
      </c>
      <c r="T172" s="55" t="str">
        <f t="shared" si="121"/>
        <v>…</v>
      </c>
      <c r="U172" s="55" t="str">
        <f>IF(U$8="E",IFERROR((2*T246)/(2*U177-U79+1),"…"),"…")</f>
        <v>…</v>
      </c>
      <c r="V172" s="55">
        <f>IF(V$8="E",IFERROR((2*U246)/(2*V177-V79+1),"…"),"…")</f>
        <v>22935.520770580391</v>
      </c>
      <c r="W172" s="55">
        <f>IF(W$8="E",IFERROR((2*V246)/(2*W177-W79+1),"…"),"…")</f>
        <v>21931.729645775471</v>
      </c>
      <c r="X172" s="55">
        <f>IF(X$8="E",IFERROR((2*W246)/(2*X177-X79+1),"…"),"…")</f>
        <v>20855.910049648832</v>
      </c>
      <c r="Y172" s="55">
        <f>IF(Y$8="E",IFERROR((2*X246)/(2*Y177-Y79+1),"…"),"…")</f>
        <v>19719.255339520703</v>
      </c>
      <c r="Z172" s="55"/>
      <c r="AA172" s="55"/>
      <c r="AB172" s="5"/>
      <c r="AC172" s="29" t="s">
        <v>324</v>
      </c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48"/>
      <c r="AZ172" s="5"/>
    </row>
    <row r="173" spans="2:70">
      <c r="C173" s="43" t="s">
        <v>157</v>
      </c>
      <c r="D173" s="48" t="str">
        <f t="shared" ref="D173:Y173" si="122">IF(D$8="E",IFERROR(C246/D177-D64/D177*0.5,"…"),"…")</f>
        <v>…</v>
      </c>
      <c r="E173" s="48" t="str">
        <f t="shared" si="122"/>
        <v>…</v>
      </c>
      <c r="F173" s="48" t="str">
        <f t="shared" si="122"/>
        <v>…</v>
      </c>
      <c r="G173" s="48" t="str">
        <f t="shared" si="122"/>
        <v>…</v>
      </c>
      <c r="H173" s="48" t="str">
        <f t="shared" si="122"/>
        <v>…</v>
      </c>
      <c r="I173" s="48" t="str">
        <f t="shared" si="122"/>
        <v>…</v>
      </c>
      <c r="J173" s="48" t="str">
        <f t="shared" si="122"/>
        <v>…</v>
      </c>
      <c r="K173" s="48" t="str">
        <f t="shared" si="122"/>
        <v>…</v>
      </c>
      <c r="L173" s="48" t="str">
        <f t="shared" si="122"/>
        <v>…</v>
      </c>
      <c r="M173" s="48" t="str">
        <f t="shared" si="122"/>
        <v>…</v>
      </c>
      <c r="N173" s="48" t="str">
        <f t="shared" si="122"/>
        <v>…</v>
      </c>
      <c r="O173" s="48" t="str">
        <f t="shared" si="122"/>
        <v>…</v>
      </c>
      <c r="P173" s="48" t="str">
        <f t="shared" si="122"/>
        <v>…</v>
      </c>
      <c r="Q173" s="48" t="str">
        <f t="shared" si="122"/>
        <v>…</v>
      </c>
      <c r="R173" s="48" t="str">
        <f t="shared" si="122"/>
        <v>…</v>
      </c>
      <c r="S173" s="55" t="str">
        <f t="shared" si="122"/>
        <v>…</v>
      </c>
      <c r="T173" s="55" t="str">
        <f t="shared" si="122"/>
        <v>…</v>
      </c>
      <c r="U173" s="48" t="str">
        <f t="shared" si="122"/>
        <v>…</v>
      </c>
      <c r="V173" s="48">
        <f t="shared" si="122"/>
        <v>25235.470320678756</v>
      </c>
      <c r="W173" s="48">
        <f t="shared" si="122"/>
        <v>24377.861055457262</v>
      </c>
      <c r="X173" s="48">
        <f t="shared" si="122"/>
        <v>23454.126868005245</v>
      </c>
      <c r="Y173" s="48">
        <f t="shared" si="122"/>
        <v>22502.995405798956</v>
      </c>
      <c r="Z173" s="48"/>
      <c r="AA173" s="48"/>
      <c r="AB173" s="5"/>
      <c r="AC173" s="29" t="s">
        <v>324</v>
      </c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48"/>
      <c r="AZ173" s="5"/>
    </row>
    <row r="174" spans="2:70" hidden="1" outlineLevel="1">
      <c r="C174" s="38" t="s">
        <v>131</v>
      </c>
      <c r="D174" s="25">
        <f t="shared" ref="D174:Q174" si="123">IF(ISNUMBER(D175),D175,IF(ISNUMBER(D176),D176,IF(ISNUMBER(D177),D177,"…")))</f>
        <v>6.5843813387423937</v>
      </c>
      <c r="E174" s="25">
        <f t="shared" si="123"/>
        <v>6.2722041051218111</v>
      </c>
      <c r="F174" s="25">
        <f t="shared" si="123"/>
        <v>6.4053489343919763</v>
      </c>
      <c r="G174" s="25">
        <f t="shared" si="123"/>
        <v>5.8020703933747413</v>
      </c>
      <c r="H174" s="25">
        <f t="shared" si="123"/>
        <v>6.5761081081081079</v>
      </c>
      <c r="I174" s="25">
        <f t="shared" si="123"/>
        <v>6.2968954962833408</v>
      </c>
      <c r="J174" s="25">
        <f t="shared" si="123"/>
        <v>5.3150496723737053</v>
      </c>
      <c r="K174" s="25">
        <f t="shared" si="123"/>
        <v>5.8697376449054302</v>
      </c>
      <c r="L174" s="25">
        <f>IF(ISNUMBER(L175),L175,IF(ISNUMBER(L176),L176,IF(ISNUMBER(L177),L177,"…")))</f>
        <v>5.9725247110068684</v>
      </c>
      <c r="M174" s="25">
        <f>IF(ISNUMBER(M175),M175,IF(ISNUMBER(M176),M176,IF(ISNUMBER(M177),M177,"…")))</f>
        <v>6.115413365226491</v>
      </c>
      <c r="N174" s="36">
        <f t="shared" si="123"/>
        <v>5.8967239312824606</v>
      </c>
      <c r="O174" s="36">
        <f t="shared" si="123"/>
        <v>4.9489109667558271</v>
      </c>
      <c r="P174" s="36">
        <f t="shared" si="123"/>
        <v>5.7201978136387295</v>
      </c>
      <c r="Q174" s="36">
        <f t="shared" si="123"/>
        <v>5.5904617036506803</v>
      </c>
      <c r="R174" s="36">
        <f t="shared" ref="R174:Y174" si="124">IF(ISNUMBER(R175),R175,IF(ISNUMBER(R176),R176,IF(ISNUMBER(R177),R177,"…")))</f>
        <v>5.7248456969838131</v>
      </c>
      <c r="S174" s="36">
        <f t="shared" si="124"/>
        <v>5.5082842041065261</v>
      </c>
      <c r="T174" s="36">
        <f t="shared" si="124"/>
        <v>5.6014878048780492</v>
      </c>
      <c r="U174" s="25">
        <f t="shared" si="124"/>
        <v>5.2782361813503682</v>
      </c>
      <c r="V174" s="25">
        <f t="shared" si="124"/>
        <v>5.2782361813503682</v>
      </c>
      <c r="W174" s="25">
        <f t="shared" si="124"/>
        <v>5.2782361813503682</v>
      </c>
      <c r="X174" s="25">
        <f t="shared" si="124"/>
        <v>5.2782361813503682</v>
      </c>
      <c r="Y174" s="25">
        <f t="shared" si="124"/>
        <v>5.2782361813503682</v>
      </c>
      <c r="Z174" s="25"/>
      <c r="AA174" s="2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25"/>
      <c r="AZ174" s="5"/>
    </row>
    <row r="175" spans="2:70" hidden="1" outlineLevel="1">
      <c r="C175" s="43" t="s">
        <v>367</v>
      </c>
      <c r="D175" s="25">
        <f t="shared" ref="D175:Y175" si="125">IF(D$8="A",IFERROR(D265/D163,"…"),IF(D$8="L",IFERROR(C175/1,"…"),"…"))</f>
        <v>6.5843813387423937</v>
      </c>
      <c r="E175" s="25">
        <f t="shared" si="125"/>
        <v>6.2722041051218111</v>
      </c>
      <c r="F175" s="25">
        <f t="shared" si="125"/>
        <v>6.4053489343919763</v>
      </c>
      <c r="G175" s="25">
        <f t="shared" si="125"/>
        <v>5.8020703933747413</v>
      </c>
      <c r="H175" s="25">
        <f t="shared" si="125"/>
        <v>6.5761081081081079</v>
      </c>
      <c r="I175" s="25">
        <f t="shared" si="125"/>
        <v>6.2968954962833408</v>
      </c>
      <c r="J175" s="25">
        <f t="shared" si="125"/>
        <v>5.3150496723737053</v>
      </c>
      <c r="K175" s="25">
        <f t="shared" si="125"/>
        <v>5.8697376449054302</v>
      </c>
      <c r="L175" s="25">
        <f t="shared" si="125"/>
        <v>5.9725247110068684</v>
      </c>
      <c r="M175" s="25">
        <f t="shared" si="125"/>
        <v>6.115413365226491</v>
      </c>
      <c r="N175" s="36">
        <f t="shared" si="125"/>
        <v>5.8967239312824606</v>
      </c>
      <c r="O175" s="36">
        <f t="shared" si="125"/>
        <v>4.9489109667558271</v>
      </c>
      <c r="P175" s="36">
        <f t="shared" si="125"/>
        <v>5.7201978136387295</v>
      </c>
      <c r="Q175" s="36">
        <f t="shared" si="125"/>
        <v>5.5904617036506803</v>
      </c>
      <c r="R175" s="36">
        <f t="shared" si="125"/>
        <v>5.7248456969838131</v>
      </c>
      <c r="S175" s="36">
        <f t="shared" si="125"/>
        <v>5.5082842041065261</v>
      </c>
      <c r="T175" s="36">
        <f t="shared" si="125"/>
        <v>5.6014878048780492</v>
      </c>
      <c r="U175" s="25">
        <f t="shared" si="125"/>
        <v>5.2782361813503682</v>
      </c>
      <c r="V175" s="25" t="str">
        <f t="shared" si="125"/>
        <v>…</v>
      </c>
      <c r="W175" s="25" t="str">
        <f t="shared" si="125"/>
        <v>…</v>
      </c>
      <c r="X175" s="25" t="str">
        <f t="shared" si="125"/>
        <v>…</v>
      </c>
      <c r="Y175" s="25" t="str">
        <f t="shared" si="125"/>
        <v>…</v>
      </c>
      <c r="Z175" s="25"/>
      <c r="AA175" s="2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25"/>
      <c r="AZ175" s="5"/>
    </row>
    <row r="176" spans="2:70" hidden="1" outlineLevel="1">
      <c r="C176" s="43" t="s">
        <v>368</v>
      </c>
      <c r="D176" s="25">
        <f t="shared" ref="D176:T176" si="126">IF(D$8="A",IFERROR(D265/D166,"…"),IF(D$8="L","…","…"))</f>
        <v>3.925625831418551</v>
      </c>
      <c r="E176" s="25">
        <f t="shared" si="126"/>
        <v>4.5666201117318437</v>
      </c>
      <c r="F176" s="25">
        <f t="shared" si="126"/>
        <v>4.4858062628036288</v>
      </c>
      <c r="G176" s="25">
        <f t="shared" si="126"/>
        <v>3.7520417726603292</v>
      </c>
      <c r="H176" s="25">
        <f t="shared" si="126"/>
        <v>4.4615666715564029</v>
      </c>
      <c r="I176" s="25">
        <f t="shared" si="126"/>
        <v>4.0446566493470018</v>
      </c>
      <c r="J176" s="25">
        <f t="shared" si="126"/>
        <v>3.0702686202686205</v>
      </c>
      <c r="K176" s="25">
        <f t="shared" si="126"/>
        <v>3.5330517811237607</v>
      </c>
      <c r="L176" s="25">
        <f t="shared" si="126"/>
        <v>3.7147025112014171</v>
      </c>
      <c r="M176" s="25">
        <f t="shared" si="126"/>
        <v>3.6982189675436219</v>
      </c>
      <c r="N176" s="36">
        <f t="shared" si="126"/>
        <v>3.464129244249726</v>
      </c>
      <c r="O176" s="36">
        <f t="shared" si="126"/>
        <v>4.1603919049148734</v>
      </c>
      <c r="P176" s="36">
        <f t="shared" si="126"/>
        <v>5.2937492472600267</v>
      </c>
      <c r="Q176" s="36">
        <f t="shared" si="126"/>
        <v>5.2497479274030923</v>
      </c>
      <c r="R176" s="36">
        <f t="shared" si="126"/>
        <v>5.4458014844355818</v>
      </c>
      <c r="S176" s="36">
        <f t="shared" si="126"/>
        <v>5.5085641677255399</v>
      </c>
      <c r="T176" s="36">
        <f t="shared" si="126"/>
        <v>5.6014878048780492</v>
      </c>
      <c r="U176" s="25">
        <f>IF(U$8="A",IFERROR(U265/U166,"…"),IF(U$8="L","…","…"))</f>
        <v>5.5464292373671453</v>
      </c>
      <c r="V176" s="25" t="str">
        <f>IF(V$8="A",IFERROR(V265/V166,"…"),IF(V$8="L","…","…"))</f>
        <v>…</v>
      </c>
      <c r="W176" s="25" t="str">
        <f>IF(W$8="A",IFERROR(W265/W166,"…"),IF(W$8="L","…","…"))</f>
        <v>…</v>
      </c>
      <c r="X176" s="25" t="str">
        <f>IF(X$8="A",IFERROR(X265/X166,"…"),IF(X$8="L","…","…"))</f>
        <v>…</v>
      </c>
      <c r="Y176" s="25" t="str">
        <f>IF(Y$8="A",IFERROR(Y265/Y166,"…"),IF(Y$8="L","…","…"))</f>
        <v>…</v>
      </c>
      <c r="Z176" s="25"/>
      <c r="AA176" s="2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25"/>
      <c r="AZ176" s="5"/>
    </row>
    <row r="177" spans="1:52" hidden="1" outlineLevel="1">
      <c r="C177" s="43" t="s">
        <v>369</v>
      </c>
      <c r="D177" s="25" t="str">
        <f t="shared" ref="D177:Y177" si="127">IF(D8="E",IFERROR(D53,"…"),"…")</f>
        <v>…</v>
      </c>
      <c r="E177" s="25" t="str">
        <f t="shared" si="127"/>
        <v>…</v>
      </c>
      <c r="F177" s="25" t="str">
        <f t="shared" si="127"/>
        <v>…</v>
      </c>
      <c r="G177" s="25" t="str">
        <f t="shared" si="127"/>
        <v>…</v>
      </c>
      <c r="H177" s="25" t="str">
        <f t="shared" si="127"/>
        <v>…</v>
      </c>
      <c r="I177" s="25" t="str">
        <f t="shared" si="127"/>
        <v>…</v>
      </c>
      <c r="J177" s="25" t="str">
        <f t="shared" si="127"/>
        <v>…</v>
      </c>
      <c r="K177" s="25" t="str">
        <f t="shared" si="127"/>
        <v>…</v>
      </c>
      <c r="L177" s="25" t="str">
        <f t="shared" si="127"/>
        <v>…</v>
      </c>
      <c r="M177" s="25" t="str">
        <f t="shared" si="127"/>
        <v>…</v>
      </c>
      <c r="N177" s="36" t="str">
        <f t="shared" si="127"/>
        <v>…</v>
      </c>
      <c r="O177" s="36" t="str">
        <f t="shared" si="127"/>
        <v>…</v>
      </c>
      <c r="P177" s="36" t="str">
        <f t="shared" si="127"/>
        <v>…</v>
      </c>
      <c r="Q177" s="36" t="str">
        <f t="shared" si="127"/>
        <v>…</v>
      </c>
      <c r="R177" s="36" t="str">
        <f t="shared" si="127"/>
        <v>…</v>
      </c>
      <c r="S177" s="36" t="str">
        <f t="shared" si="127"/>
        <v>…</v>
      </c>
      <c r="T177" s="36" t="str">
        <f t="shared" si="127"/>
        <v>…</v>
      </c>
      <c r="U177" s="25" t="str">
        <f t="shared" si="127"/>
        <v>…</v>
      </c>
      <c r="V177" s="25">
        <f t="shared" si="127"/>
        <v>5.2782361813503682</v>
      </c>
      <c r="W177" s="25">
        <f t="shared" si="127"/>
        <v>5.2782361813503682</v>
      </c>
      <c r="X177" s="25">
        <f t="shared" si="127"/>
        <v>5.2782361813503682</v>
      </c>
      <c r="Y177" s="25">
        <f t="shared" si="127"/>
        <v>5.2782361813503682</v>
      </c>
      <c r="Z177" s="25"/>
      <c r="AA177" s="2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25"/>
      <c r="AZ177" s="5"/>
    </row>
    <row r="178" spans="1:52" hidden="1" outlineLevel="1">
      <c r="C178" s="43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25"/>
      <c r="AZ178" s="5"/>
    </row>
    <row r="179" spans="1:52" ht="13.15" collapsed="1">
      <c r="A179" s="5" t="s">
        <v>316</v>
      </c>
      <c r="C179" s="89" t="s">
        <v>142</v>
      </c>
      <c r="D179" s="90">
        <f t="shared" ref="D179:Q179" si="128">D181</f>
        <v>5070</v>
      </c>
      <c r="E179" s="90">
        <f t="shared" si="128"/>
        <v>5860</v>
      </c>
      <c r="F179" s="90">
        <f t="shared" si="128"/>
        <v>7062</v>
      </c>
      <c r="G179" s="90">
        <f t="shared" si="128"/>
        <v>11166</v>
      </c>
      <c r="H179" s="90">
        <f t="shared" si="128"/>
        <v>10114</v>
      </c>
      <c r="I179" s="90">
        <f t="shared" si="128"/>
        <v>6142</v>
      </c>
      <c r="J179" s="90">
        <f t="shared" si="128"/>
        <v>12499</v>
      </c>
      <c r="K179" s="90">
        <f t="shared" si="128"/>
        <v>16687</v>
      </c>
      <c r="L179" s="90">
        <f>L181</f>
        <v>18643</v>
      </c>
      <c r="M179" s="90">
        <f>M181</f>
        <v>19632</v>
      </c>
      <c r="N179" s="90">
        <f t="shared" si="128"/>
        <v>21979</v>
      </c>
      <c r="O179" s="90">
        <f t="shared" si="128"/>
        <v>2502</v>
      </c>
      <c r="P179" s="90">
        <f t="shared" si="128"/>
        <v>12528</v>
      </c>
      <c r="Q179" s="90">
        <f t="shared" si="128"/>
        <v>19084</v>
      </c>
      <c r="R179" s="90">
        <f t="shared" ref="R179:Y179" si="129">R181</f>
        <v>19137</v>
      </c>
      <c r="S179" s="90">
        <f t="shared" si="129"/>
        <v>19344</v>
      </c>
      <c r="T179" s="90">
        <f t="shared" si="129"/>
        <v>15459</v>
      </c>
      <c r="U179" s="90">
        <f t="shared" si="129"/>
        <v>23313</v>
      </c>
      <c r="V179" s="90">
        <f t="shared" si="129"/>
        <v>19134.140679321241</v>
      </c>
      <c r="W179" s="90">
        <f t="shared" si="129"/>
        <v>20936.305944542739</v>
      </c>
      <c r="X179" s="90">
        <f t="shared" si="129"/>
        <v>22390.456131994753</v>
      </c>
      <c r="Y179" s="90">
        <f t="shared" si="129"/>
        <v>27164.004594201044</v>
      </c>
      <c r="Z179" s="90"/>
      <c r="AA179" s="90"/>
      <c r="AB179" s="31"/>
      <c r="AC179" s="31"/>
      <c r="AE179" s="30"/>
      <c r="AF179" s="30"/>
      <c r="AJ179" s="31"/>
      <c r="AY179" s="90"/>
      <c r="AZ179" s="27"/>
    </row>
    <row r="180" spans="1:52" hidden="1" outlineLevel="1">
      <c r="C180" s="43"/>
      <c r="D180" s="25"/>
      <c r="E180" s="25"/>
      <c r="F180" s="25"/>
      <c r="G180" s="25"/>
      <c r="H180" s="25"/>
      <c r="I180" s="25"/>
      <c r="J180" s="25"/>
      <c r="K180" s="25"/>
      <c r="L180" s="2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5"/>
      <c r="AZ180" s="5"/>
    </row>
    <row r="181" spans="1:52" hidden="1" outlineLevel="1">
      <c r="C181" s="5" t="s">
        <v>142</v>
      </c>
      <c r="D181" s="47">
        <f t="shared" ref="D181:L181" si="130">IF(D182="…","…",D182)</f>
        <v>5070</v>
      </c>
      <c r="E181" s="47">
        <f t="shared" si="130"/>
        <v>5860</v>
      </c>
      <c r="F181" s="47">
        <f t="shared" si="130"/>
        <v>7062</v>
      </c>
      <c r="G181" s="47">
        <f t="shared" si="130"/>
        <v>11166</v>
      </c>
      <c r="H181" s="47">
        <f t="shared" si="130"/>
        <v>10114</v>
      </c>
      <c r="I181" s="47">
        <f t="shared" si="130"/>
        <v>6142</v>
      </c>
      <c r="J181" s="58">
        <f t="shared" si="130"/>
        <v>12499</v>
      </c>
      <c r="K181" s="58">
        <f t="shared" si="130"/>
        <v>16687</v>
      </c>
      <c r="L181" s="58">
        <f t="shared" si="130"/>
        <v>18643</v>
      </c>
      <c r="M181" s="58">
        <f t="shared" ref="M181:R181" si="131">IF(ISNUMBER(M182),M182,IF(ISNUMBER(M185),M185,"…"))</f>
        <v>19632</v>
      </c>
      <c r="N181" s="58">
        <f t="shared" si="131"/>
        <v>21979</v>
      </c>
      <c r="O181" s="48">
        <f t="shared" si="131"/>
        <v>2502</v>
      </c>
      <c r="P181" s="48">
        <f t="shared" si="131"/>
        <v>12528</v>
      </c>
      <c r="Q181" s="48">
        <f t="shared" si="131"/>
        <v>19084</v>
      </c>
      <c r="R181" s="48">
        <f t="shared" si="131"/>
        <v>19137</v>
      </c>
      <c r="S181" s="48">
        <f t="shared" ref="S181:Y181" si="132">IF(ISNUMBER(S182),S182,IF(ISNUMBER(S185),S185,"…"))</f>
        <v>19344</v>
      </c>
      <c r="T181" s="48">
        <f t="shared" si="132"/>
        <v>15459</v>
      </c>
      <c r="U181" s="48">
        <f t="shared" si="132"/>
        <v>23313</v>
      </c>
      <c r="V181" s="48">
        <f t="shared" si="132"/>
        <v>19134.140679321241</v>
      </c>
      <c r="W181" s="48">
        <f t="shared" si="132"/>
        <v>20936.305944542739</v>
      </c>
      <c r="X181" s="48">
        <f t="shared" si="132"/>
        <v>22390.456131994753</v>
      </c>
      <c r="Y181" s="48">
        <f t="shared" si="132"/>
        <v>27164.004594201044</v>
      </c>
      <c r="Z181" s="48"/>
      <c r="AA181" s="48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48"/>
      <c r="AZ181" s="5"/>
    </row>
    <row r="182" spans="1:52" hidden="1" outlineLevel="1">
      <c r="C182" s="44" t="s">
        <v>298</v>
      </c>
      <c r="D182" s="25">
        <f t="shared" ref="D182:K185" si="133">IF(ISNUMBER(D183),D183,IF(ISNUMBER(D184),D184,"…"))</f>
        <v>5070</v>
      </c>
      <c r="E182" s="25">
        <f t="shared" si="133"/>
        <v>5860</v>
      </c>
      <c r="F182" s="25">
        <f t="shared" si="133"/>
        <v>7062</v>
      </c>
      <c r="G182" s="25">
        <f t="shared" si="133"/>
        <v>11166</v>
      </c>
      <c r="H182" s="25">
        <f t="shared" si="133"/>
        <v>10114</v>
      </c>
      <c r="I182" s="25">
        <f t="shared" si="133"/>
        <v>6142</v>
      </c>
      <c r="J182" s="25">
        <f t="shared" si="133"/>
        <v>12499</v>
      </c>
      <c r="K182" s="25">
        <f t="shared" si="133"/>
        <v>16687</v>
      </c>
      <c r="L182" s="25">
        <f t="shared" ref="L182:R182" si="134">IF(ISNUMBER(L183),L183,IF(ISNUMBER(L184),L184,"…"))</f>
        <v>18643</v>
      </c>
      <c r="M182" s="25">
        <f t="shared" si="134"/>
        <v>19632</v>
      </c>
      <c r="N182" s="25">
        <f t="shared" si="134"/>
        <v>21979</v>
      </c>
      <c r="O182" s="48">
        <f t="shared" si="134"/>
        <v>2502</v>
      </c>
      <c r="P182" s="48">
        <f t="shared" si="134"/>
        <v>12528</v>
      </c>
      <c r="Q182" s="48">
        <f t="shared" si="134"/>
        <v>19084</v>
      </c>
      <c r="R182" s="48">
        <f t="shared" si="134"/>
        <v>19137</v>
      </c>
      <c r="S182" s="48">
        <f t="shared" ref="S182:Y182" si="135">IF(ISNUMBER(S183),S183,IF(ISNUMBER(S184),S184,"…"))</f>
        <v>19344</v>
      </c>
      <c r="T182" s="48">
        <f t="shared" si="135"/>
        <v>15459</v>
      </c>
      <c r="U182" s="48">
        <f t="shared" si="135"/>
        <v>23313</v>
      </c>
      <c r="V182" s="48" t="str">
        <f t="shared" si="135"/>
        <v>…</v>
      </c>
      <c r="W182" s="48" t="str">
        <f t="shared" si="135"/>
        <v>…</v>
      </c>
      <c r="X182" s="48" t="str">
        <f t="shared" si="135"/>
        <v>…</v>
      </c>
      <c r="Y182" s="48" t="str">
        <f t="shared" si="135"/>
        <v>…</v>
      </c>
      <c r="Z182" s="48"/>
      <c r="AA182" s="48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48"/>
      <c r="AZ182" s="5"/>
    </row>
    <row r="183" spans="1:52" hidden="1" outlineLevel="1">
      <c r="C183" s="43" t="s">
        <v>156</v>
      </c>
      <c r="D183" s="25">
        <f t="shared" ref="D183:L183" si="136">IFERROR(D153-D162,"…")</f>
        <v>5070</v>
      </c>
      <c r="E183" s="25">
        <f t="shared" si="136"/>
        <v>5860</v>
      </c>
      <c r="F183" s="25">
        <f t="shared" si="136"/>
        <v>7062</v>
      </c>
      <c r="G183" s="25">
        <f t="shared" si="136"/>
        <v>11166</v>
      </c>
      <c r="H183" s="25">
        <f t="shared" si="136"/>
        <v>10114</v>
      </c>
      <c r="I183" s="25">
        <f t="shared" si="136"/>
        <v>6142</v>
      </c>
      <c r="J183" s="25">
        <f t="shared" si="136"/>
        <v>12499</v>
      </c>
      <c r="K183" s="25">
        <f t="shared" si="136"/>
        <v>16687</v>
      </c>
      <c r="L183" s="25">
        <f t="shared" si="136"/>
        <v>18643</v>
      </c>
      <c r="M183" s="25">
        <f t="shared" ref="M183:R183" si="137">IFERROR(M153-M163,"…")</f>
        <v>19632</v>
      </c>
      <c r="N183" s="25">
        <f t="shared" si="137"/>
        <v>21979</v>
      </c>
      <c r="O183" s="25">
        <f t="shared" si="137"/>
        <v>2502</v>
      </c>
      <c r="P183" s="25">
        <f t="shared" si="137"/>
        <v>12528</v>
      </c>
      <c r="Q183" s="25">
        <f t="shared" si="137"/>
        <v>19084</v>
      </c>
      <c r="R183" s="25">
        <f t="shared" si="137"/>
        <v>19137</v>
      </c>
      <c r="S183" s="25">
        <f t="shared" ref="S183:Y183" si="138">IFERROR(S153-S163,"…")</f>
        <v>19344</v>
      </c>
      <c r="T183" s="25">
        <f t="shared" si="138"/>
        <v>15459</v>
      </c>
      <c r="U183" s="25">
        <f t="shared" si="138"/>
        <v>23313</v>
      </c>
      <c r="V183" s="25" t="str">
        <f t="shared" si="138"/>
        <v>…</v>
      </c>
      <c r="W183" s="25" t="str">
        <f t="shared" si="138"/>
        <v>…</v>
      </c>
      <c r="X183" s="25" t="str">
        <f t="shared" si="138"/>
        <v>…</v>
      </c>
      <c r="Y183" s="25" t="str">
        <f t="shared" si="138"/>
        <v>…</v>
      </c>
      <c r="Z183" s="25"/>
      <c r="AA183" s="2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25"/>
      <c r="AZ183" s="5"/>
    </row>
    <row r="184" spans="1:52" hidden="1" outlineLevel="1">
      <c r="C184" s="43" t="s">
        <v>157</v>
      </c>
      <c r="D184" s="25">
        <f t="shared" ref="D184:Y184" si="139">IF(D8="A",IFERROR(D321+D191,"…"),"…")</f>
        <v>1731</v>
      </c>
      <c r="E184" s="25">
        <f t="shared" si="139"/>
        <v>3913</v>
      </c>
      <c r="F184" s="25">
        <f t="shared" si="139"/>
        <v>5014</v>
      </c>
      <c r="G184" s="25">
        <f t="shared" si="139"/>
        <v>8527</v>
      </c>
      <c r="H184" s="25">
        <f t="shared" si="139"/>
        <v>7922</v>
      </c>
      <c r="I184" s="25">
        <f t="shared" si="139"/>
        <v>3595</v>
      </c>
      <c r="J184" s="25">
        <f t="shared" si="139"/>
        <v>9040</v>
      </c>
      <c r="K184" s="25">
        <f t="shared" si="139"/>
        <v>13435</v>
      </c>
      <c r="L184" s="25">
        <f t="shared" si="139"/>
        <v>15015</v>
      </c>
      <c r="M184" s="25">
        <f t="shared" si="139"/>
        <v>15260</v>
      </c>
      <c r="N184" s="25">
        <f t="shared" si="139"/>
        <v>16706</v>
      </c>
      <c r="O184" s="25">
        <f t="shared" si="139"/>
        <v>22</v>
      </c>
      <c r="P184" s="25">
        <f t="shared" si="139"/>
        <v>11290</v>
      </c>
      <c r="Q184" s="25">
        <f t="shared" si="139"/>
        <v>17996</v>
      </c>
      <c r="R184" s="25">
        <f t="shared" si="139"/>
        <v>18257</v>
      </c>
      <c r="S184" s="25">
        <f t="shared" si="139"/>
        <v>19345</v>
      </c>
      <c r="T184" s="25">
        <f t="shared" si="139"/>
        <v>15459</v>
      </c>
      <c r="U184" s="25">
        <f t="shared" si="139"/>
        <v>24403</v>
      </c>
      <c r="V184" s="25" t="str">
        <f t="shared" si="139"/>
        <v>…</v>
      </c>
      <c r="W184" s="25" t="str">
        <f t="shared" si="139"/>
        <v>…</v>
      </c>
      <c r="X184" s="25" t="str">
        <f t="shared" si="139"/>
        <v>…</v>
      </c>
      <c r="Y184" s="25" t="str">
        <f t="shared" si="139"/>
        <v>…</v>
      </c>
      <c r="Z184" s="25"/>
      <c r="AA184" s="2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25"/>
      <c r="AZ184" s="5"/>
    </row>
    <row r="185" spans="1:52" hidden="1" outlineLevel="1">
      <c r="C185" s="44" t="s">
        <v>403</v>
      </c>
      <c r="D185" s="25">
        <f t="shared" si="133"/>
        <v>1731.0002271178741</v>
      </c>
      <c r="E185" s="25">
        <f t="shared" si="133"/>
        <v>3760.4779411764703</v>
      </c>
      <c r="F185" s="25">
        <f t="shared" si="133"/>
        <v>4906.3629343629345</v>
      </c>
      <c r="G185" s="25">
        <f t="shared" si="133"/>
        <v>8398.9603340292269</v>
      </c>
      <c r="H185" s="25">
        <f t="shared" si="133"/>
        <v>7520.9928315412189</v>
      </c>
      <c r="I185" s="25">
        <f t="shared" si="133"/>
        <v>3415.655737704918</v>
      </c>
      <c r="J185" s="25">
        <f t="shared" si="133"/>
        <v>8897.6901408450703</v>
      </c>
      <c r="K185" s="25">
        <f t="shared" si="133"/>
        <v>12684.119533527697</v>
      </c>
      <c r="L185" s="25">
        <f t="shared" ref="L185:R185" si="140">IF(ISNUMBER(L186),L186,IF(ISNUMBER(L187),L187,"…"))</f>
        <v>13717.154228855721</v>
      </c>
      <c r="M185" s="25">
        <f t="shared" si="140"/>
        <v>15074.091787439615</v>
      </c>
      <c r="N185" s="25">
        <f t="shared" si="140"/>
        <v>16451.016913319239</v>
      </c>
      <c r="O185" s="48">
        <f t="shared" si="140"/>
        <v>-253.88982161594959</v>
      </c>
      <c r="P185" s="48">
        <f t="shared" si="140"/>
        <v>10993.145228215768</v>
      </c>
      <c r="Q185" s="48">
        <f t="shared" si="140"/>
        <v>17737.678714859438</v>
      </c>
      <c r="R185" s="48">
        <f t="shared" si="140"/>
        <v>17970.35460992908</v>
      </c>
      <c r="S185" s="48">
        <f t="shared" ref="S185:Y185" si="141">IF(ISNUMBER(S186),S186,IF(ISNUMBER(S187),S187,"…"))</f>
        <v>19002.522848034008</v>
      </c>
      <c r="T185" s="48">
        <f t="shared" si="141"/>
        <v>15065.02824858757</v>
      </c>
      <c r="U185" s="48">
        <f t="shared" si="141"/>
        <v>23676.857142857145</v>
      </c>
      <c r="V185" s="48">
        <f t="shared" si="141"/>
        <v>19134.140679321241</v>
      </c>
      <c r="W185" s="48">
        <f t="shared" si="141"/>
        <v>20936.305944542739</v>
      </c>
      <c r="X185" s="48">
        <f t="shared" si="141"/>
        <v>22390.456131994753</v>
      </c>
      <c r="Y185" s="48">
        <f t="shared" si="141"/>
        <v>27164.004594201044</v>
      </c>
      <c r="Z185" s="48"/>
      <c r="AA185" s="48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48"/>
      <c r="AZ185" s="5"/>
    </row>
    <row r="186" spans="1:52" hidden="1" outlineLevel="1">
      <c r="C186" s="43" t="s">
        <v>156</v>
      </c>
      <c r="D186" s="25" t="str">
        <f t="shared" ref="D186:T186" si="142">IFERROR(D158-D171,"…")</f>
        <v>…</v>
      </c>
      <c r="E186" s="25" t="str">
        <f t="shared" si="142"/>
        <v>…</v>
      </c>
      <c r="F186" s="25" t="str">
        <f t="shared" si="142"/>
        <v>…</v>
      </c>
      <c r="G186" s="25" t="str">
        <f t="shared" si="142"/>
        <v>…</v>
      </c>
      <c r="H186" s="25" t="str">
        <f t="shared" si="142"/>
        <v>…</v>
      </c>
      <c r="I186" s="25" t="str">
        <f t="shared" si="142"/>
        <v>…</v>
      </c>
      <c r="J186" s="25" t="str">
        <f t="shared" si="142"/>
        <v>…</v>
      </c>
      <c r="K186" s="25" t="str">
        <f t="shared" si="142"/>
        <v>…</v>
      </c>
      <c r="L186" s="25" t="str">
        <f t="shared" si="142"/>
        <v>…</v>
      </c>
      <c r="M186" s="25" t="str">
        <f t="shared" si="142"/>
        <v>…</v>
      </c>
      <c r="N186" s="25" t="str">
        <f t="shared" si="142"/>
        <v>…</v>
      </c>
      <c r="O186" s="48" t="str">
        <f t="shared" si="142"/>
        <v>…</v>
      </c>
      <c r="P186" s="48" t="str">
        <f t="shared" si="142"/>
        <v>…</v>
      </c>
      <c r="Q186" s="48" t="str">
        <f t="shared" si="142"/>
        <v>…</v>
      </c>
      <c r="R186" s="48" t="str">
        <f t="shared" si="142"/>
        <v>…</v>
      </c>
      <c r="S186" s="48" t="str">
        <f t="shared" si="142"/>
        <v>…</v>
      </c>
      <c r="T186" s="48" t="str">
        <f t="shared" si="142"/>
        <v>…</v>
      </c>
      <c r="U186" s="48" t="str">
        <f>IFERROR(U158-U171,"…")</f>
        <v>…</v>
      </c>
      <c r="V186" s="48">
        <f>IFERROR(V158-V171,"…")</f>
        <v>19134.140679321241</v>
      </c>
      <c r="W186" s="48">
        <f>IFERROR(W158-W171,"…")</f>
        <v>20936.305944542739</v>
      </c>
      <c r="X186" s="48">
        <f>IFERROR(X158-X171,"…")</f>
        <v>22390.456131994753</v>
      </c>
      <c r="Y186" s="48">
        <f>IFERROR(Y158-Y171,"…")</f>
        <v>27164.004594201044</v>
      </c>
      <c r="Z186" s="48"/>
      <c r="AA186" s="48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48"/>
      <c r="AZ186" s="5"/>
    </row>
    <row r="187" spans="1:52" hidden="1" outlineLevel="1">
      <c r="C187" s="43" t="s">
        <v>157</v>
      </c>
      <c r="D187" s="25">
        <f t="shared" ref="D187:R187" si="143">IFERROR(D222+D196,"…")</f>
        <v>1731.0002271178741</v>
      </c>
      <c r="E187" s="25">
        <f t="shared" si="143"/>
        <v>3760.4779411764703</v>
      </c>
      <c r="F187" s="25">
        <f t="shared" si="143"/>
        <v>4906.3629343629345</v>
      </c>
      <c r="G187" s="25">
        <f t="shared" si="143"/>
        <v>8398.9603340292269</v>
      </c>
      <c r="H187" s="25">
        <f t="shared" si="143"/>
        <v>7520.9928315412189</v>
      </c>
      <c r="I187" s="25">
        <f t="shared" si="143"/>
        <v>3415.655737704918</v>
      </c>
      <c r="J187" s="25">
        <f t="shared" si="143"/>
        <v>8897.6901408450703</v>
      </c>
      <c r="K187" s="25">
        <f t="shared" si="143"/>
        <v>12684.119533527697</v>
      </c>
      <c r="L187" s="25">
        <f t="shared" si="143"/>
        <v>13717.154228855721</v>
      </c>
      <c r="M187" s="25">
        <f t="shared" si="143"/>
        <v>15074.091787439615</v>
      </c>
      <c r="N187" s="25">
        <f t="shared" si="143"/>
        <v>16451.016913319239</v>
      </c>
      <c r="O187" s="48">
        <f t="shared" si="143"/>
        <v>-253.88982161594959</v>
      </c>
      <c r="P187" s="48">
        <f t="shared" si="143"/>
        <v>10993.145228215768</v>
      </c>
      <c r="Q187" s="48">
        <f t="shared" si="143"/>
        <v>17737.678714859438</v>
      </c>
      <c r="R187" s="48">
        <f t="shared" si="143"/>
        <v>17970.35460992908</v>
      </c>
      <c r="S187" s="48">
        <f t="shared" ref="S187:Y187" si="144">IFERROR(S222+S196,"…")</f>
        <v>19002.522848034008</v>
      </c>
      <c r="T187" s="48">
        <f t="shared" si="144"/>
        <v>15065.02824858757</v>
      </c>
      <c r="U187" s="48">
        <f t="shared" si="144"/>
        <v>23676.857142857145</v>
      </c>
      <c r="V187" s="48">
        <f t="shared" si="144"/>
        <v>27978.047571428571</v>
      </c>
      <c r="W187" s="48">
        <f t="shared" si="144"/>
        <v>27435.579591836737</v>
      </c>
      <c r="X187" s="48">
        <f t="shared" si="144"/>
        <v>28271.190638483964</v>
      </c>
      <c r="Y187" s="48">
        <f t="shared" si="144"/>
        <v>29616.984479800085</v>
      </c>
      <c r="Z187" s="48"/>
      <c r="AA187" s="48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48"/>
      <c r="AZ187" s="5"/>
    </row>
    <row r="188" spans="1:52" ht="13.15" hidden="1" outlineLevel="1">
      <c r="C188" s="43"/>
      <c r="D188" s="25"/>
      <c r="E188" s="25"/>
      <c r="F188" s="25"/>
      <c r="G188" s="25"/>
      <c r="H188" s="25"/>
      <c r="I188" s="25"/>
      <c r="J188" s="25"/>
      <c r="K188" s="25"/>
      <c r="L188" s="25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E188" s="9" t="s">
        <v>1585</v>
      </c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48"/>
      <c r="AZ188" s="5"/>
    </row>
    <row r="189" spans="1:52" ht="13.15" collapsed="1">
      <c r="C189" s="91" t="s">
        <v>147</v>
      </c>
      <c r="D189" s="90">
        <f t="shared" ref="D189:P189" si="145">IFERROR(-D190,"…")</f>
        <v>-33</v>
      </c>
      <c r="E189" s="90">
        <f t="shared" si="145"/>
        <v>-1488</v>
      </c>
      <c r="F189" s="90">
        <f t="shared" si="145"/>
        <v>-1542</v>
      </c>
      <c r="G189" s="90">
        <f t="shared" si="145"/>
        <v>-1589</v>
      </c>
      <c r="H189" s="90">
        <f t="shared" si="145"/>
        <v>-1589</v>
      </c>
      <c r="I189" s="90">
        <f t="shared" si="145"/>
        <v>-1740</v>
      </c>
      <c r="J189" s="90">
        <f t="shared" si="145"/>
        <v>-1899</v>
      </c>
      <c r="K189" s="90">
        <f t="shared" si="145"/>
        <v>-2164</v>
      </c>
      <c r="L189" s="90">
        <f t="shared" si="145"/>
        <v>-3517</v>
      </c>
      <c r="M189" s="90">
        <f t="shared" si="145"/>
        <v>-3589</v>
      </c>
      <c r="N189" s="90">
        <f t="shared" si="145"/>
        <v>-4009</v>
      </c>
      <c r="O189" s="90">
        <f t="shared" si="145"/>
        <v>-4091</v>
      </c>
      <c r="P189" s="90">
        <f t="shared" si="145"/>
        <v>-4187</v>
      </c>
      <c r="Q189" s="90">
        <f t="shared" ref="Q189:Y189" si="146">IFERROR(-Q190,"…")</f>
        <v>-4178</v>
      </c>
      <c r="R189" s="90">
        <f t="shared" si="146"/>
        <v>-4337</v>
      </c>
      <c r="S189" s="90">
        <f t="shared" si="146"/>
        <v>-4731</v>
      </c>
      <c r="T189" s="90">
        <f t="shared" si="146"/>
        <v>-5249</v>
      </c>
      <c r="U189" s="90">
        <f t="shared" si="146"/>
        <v>-5829</v>
      </c>
      <c r="V189" s="90">
        <f t="shared" si="146"/>
        <v>-5887.4285714285716</v>
      </c>
      <c r="W189" s="90">
        <f t="shared" si="146"/>
        <v>-5214.5795918367348</v>
      </c>
      <c r="X189" s="90">
        <f t="shared" si="146"/>
        <v>-4618.6276384839648</v>
      </c>
      <c r="Y189" s="90">
        <f t="shared" si="146"/>
        <v>-4090.7844798000829</v>
      </c>
      <c r="Z189" s="90"/>
      <c r="AA189" s="90"/>
      <c r="AB189" s="86" t="s">
        <v>1711</v>
      </c>
      <c r="AC189" s="86" t="s">
        <v>1711</v>
      </c>
      <c r="AE189" s="9" t="s">
        <v>1588</v>
      </c>
      <c r="AF189" s="30"/>
      <c r="AJ189" s="31"/>
      <c r="AY189" s="90"/>
      <c r="AZ189" s="27"/>
    </row>
    <row r="190" spans="1:52" s="33" customFormat="1" ht="13.15" hidden="1" outlineLevel="1">
      <c r="A190" s="5"/>
      <c r="B190" s="5"/>
      <c r="C190" s="5" t="s">
        <v>147</v>
      </c>
      <c r="D190" s="25">
        <f t="shared" ref="D190:Y190" si="147">IF(AND(ISNUMBER(D191),$AE$190=1),D191,IF(AND(ISNUMBER(D192),$AE$191=1),D192,IF(ISNUMBER(D196),D196,"…")))</f>
        <v>33</v>
      </c>
      <c r="E190" s="25">
        <f t="shared" si="147"/>
        <v>1488</v>
      </c>
      <c r="F190" s="25">
        <f t="shared" si="147"/>
        <v>1542</v>
      </c>
      <c r="G190" s="25">
        <f t="shared" si="147"/>
        <v>1589</v>
      </c>
      <c r="H190" s="25">
        <f t="shared" si="147"/>
        <v>1589</v>
      </c>
      <c r="I190" s="25">
        <f t="shared" si="147"/>
        <v>1740</v>
      </c>
      <c r="J190" s="25">
        <f t="shared" si="147"/>
        <v>1899</v>
      </c>
      <c r="K190" s="25">
        <f t="shared" si="147"/>
        <v>2164</v>
      </c>
      <c r="L190" s="25">
        <f t="shared" si="147"/>
        <v>3517</v>
      </c>
      <c r="M190" s="25">
        <f t="shared" si="147"/>
        <v>3589</v>
      </c>
      <c r="N190" s="25">
        <f t="shared" si="147"/>
        <v>4009</v>
      </c>
      <c r="O190" s="25">
        <f t="shared" si="147"/>
        <v>4091</v>
      </c>
      <c r="P190" s="25">
        <f t="shared" si="147"/>
        <v>4187</v>
      </c>
      <c r="Q190" s="25">
        <f t="shared" si="147"/>
        <v>4178</v>
      </c>
      <c r="R190" s="25">
        <f t="shared" si="147"/>
        <v>4337</v>
      </c>
      <c r="S190" s="25">
        <f t="shared" si="147"/>
        <v>4731</v>
      </c>
      <c r="T190" s="25">
        <f t="shared" si="147"/>
        <v>5249</v>
      </c>
      <c r="U190" s="25">
        <f t="shared" si="147"/>
        <v>5829</v>
      </c>
      <c r="V190" s="25">
        <f t="shared" si="147"/>
        <v>5887.4285714285716</v>
      </c>
      <c r="W190" s="25">
        <f t="shared" si="147"/>
        <v>5214.5795918367348</v>
      </c>
      <c r="X190" s="25">
        <f t="shared" si="147"/>
        <v>4618.6276384839648</v>
      </c>
      <c r="Y190" s="25">
        <f t="shared" si="147"/>
        <v>4090.7844798000829</v>
      </c>
      <c r="Z190" s="25"/>
      <c r="AA190" s="25"/>
      <c r="AE190" s="81">
        <v>1</v>
      </c>
      <c r="AG190" s="5"/>
      <c r="AY190" s="25"/>
    </row>
    <row r="191" spans="1:52" s="33" customFormat="1" ht="13.15" hidden="1" outlineLevel="1">
      <c r="A191" s="5"/>
      <c r="B191" s="5"/>
      <c r="C191" s="44" t="s">
        <v>295</v>
      </c>
      <c r="D191" s="25">
        <f t="shared" ref="D191:R191" si="148">IF(D$8="A",IF(D211="…","calc.",D211),IF(D$8="L","…","…"))</f>
        <v>33</v>
      </c>
      <c r="E191" s="25">
        <f t="shared" si="148"/>
        <v>1488</v>
      </c>
      <c r="F191" s="25">
        <f t="shared" si="148"/>
        <v>1542</v>
      </c>
      <c r="G191" s="25">
        <f t="shared" si="148"/>
        <v>1589</v>
      </c>
      <c r="H191" s="25">
        <f t="shared" si="148"/>
        <v>1589</v>
      </c>
      <c r="I191" s="25">
        <f t="shared" si="148"/>
        <v>1740</v>
      </c>
      <c r="J191" s="25">
        <f t="shared" si="148"/>
        <v>1899</v>
      </c>
      <c r="K191" s="25">
        <f t="shared" si="148"/>
        <v>2164</v>
      </c>
      <c r="L191" s="25">
        <f t="shared" si="148"/>
        <v>3517</v>
      </c>
      <c r="M191" s="25">
        <f t="shared" si="148"/>
        <v>3589</v>
      </c>
      <c r="N191" s="25">
        <f t="shared" si="148"/>
        <v>4009</v>
      </c>
      <c r="O191" s="25">
        <f t="shared" si="148"/>
        <v>4091</v>
      </c>
      <c r="P191" s="25">
        <f t="shared" si="148"/>
        <v>4187</v>
      </c>
      <c r="Q191" s="25">
        <f t="shared" si="148"/>
        <v>4178</v>
      </c>
      <c r="R191" s="25">
        <f t="shared" si="148"/>
        <v>4337</v>
      </c>
      <c r="S191" s="25">
        <f t="shared" ref="S191:Y191" si="149">IF(S$8="A",IF(S211="…","calc.",S211),IF(S$8="L","…","…"))</f>
        <v>4731</v>
      </c>
      <c r="T191" s="25">
        <f t="shared" si="149"/>
        <v>5249</v>
      </c>
      <c r="U191" s="25">
        <f t="shared" si="149"/>
        <v>5829</v>
      </c>
      <c r="V191" s="25" t="str">
        <f t="shared" si="149"/>
        <v>…</v>
      </c>
      <c r="W191" s="25" t="str">
        <f t="shared" si="149"/>
        <v>…</v>
      </c>
      <c r="X191" s="25" t="str">
        <f t="shared" si="149"/>
        <v>…</v>
      </c>
      <c r="Y191" s="25" t="str">
        <f t="shared" si="149"/>
        <v>…</v>
      </c>
      <c r="Z191" s="25"/>
      <c r="AA191" s="25"/>
      <c r="AE191" s="83">
        <v>0</v>
      </c>
      <c r="AG191" s="5"/>
      <c r="AY191" s="25"/>
    </row>
    <row r="192" spans="1:52" s="33" customFormat="1" hidden="1" outlineLevel="1">
      <c r="A192" s="5"/>
      <c r="C192" s="44" t="s">
        <v>296</v>
      </c>
      <c r="D192" s="25">
        <f t="shared" ref="D192:Y192" si="150">IF(AND(ISNUMBER(D193),$AE$193=1),D193,IF(AND(ISNUMBER(D194),$AE$194=1),D194,IF(AND(ISNUMBER(D195),$AE$195=1),D195,"…")))</f>
        <v>3372</v>
      </c>
      <c r="E192" s="25">
        <f t="shared" si="150"/>
        <v>3435</v>
      </c>
      <c r="F192" s="25">
        <f t="shared" si="150"/>
        <v>3590</v>
      </c>
      <c r="G192" s="25">
        <f t="shared" si="150"/>
        <v>4228</v>
      </c>
      <c r="H192" s="25">
        <f t="shared" si="150"/>
        <v>3781</v>
      </c>
      <c r="I192" s="25">
        <f t="shared" si="150"/>
        <v>4287</v>
      </c>
      <c r="J192" s="25">
        <f t="shared" si="150"/>
        <v>5358</v>
      </c>
      <c r="K192" s="25">
        <f t="shared" si="150"/>
        <v>5416</v>
      </c>
      <c r="L192" s="25">
        <f t="shared" si="150"/>
        <v>7145</v>
      </c>
      <c r="M192" s="25">
        <f t="shared" si="150"/>
        <v>7961</v>
      </c>
      <c r="N192" s="25">
        <f t="shared" si="150"/>
        <v>9282</v>
      </c>
      <c r="O192" s="25">
        <f t="shared" si="150"/>
        <v>6571</v>
      </c>
      <c r="P192" s="25">
        <f t="shared" si="150"/>
        <v>5425</v>
      </c>
      <c r="Q192" s="25">
        <f t="shared" si="150"/>
        <v>5266</v>
      </c>
      <c r="R192" s="25">
        <f t="shared" si="150"/>
        <v>5217</v>
      </c>
      <c r="S192" s="25">
        <f t="shared" si="150"/>
        <v>4730</v>
      </c>
      <c r="T192" s="25">
        <f t="shared" si="150"/>
        <v>5249</v>
      </c>
      <c r="U192" s="25">
        <f t="shared" si="150"/>
        <v>4739</v>
      </c>
      <c r="V192" s="25" t="str">
        <f t="shared" si="150"/>
        <v>…</v>
      </c>
      <c r="W192" s="25" t="str">
        <f t="shared" si="150"/>
        <v>…</v>
      </c>
      <c r="X192" s="25" t="str">
        <f t="shared" si="150"/>
        <v>…</v>
      </c>
      <c r="Y192" s="25" t="str">
        <f t="shared" si="150"/>
        <v>…</v>
      </c>
      <c r="Z192" s="25"/>
      <c r="AA192" s="25"/>
      <c r="AG192" s="5"/>
      <c r="AY192" s="25"/>
    </row>
    <row r="193" spans="1:51" s="33" customFormat="1" ht="13.15" hidden="1" outlineLevel="1">
      <c r="A193" s="5"/>
      <c r="C193" s="43" t="s">
        <v>1583</v>
      </c>
      <c r="D193" s="25">
        <f t="shared" ref="D193:T193" si="151">IFERROR(ROUND((D153-D163)-D321,2),"…")</f>
        <v>3372</v>
      </c>
      <c r="E193" s="25">
        <f t="shared" si="151"/>
        <v>3435</v>
      </c>
      <c r="F193" s="25">
        <f t="shared" si="151"/>
        <v>3590</v>
      </c>
      <c r="G193" s="25">
        <f t="shared" si="151"/>
        <v>4228</v>
      </c>
      <c r="H193" s="25">
        <f t="shared" si="151"/>
        <v>3781</v>
      </c>
      <c r="I193" s="25">
        <f t="shared" si="151"/>
        <v>4287</v>
      </c>
      <c r="J193" s="25">
        <f t="shared" si="151"/>
        <v>5358</v>
      </c>
      <c r="K193" s="25">
        <f t="shared" si="151"/>
        <v>5416</v>
      </c>
      <c r="L193" s="25">
        <f t="shared" si="151"/>
        <v>7145</v>
      </c>
      <c r="M193" s="25">
        <f t="shared" si="151"/>
        <v>7961</v>
      </c>
      <c r="N193" s="25">
        <f t="shared" si="151"/>
        <v>9282</v>
      </c>
      <c r="O193" s="25">
        <f t="shared" si="151"/>
        <v>6571</v>
      </c>
      <c r="P193" s="25">
        <f t="shared" si="151"/>
        <v>5425</v>
      </c>
      <c r="Q193" s="25">
        <f t="shared" si="151"/>
        <v>5266</v>
      </c>
      <c r="R193" s="25">
        <f t="shared" si="151"/>
        <v>5217</v>
      </c>
      <c r="S193" s="25">
        <f t="shared" si="151"/>
        <v>4730</v>
      </c>
      <c r="T193" s="25">
        <f t="shared" si="151"/>
        <v>5249</v>
      </c>
      <c r="U193" s="25">
        <f>IFERROR(ROUND((U153-U163)-U321,2),"…")</f>
        <v>4739</v>
      </c>
      <c r="V193" s="25" t="str">
        <f>IFERROR(ROUND((V153-V163)-V321,2),"…")</f>
        <v>…</v>
      </c>
      <c r="W193" s="25" t="str">
        <f>IFERROR(ROUND((W153-W163)-W321,2),"…")</f>
        <v>…</v>
      </c>
      <c r="X193" s="25" t="str">
        <f>IFERROR(ROUND((X153-X163)-X321,2),"…")</f>
        <v>…</v>
      </c>
      <c r="Y193" s="25" t="str">
        <f>IFERROR(ROUND((Y153-Y163)-Y321,2),"…")</f>
        <v>…</v>
      </c>
      <c r="Z193" s="25"/>
      <c r="AA193" s="25"/>
      <c r="AD193" s="84" t="s">
        <v>1589</v>
      </c>
      <c r="AE193" s="81">
        <v>1</v>
      </c>
      <c r="AG193" s="5"/>
      <c r="AY193" s="25"/>
    </row>
    <row r="194" spans="1:51" s="33" customFormat="1" ht="13.15" hidden="1" outlineLevel="1">
      <c r="A194" s="5"/>
      <c r="C194" s="43" t="s">
        <v>1582</v>
      </c>
      <c r="D194" s="25">
        <f t="shared" ref="D194:K194" si="152">IFERROR(ROUND(D339-D332,2),"…")</f>
        <v>3372</v>
      </c>
      <c r="E194" s="25">
        <f t="shared" si="152"/>
        <v>3435</v>
      </c>
      <c r="F194" s="25">
        <f t="shared" si="152"/>
        <v>3590</v>
      </c>
      <c r="G194" s="25">
        <f t="shared" si="152"/>
        <v>4228</v>
      </c>
      <c r="H194" s="25">
        <f t="shared" si="152"/>
        <v>3781</v>
      </c>
      <c r="I194" s="25">
        <f t="shared" si="152"/>
        <v>4287</v>
      </c>
      <c r="J194" s="25">
        <f t="shared" si="152"/>
        <v>5358</v>
      </c>
      <c r="K194" s="25">
        <f t="shared" si="152"/>
        <v>5416</v>
      </c>
      <c r="L194" s="25">
        <f t="shared" ref="L194:Q194" si="153">IFERROR(ROUND(L339-L332,2),"…")</f>
        <v>7145</v>
      </c>
      <c r="M194" s="25">
        <f t="shared" si="153"/>
        <v>7961</v>
      </c>
      <c r="N194" s="25">
        <f>IFERROR(ROUND(N339-N332,2),"…")</f>
        <v>9282</v>
      </c>
      <c r="O194" s="25">
        <f>IFERROR(ROUND(O339-O332,2),"…")</f>
        <v>6571</v>
      </c>
      <c r="P194" s="25">
        <f t="shared" si="153"/>
        <v>5425</v>
      </c>
      <c r="Q194" s="25">
        <f t="shared" si="153"/>
        <v>5266</v>
      </c>
      <c r="R194" s="25">
        <f t="shared" ref="R194:Y194" si="154">IFERROR(ROUND(R339-R332,2),"…")</f>
        <v>5217</v>
      </c>
      <c r="S194" s="25">
        <f t="shared" si="154"/>
        <v>4730</v>
      </c>
      <c r="T194" s="25">
        <f t="shared" si="154"/>
        <v>5249</v>
      </c>
      <c r="U194" s="25">
        <f t="shared" si="154"/>
        <v>4739</v>
      </c>
      <c r="V194" s="25" t="str">
        <f t="shared" si="154"/>
        <v>…</v>
      </c>
      <c r="W194" s="25" t="str">
        <f t="shared" si="154"/>
        <v>…</v>
      </c>
      <c r="X194" s="25" t="str">
        <f t="shared" si="154"/>
        <v>…</v>
      </c>
      <c r="Y194" s="25" t="str">
        <f t="shared" si="154"/>
        <v>…</v>
      </c>
      <c r="Z194" s="25"/>
      <c r="AA194" s="25"/>
      <c r="AD194" s="84" t="s">
        <v>1590</v>
      </c>
      <c r="AE194" s="82">
        <v>0</v>
      </c>
      <c r="AG194" s="5"/>
      <c r="AY194" s="25"/>
    </row>
    <row r="195" spans="1:51" s="33" customFormat="1" ht="13.15" hidden="1" outlineLevel="1">
      <c r="A195" s="5"/>
      <c r="C195" s="43" t="s">
        <v>366</v>
      </c>
      <c r="D195" s="25" t="str">
        <f t="shared" ref="D195:Q195" si="155">IFERROR(IF(D267=0,0,"…"),"…")</f>
        <v>…</v>
      </c>
      <c r="E195" s="25" t="str">
        <f t="shared" si="155"/>
        <v>…</v>
      </c>
      <c r="F195" s="25" t="str">
        <f t="shared" si="155"/>
        <v>…</v>
      </c>
      <c r="G195" s="25" t="str">
        <f t="shared" si="155"/>
        <v>…</v>
      </c>
      <c r="H195" s="25" t="str">
        <f t="shared" si="155"/>
        <v>…</v>
      </c>
      <c r="I195" s="25" t="str">
        <f t="shared" si="155"/>
        <v>…</v>
      </c>
      <c r="J195" s="25" t="str">
        <f t="shared" si="155"/>
        <v>…</v>
      </c>
      <c r="K195" s="25" t="str">
        <f t="shared" si="155"/>
        <v>…</v>
      </c>
      <c r="L195" s="25" t="str">
        <f>IFERROR(IF(L267=0,0,"…"),"…")</f>
        <v>…</v>
      </c>
      <c r="M195" s="25" t="str">
        <f>IFERROR(IF(M267=0,0,"…"),"…")</f>
        <v>…</v>
      </c>
      <c r="N195" s="25" t="str">
        <f>IFERROR(IF(N267=0,0,"…"),"…")</f>
        <v>…</v>
      </c>
      <c r="O195" s="25" t="str">
        <f>IFERROR(IF(O267=0,0,"…"),"…")</f>
        <v>…</v>
      </c>
      <c r="P195" s="25" t="str">
        <f t="shared" si="155"/>
        <v>…</v>
      </c>
      <c r="Q195" s="25" t="str">
        <f t="shared" si="155"/>
        <v>…</v>
      </c>
      <c r="R195" s="25" t="str">
        <f t="shared" ref="R195:Y195" si="156">IFERROR(IF(R267=0,0,"…"),"…")</f>
        <v>…</v>
      </c>
      <c r="S195" s="25" t="str">
        <f t="shared" si="156"/>
        <v>…</v>
      </c>
      <c r="T195" s="25" t="str">
        <f t="shared" si="156"/>
        <v>…</v>
      </c>
      <c r="U195" s="25" t="str">
        <f t="shared" si="156"/>
        <v>…</v>
      </c>
      <c r="V195" s="25" t="str">
        <f t="shared" si="156"/>
        <v>…</v>
      </c>
      <c r="W195" s="25" t="str">
        <f t="shared" si="156"/>
        <v>…</v>
      </c>
      <c r="X195" s="25" t="str">
        <f t="shared" si="156"/>
        <v>…</v>
      </c>
      <c r="Y195" s="25" t="str">
        <f t="shared" si="156"/>
        <v>…</v>
      </c>
      <c r="Z195" s="25"/>
      <c r="AA195" s="25"/>
      <c r="AD195" s="84" t="s">
        <v>1591</v>
      </c>
      <c r="AE195" s="83">
        <v>0</v>
      </c>
      <c r="AG195" s="5"/>
      <c r="AY195" s="25"/>
    </row>
    <row r="196" spans="1:51" s="33" customFormat="1" ht="11.25" hidden="1" customHeight="1" outlineLevel="1">
      <c r="A196" s="5"/>
      <c r="C196" s="44" t="s">
        <v>370</v>
      </c>
      <c r="D196" s="25">
        <f t="shared" ref="D196:K196" si="157">IF(ISNUMBER(D197),D197,IF(ISNUMBER(D198),D198,"…"))</f>
        <v>33.000227117874175</v>
      </c>
      <c r="E196" s="25">
        <f t="shared" si="157"/>
        <v>1335.4779411764705</v>
      </c>
      <c r="F196" s="25">
        <f t="shared" si="157"/>
        <v>1434.3629343629345</v>
      </c>
      <c r="G196" s="25">
        <f t="shared" si="157"/>
        <v>1460.9603340292276</v>
      </c>
      <c r="H196" s="25">
        <f t="shared" si="157"/>
        <v>1187.9928315412187</v>
      </c>
      <c r="I196" s="25">
        <f t="shared" si="157"/>
        <v>1560.655737704918</v>
      </c>
      <c r="J196" s="25">
        <f t="shared" si="157"/>
        <v>1756.6901408450706</v>
      </c>
      <c r="K196" s="25">
        <f t="shared" si="157"/>
        <v>1413.1195335276968</v>
      </c>
      <c r="L196" s="25">
        <f t="shared" ref="L196:R196" si="158">IF(ISNUMBER(L197),L197,IF(ISNUMBER(L198),L198,"…"))</f>
        <v>2219.1542288557216</v>
      </c>
      <c r="M196" s="48">
        <f t="shared" si="158"/>
        <v>3403.0917874396137</v>
      </c>
      <c r="N196" s="48">
        <f t="shared" si="158"/>
        <v>3754.0169133192385</v>
      </c>
      <c r="O196" s="48">
        <f t="shared" si="158"/>
        <v>3815.1101783840504</v>
      </c>
      <c r="P196" s="48">
        <f t="shared" si="158"/>
        <v>3890.1452282157675</v>
      </c>
      <c r="Q196" s="48">
        <f t="shared" si="158"/>
        <v>3919.6787148594376</v>
      </c>
      <c r="R196" s="48">
        <f t="shared" si="158"/>
        <v>4050.3546099290784</v>
      </c>
      <c r="S196" s="48">
        <f t="shared" ref="S196:Y196" si="159">IF(ISNUMBER(S197),S197,IF(ISNUMBER(S198),S198,"…"))</f>
        <v>4388.5228480340065</v>
      </c>
      <c r="T196" s="48">
        <f t="shared" si="159"/>
        <v>4855.0282485875705</v>
      </c>
      <c r="U196" s="48">
        <f t="shared" si="159"/>
        <v>5102.8571428571431</v>
      </c>
      <c r="V196" s="48">
        <f t="shared" si="159"/>
        <v>5887.4285714285716</v>
      </c>
      <c r="W196" s="48">
        <f t="shared" si="159"/>
        <v>5214.5795918367348</v>
      </c>
      <c r="X196" s="48">
        <f t="shared" si="159"/>
        <v>4618.6276384839648</v>
      </c>
      <c r="Y196" s="48">
        <f t="shared" si="159"/>
        <v>4090.7844798000829</v>
      </c>
      <c r="Z196" s="48"/>
      <c r="AA196" s="48"/>
      <c r="AG196" s="5"/>
      <c r="AY196" s="48"/>
    </row>
    <row r="197" spans="1:51" s="33" customFormat="1" hidden="1" outlineLevel="1">
      <c r="A197" s="5"/>
      <c r="C197" s="43" t="s">
        <v>156</v>
      </c>
      <c r="D197" s="48" t="str">
        <f t="shared" ref="D197:Y197" si="160">IF(D$8="A",IFERROR(IFERROR(C248/(D200+1/2),"…"),"…"),IF(D$8="L","…",IF(D$8="E",IFERROR(C248/(D200+1/2),"…"),"…")))</f>
        <v>…</v>
      </c>
      <c r="E197" s="48">
        <f t="shared" si="160"/>
        <v>1335.4779411764705</v>
      </c>
      <c r="F197" s="48">
        <f t="shared" si="160"/>
        <v>1434.3629343629345</v>
      </c>
      <c r="G197" s="48">
        <f t="shared" si="160"/>
        <v>1460.9603340292276</v>
      </c>
      <c r="H197" s="48">
        <f t="shared" si="160"/>
        <v>1187.9928315412187</v>
      </c>
      <c r="I197" s="48">
        <f t="shared" si="160"/>
        <v>1560.655737704918</v>
      </c>
      <c r="J197" s="48">
        <f t="shared" si="160"/>
        <v>1756.6901408450706</v>
      </c>
      <c r="K197" s="48">
        <f t="shared" si="160"/>
        <v>1413.1195335276968</v>
      </c>
      <c r="L197" s="48">
        <f t="shared" si="160"/>
        <v>2219.1542288557216</v>
      </c>
      <c r="M197" s="48">
        <f t="shared" si="160"/>
        <v>3403.0917874396137</v>
      </c>
      <c r="N197" s="48">
        <f t="shared" si="160"/>
        <v>3754.0169133192385</v>
      </c>
      <c r="O197" s="48">
        <f t="shared" si="160"/>
        <v>3815.1101783840504</v>
      </c>
      <c r="P197" s="48">
        <f t="shared" si="160"/>
        <v>3890.1452282157675</v>
      </c>
      <c r="Q197" s="48">
        <f>IF(Q$8="A",IFERROR(IFERROR(P248/(Q200+1/2),"…"),"…"),IF(Q$8="L","…",IF(Q$8="E",IFERROR(P248/(Q200+1/2),"…"),"…")))</f>
        <v>3919.6787148594376</v>
      </c>
      <c r="R197" s="48">
        <f t="shared" si="160"/>
        <v>4050.3546099290784</v>
      </c>
      <c r="S197" s="48">
        <f t="shared" si="160"/>
        <v>4388.5228480340065</v>
      </c>
      <c r="T197" s="48">
        <f t="shared" si="160"/>
        <v>4855.0282485875705</v>
      </c>
      <c r="U197" s="48">
        <f t="shared" si="160"/>
        <v>5102.8571428571431</v>
      </c>
      <c r="V197" s="48">
        <f t="shared" si="160"/>
        <v>5887.4285714285716</v>
      </c>
      <c r="W197" s="48">
        <f t="shared" si="160"/>
        <v>5214.5795918367348</v>
      </c>
      <c r="X197" s="48">
        <f t="shared" si="160"/>
        <v>4618.6276384839648</v>
      </c>
      <c r="Y197" s="48">
        <f t="shared" si="160"/>
        <v>4090.7844798000829</v>
      </c>
      <c r="Z197" s="48"/>
      <c r="AA197" s="48"/>
      <c r="AG197" s="5"/>
      <c r="AY197" s="48"/>
    </row>
    <row r="198" spans="1:51" s="33" customFormat="1" hidden="1" outlineLevel="1">
      <c r="A198" s="5"/>
      <c r="C198" s="43" t="s">
        <v>157</v>
      </c>
      <c r="D198" s="48">
        <f t="shared" ref="D198:J198" si="161">IF(D$8="A",IFERROR(IFERROR(D267/(D200),"…"),"…"),IF(D$8="L","…",IF(D$8="E",IFERROR(D267/(D200),"…"),"…")))</f>
        <v>33.000227117874175</v>
      </c>
      <c r="E198" s="48">
        <f t="shared" si="161"/>
        <v>1487.3481781376518</v>
      </c>
      <c r="F198" s="48">
        <f t="shared" si="161"/>
        <v>1541.4529914529915</v>
      </c>
      <c r="G198" s="48">
        <f t="shared" si="161"/>
        <v>1588.2284382284381</v>
      </c>
      <c r="H198" s="48">
        <f t="shared" si="161"/>
        <v>1589.4685039370079</v>
      </c>
      <c r="I198" s="48">
        <f t="shared" si="161"/>
        <v>1740.8928571428573</v>
      </c>
      <c r="J198" s="48">
        <f t="shared" si="161"/>
        <v>1898.8416988416989</v>
      </c>
      <c r="K198" s="48">
        <f t="shared" ref="K198:R198" si="162">IF(K$8="A",IFERROR(IFERROR(K267/(K200+1/2),"…"),"…"),IF(K$8="L","…",IF(K$8="E",IFERROR(K267/(K200),"…"),"…")))</f>
        <v>2006.9970845481048</v>
      </c>
      <c r="L198" s="48">
        <f t="shared" si="162"/>
        <v>3300.0000000000005</v>
      </c>
      <c r="M198" s="48">
        <f t="shared" si="162"/>
        <v>3417.1497584541062</v>
      </c>
      <c r="N198" s="48">
        <f t="shared" si="162"/>
        <v>3798.6786469344606</v>
      </c>
      <c r="O198" s="48">
        <f t="shared" si="162"/>
        <v>3875.0786988457503</v>
      </c>
      <c r="P198" s="48">
        <f t="shared" si="162"/>
        <v>3969.9688796680493</v>
      </c>
      <c r="Q198" s="48">
        <f t="shared" si="162"/>
        <v>3966.7168674698792</v>
      </c>
      <c r="R198" s="48">
        <f t="shared" si="162"/>
        <v>4117.1732522796356</v>
      </c>
      <c r="S198" s="48">
        <f t="shared" ref="S198:Y198" si="163">IF(S$8="A",IFERROR(IFERROR(S267/(S200+1/2),"…"),"…"),IF(S$8="L","…",IF(S$8="E",IFERROR(S267/(S200),"…"),"…")))</f>
        <v>4477.3113708820401</v>
      </c>
      <c r="T198" s="48">
        <f t="shared" si="163"/>
        <v>4950.1129943502829</v>
      </c>
      <c r="U198" s="48">
        <f t="shared" si="163"/>
        <v>5495.1428571428569</v>
      </c>
      <c r="V198" s="48" t="str">
        <f t="shared" si="163"/>
        <v>…</v>
      </c>
      <c r="W198" s="48" t="str">
        <f t="shared" si="163"/>
        <v>…</v>
      </c>
      <c r="X198" s="48" t="str">
        <f t="shared" si="163"/>
        <v>…</v>
      </c>
      <c r="Y198" s="48" t="str">
        <f t="shared" si="163"/>
        <v>…</v>
      </c>
      <c r="Z198" s="48"/>
      <c r="AA198" s="48"/>
      <c r="AG198" s="5"/>
      <c r="AY198" s="48"/>
    </row>
    <row r="199" spans="1:51" s="33" customFormat="1" hidden="1" outlineLevel="1">
      <c r="A199" s="5"/>
      <c r="C199" s="44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G199" s="5"/>
      <c r="AY199" s="48"/>
    </row>
    <row r="200" spans="1:51" s="33" customFormat="1" hidden="1" outlineLevel="1">
      <c r="A200" s="5"/>
      <c r="C200" s="29" t="s">
        <v>312</v>
      </c>
      <c r="D200" s="25">
        <f t="shared" ref="D200:I200" si="164">IF(ISNUMBER(D201),D201,IF(ISNUMBER(D202),D202,"…"))</f>
        <v>220.15</v>
      </c>
      <c r="E200" s="25">
        <f t="shared" si="164"/>
        <v>4.9400000000000004</v>
      </c>
      <c r="F200" s="25">
        <f>IF(ISNUMBER(F201),F201,IF(ISNUMBER(F202),F202,"…"))</f>
        <v>4.68</v>
      </c>
      <c r="G200" s="25">
        <f t="shared" si="164"/>
        <v>4.29</v>
      </c>
      <c r="H200" s="25">
        <f t="shared" si="164"/>
        <v>5.08</v>
      </c>
      <c r="I200" s="25">
        <f t="shared" si="164"/>
        <v>5.6</v>
      </c>
      <c r="J200" s="25">
        <f t="shared" ref="J200:Q200" si="165">IF(ISNUMBER(J201),J201,IF(ISNUMBER(J202),J202,IF(ISNUMBER(J206),J206,"…")))</f>
        <v>5.18</v>
      </c>
      <c r="K200" s="25">
        <f t="shared" si="165"/>
        <v>6.36</v>
      </c>
      <c r="L200" s="25">
        <f>IF(ISNUMBER(L201),L201,IF(ISNUMBER(L202),L202,IF(ISNUMBER(L206),L206,"…")))</f>
        <v>7.54</v>
      </c>
      <c r="M200" s="25">
        <f>IF(ISNUMBER(M201),M201,IF(ISNUMBER(M202),M202,IF(ISNUMBER(M206),M206,"…")))</f>
        <v>9.85</v>
      </c>
      <c r="N200" s="25">
        <f t="shared" si="165"/>
        <v>8.9600000000000009</v>
      </c>
      <c r="O200" s="25">
        <f t="shared" si="165"/>
        <v>9.0299999999999994</v>
      </c>
      <c r="P200" s="25">
        <f t="shared" si="165"/>
        <v>9.14</v>
      </c>
      <c r="Q200" s="25">
        <f t="shared" si="165"/>
        <v>9.4600000000000009</v>
      </c>
      <c r="R200" s="25">
        <f t="shared" ref="R200:Y200" si="166">IF(ISNUMBER(R201),R201,IF(ISNUMBER(R202),R202,IF(ISNUMBER(R206),R206,"…")))</f>
        <v>9.3699999999999992</v>
      </c>
      <c r="S200" s="25">
        <f t="shared" si="166"/>
        <v>8.91</v>
      </c>
      <c r="T200" s="25">
        <f t="shared" si="166"/>
        <v>8.35</v>
      </c>
      <c r="U200" s="25">
        <f t="shared" si="166"/>
        <v>8.25</v>
      </c>
      <c r="V200" s="25">
        <f t="shared" si="166"/>
        <v>8.25</v>
      </c>
      <c r="W200" s="25">
        <f t="shared" si="166"/>
        <v>8.25</v>
      </c>
      <c r="X200" s="25">
        <f t="shared" si="166"/>
        <v>8.25</v>
      </c>
      <c r="Y200" s="25">
        <f t="shared" si="166"/>
        <v>8.25</v>
      </c>
      <c r="Z200" s="25"/>
      <c r="AA200" s="25"/>
      <c r="AG200" s="5"/>
      <c r="AY200" s="25"/>
    </row>
    <row r="201" spans="1:51" s="33" customFormat="1" hidden="1" outlineLevel="1">
      <c r="A201" s="5"/>
      <c r="C201" s="38" t="s">
        <v>310</v>
      </c>
      <c r="D201" s="25">
        <f t="shared" ref="D201:R201" si="167">IF(D$8="A",IFERROR(ROUND(D267/D191,2),IFERROR(ROUND(D267/D192,2),"…")),IF(D$8="L","…","…"))</f>
        <v>220.15</v>
      </c>
      <c r="E201" s="25">
        <f t="shared" si="167"/>
        <v>4.9400000000000004</v>
      </c>
      <c r="F201" s="25">
        <f t="shared" si="167"/>
        <v>4.68</v>
      </c>
      <c r="G201" s="25">
        <f t="shared" si="167"/>
        <v>4.29</v>
      </c>
      <c r="H201" s="25">
        <f t="shared" si="167"/>
        <v>5.08</v>
      </c>
      <c r="I201" s="25">
        <f t="shared" si="167"/>
        <v>5.6</v>
      </c>
      <c r="J201" s="25">
        <f t="shared" si="167"/>
        <v>5.18</v>
      </c>
      <c r="K201" s="25">
        <f t="shared" si="167"/>
        <v>6.36</v>
      </c>
      <c r="L201" s="25">
        <f t="shared" si="167"/>
        <v>7.54</v>
      </c>
      <c r="M201" s="25">
        <f t="shared" si="167"/>
        <v>9.85</v>
      </c>
      <c r="N201" s="25">
        <f t="shared" si="167"/>
        <v>8.9600000000000009</v>
      </c>
      <c r="O201" s="25">
        <f t="shared" si="167"/>
        <v>9.0299999999999994</v>
      </c>
      <c r="P201" s="25">
        <f t="shared" si="167"/>
        <v>9.14</v>
      </c>
      <c r="Q201" s="25">
        <f t="shared" si="167"/>
        <v>9.4600000000000009</v>
      </c>
      <c r="R201" s="25">
        <f t="shared" si="167"/>
        <v>9.3699999999999992</v>
      </c>
      <c r="S201" s="25">
        <f t="shared" ref="S201:Y201" si="168">IF(S$8="A",IFERROR(ROUND(S267/S191,2),IFERROR(ROUND(S267/S192,2),"…")),IF(S$8="L","…","…"))</f>
        <v>8.91</v>
      </c>
      <c r="T201" s="25">
        <f t="shared" si="168"/>
        <v>8.35</v>
      </c>
      <c r="U201" s="25">
        <f t="shared" si="168"/>
        <v>8.25</v>
      </c>
      <c r="V201" s="25" t="str">
        <f t="shared" si="168"/>
        <v>…</v>
      </c>
      <c r="W201" s="25" t="str">
        <f t="shared" si="168"/>
        <v>…</v>
      </c>
      <c r="X201" s="25" t="str">
        <f t="shared" si="168"/>
        <v>…</v>
      </c>
      <c r="Y201" s="25" t="str">
        <f t="shared" si="168"/>
        <v>…</v>
      </c>
      <c r="Z201" s="25"/>
      <c r="AA201" s="25"/>
      <c r="AG201" s="5"/>
      <c r="AY201" s="25"/>
    </row>
    <row r="202" spans="1:51" s="33" customFormat="1" hidden="1" outlineLevel="1">
      <c r="A202" s="5"/>
      <c r="C202" s="38" t="s">
        <v>311</v>
      </c>
      <c r="D202" s="25">
        <f>IF(ISNUMBER(D203),D203,IF(ISNUMBER(D204),D204,IF(ISNUMBER(D205),D205,"…")))</f>
        <v>4.9400000000000004</v>
      </c>
      <c r="E202" s="25">
        <f t="shared" ref="E202:K202" si="169">IF(ISNUMBER(E203),E203,IF(ISNUMBER(E204),E204,IF(ISNUMBER(E205),E205,"…")))</f>
        <v>112.41500000000001</v>
      </c>
      <c r="F202" s="25">
        <f>IF(ISNUMBER(F203),F203,IF(ISNUMBER(F204),F204,IF(ISNUMBER(F205),F205,"…")))</f>
        <v>4.6150000000000002</v>
      </c>
      <c r="G202" s="25">
        <f t="shared" si="169"/>
        <v>4.88</v>
      </c>
      <c r="H202" s="25">
        <f t="shared" si="169"/>
        <v>4.9450000000000003</v>
      </c>
      <c r="I202" s="25">
        <f t="shared" si="169"/>
        <v>5.13</v>
      </c>
      <c r="J202" s="25">
        <f t="shared" si="169"/>
        <v>5.98</v>
      </c>
      <c r="K202" s="25">
        <f t="shared" si="169"/>
        <v>6.3599999999999994</v>
      </c>
      <c r="L202" s="25">
        <f t="shared" ref="L202:R202" si="170">IF(ISNUMBER(L203),L203,IF(ISNUMBER(L204),L204,IF(ISNUMBER(L205),L205,"…")))</f>
        <v>8.1050000000000004</v>
      </c>
      <c r="M202" s="25">
        <f t="shared" si="170"/>
        <v>8.25</v>
      </c>
      <c r="N202" s="25">
        <f t="shared" si="170"/>
        <v>9.44</v>
      </c>
      <c r="O202" s="25">
        <f t="shared" si="170"/>
        <v>8.995000000000001</v>
      </c>
      <c r="P202" s="25">
        <f t="shared" si="170"/>
        <v>9.0850000000000009</v>
      </c>
      <c r="Q202" s="25">
        <f t="shared" si="170"/>
        <v>9.14</v>
      </c>
      <c r="R202" s="25">
        <f t="shared" si="170"/>
        <v>9.4600000000000009</v>
      </c>
      <c r="S202" s="25">
        <f t="shared" ref="S202:Y202" si="171">IF(ISNUMBER(S203),S203,IF(ISNUMBER(S204),S204,IF(ISNUMBER(S205),S205,"…")))</f>
        <v>9.3699999999999992</v>
      </c>
      <c r="T202" s="25">
        <f t="shared" si="171"/>
        <v>8.91</v>
      </c>
      <c r="U202" s="25">
        <f t="shared" si="171"/>
        <v>8.35</v>
      </c>
      <c r="V202" s="25" t="str">
        <f t="shared" si="171"/>
        <v>…</v>
      </c>
      <c r="W202" s="25" t="str">
        <f t="shared" si="171"/>
        <v>…</v>
      </c>
      <c r="X202" s="25" t="str">
        <f t="shared" si="171"/>
        <v>…</v>
      </c>
      <c r="Y202" s="25" t="str">
        <f t="shared" si="171"/>
        <v>…</v>
      </c>
      <c r="Z202" s="25"/>
      <c r="AA202" s="25"/>
      <c r="AD202" s="33" t="s">
        <v>313</v>
      </c>
      <c r="AG202" s="5"/>
      <c r="AY202" s="25"/>
    </row>
    <row r="203" spans="1:51" s="33" customFormat="1" hidden="1" outlineLevel="1">
      <c r="A203" s="5"/>
      <c r="C203" s="43" t="s">
        <v>156</v>
      </c>
      <c r="D203" s="48">
        <f t="shared" ref="D203:P203" si="172">IF(D$8="A",IFERROR(AVERAGE(C201,E206),"…"),IF(D$8="L","…","…"))</f>
        <v>4.9400000000000004</v>
      </c>
      <c r="E203" s="48">
        <f t="shared" si="172"/>
        <v>112.41500000000001</v>
      </c>
      <c r="F203" s="48">
        <f t="shared" si="172"/>
        <v>4.6150000000000002</v>
      </c>
      <c r="G203" s="48">
        <f t="shared" si="172"/>
        <v>4.88</v>
      </c>
      <c r="H203" s="48">
        <f t="shared" si="172"/>
        <v>4.9450000000000003</v>
      </c>
      <c r="I203" s="48">
        <f t="shared" si="172"/>
        <v>5.13</v>
      </c>
      <c r="J203" s="48">
        <f t="shared" si="172"/>
        <v>5.98</v>
      </c>
      <c r="K203" s="48">
        <f t="shared" si="172"/>
        <v>6.3599999999999994</v>
      </c>
      <c r="L203" s="48">
        <f>IF(L$8="A",IFERROR(AVERAGE(K201,M206),"…"),IF(L$8="L","…","…"))</f>
        <v>8.1050000000000004</v>
      </c>
      <c r="M203" s="48">
        <f>IF(M$8="A",IFERROR(AVERAGE(L201,N206),"…"),IF(M$8="L","…","…"))</f>
        <v>8.25</v>
      </c>
      <c r="N203" s="48">
        <f>IF(N$8="A",IFERROR(AVERAGE(M201,O206),"…"),IF(N$8="L","…","…"))</f>
        <v>9.44</v>
      </c>
      <c r="O203" s="48">
        <f>IF(O$8="A",IFERROR(AVERAGE(N201,P206),"…"),IF(O$8="L","…","…"))</f>
        <v>8.995000000000001</v>
      </c>
      <c r="P203" s="48">
        <f t="shared" si="172"/>
        <v>9.0850000000000009</v>
      </c>
      <c r="Q203" s="48">
        <f t="shared" ref="Q203:Y203" si="173">IF(Q$8="A",IFERROR(AVERAGE(P201,AC206),"…"),IF(Q$8="L","…","…"))</f>
        <v>9.14</v>
      </c>
      <c r="R203" s="48">
        <f t="shared" si="173"/>
        <v>9.4600000000000009</v>
      </c>
      <c r="S203" s="48">
        <f t="shared" si="173"/>
        <v>9.3699999999999992</v>
      </c>
      <c r="T203" s="48">
        <f t="shared" si="173"/>
        <v>8.91</v>
      </c>
      <c r="U203" s="48">
        <f t="shared" si="173"/>
        <v>8.35</v>
      </c>
      <c r="V203" s="48" t="str">
        <f t="shared" si="173"/>
        <v>…</v>
      </c>
      <c r="W203" s="48" t="str">
        <f t="shared" si="173"/>
        <v>…</v>
      </c>
      <c r="X203" s="48" t="str">
        <f t="shared" si="173"/>
        <v>…</v>
      </c>
      <c r="Y203" s="48" t="str">
        <f t="shared" si="173"/>
        <v>…</v>
      </c>
      <c r="Z203" s="48"/>
      <c r="AA203" s="48"/>
      <c r="AG203" s="5"/>
      <c r="AY203" s="48"/>
    </row>
    <row r="204" spans="1:51" s="33" customFormat="1" hidden="1" outlineLevel="1">
      <c r="A204" s="5"/>
      <c r="C204" s="43" t="s">
        <v>157</v>
      </c>
      <c r="D204" s="48">
        <f t="shared" ref="D204:Y204" si="174">IF(D$8="A",IFERROR(AVERAGE($D$201:$O$201),"…"),"…")</f>
        <v>24.305000000000003</v>
      </c>
      <c r="E204" s="48">
        <f t="shared" si="174"/>
        <v>24.305000000000003</v>
      </c>
      <c r="F204" s="48">
        <f t="shared" si="174"/>
        <v>24.305000000000003</v>
      </c>
      <c r="G204" s="48">
        <f t="shared" si="174"/>
        <v>24.305000000000003</v>
      </c>
      <c r="H204" s="48">
        <f t="shared" si="174"/>
        <v>24.305000000000003</v>
      </c>
      <c r="I204" s="48">
        <f t="shared" si="174"/>
        <v>24.305000000000003</v>
      </c>
      <c r="J204" s="48">
        <f t="shared" si="174"/>
        <v>24.305000000000003</v>
      </c>
      <c r="K204" s="48">
        <f t="shared" si="174"/>
        <v>24.305000000000003</v>
      </c>
      <c r="L204" s="48">
        <f t="shared" si="174"/>
        <v>24.305000000000003</v>
      </c>
      <c r="M204" s="48">
        <f t="shared" si="174"/>
        <v>24.305000000000003</v>
      </c>
      <c r="N204" s="48">
        <f t="shared" si="174"/>
        <v>24.305000000000003</v>
      </c>
      <c r="O204" s="48">
        <f t="shared" si="174"/>
        <v>24.305000000000003</v>
      </c>
      <c r="P204" s="48">
        <f t="shared" si="174"/>
        <v>24.305000000000003</v>
      </c>
      <c r="Q204" s="48">
        <f t="shared" si="174"/>
        <v>24.305000000000003</v>
      </c>
      <c r="R204" s="48">
        <f t="shared" si="174"/>
        <v>24.305000000000003</v>
      </c>
      <c r="S204" s="48">
        <f t="shared" si="174"/>
        <v>24.305000000000003</v>
      </c>
      <c r="T204" s="48">
        <f t="shared" si="174"/>
        <v>24.305000000000003</v>
      </c>
      <c r="U204" s="48">
        <f t="shared" si="174"/>
        <v>24.305000000000003</v>
      </c>
      <c r="V204" s="48" t="str">
        <f t="shared" si="174"/>
        <v>…</v>
      </c>
      <c r="W204" s="48" t="str">
        <f t="shared" si="174"/>
        <v>…</v>
      </c>
      <c r="X204" s="48" t="str">
        <f t="shared" si="174"/>
        <v>…</v>
      </c>
      <c r="Y204" s="48" t="str">
        <f t="shared" si="174"/>
        <v>…</v>
      </c>
      <c r="Z204" s="48"/>
      <c r="AA204" s="48"/>
      <c r="AG204" s="5"/>
      <c r="AY204" s="48"/>
    </row>
    <row r="205" spans="1:51" s="33" customFormat="1" ht="13.15" hidden="1" outlineLevel="1">
      <c r="A205" s="5"/>
      <c r="C205" s="43" t="s">
        <v>366</v>
      </c>
      <c r="D205" s="48">
        <f t="shared" ref="D205:Q205" si="175">IF(D$8="A",$AE$205,"…")</f>
        <v>3</v>
      </c>
      <c r="E205" s="48">
        <f t="shared" si="175"/>
        <v>3</v>
      </c>
      <c r="F205" s="48">
        <f t="shared" si="175"/>
        <v>3</v>
      </c>
      <c r="G205" s="48">
        <f t="shared" si="175"/>
        <v>3</v>
      </c>
      <c r="H205" s="48">
        <f t="shared" si="175"/>
        <v>3</v>
      </c>
      <c r="I205" s="48">
        <f t="shared" si="175"/>
        <v>3</v>
      </c>
      <c r="J205" s="48">
        <f t="shared" si="175"/>
        <v>3</v>
      </c>
      <c r="K205" s="48">
        <f t="shared" si="175"/>
        <v>3</v>
      </c>
      <c r="L205" s="48">
        <f t="shared" si="175"/>
        <v>3</v>
      </c>
      <c r="M205" s="48">
        <f t="shared" si="175"/>
        <v>3</v>
      </c>
      <c r="N205" s="48">
        <f t="shared" si="175"/>
        <v>3</v>
      </c>
      <c r="O205" s="48">
        <f t="shared" si="175"/>
        <v>3</v>
      </c>
      <c r="P205" s="48">
        <f t="shared" si="175"/>
        <v>3</v>
      </c>
      <c r="Q205" s="48">
        <f t="shared" si="175"/>
        <v>3</v>
      </c>
      <c r="R205" s="48">
        <f t="shared" ref="R205:Y205" si="176">IF(R$8="A",6,"…")</f>
        <v>6</v>
      </c>
      <c r="S205" s="48">
        <f t="shared" si="176"/>
        <v>6</v>
      </c>
      <c r="T205" s="48">
        <f t="shared" si="176"/>
        <v>6</v>
      </c>
      <c r="U205" s="48">
        <f t="shared" si="176"/>
        <v>6</v>
      </c>
      <c r="V205" s="48" t="str">
        <f t="shared" si="176"/>
        <v>…</v>
      </c>
      <c r="W205" s="48" t="str">
        <f t="shared" si="176"/>
        <v>…</v>
      </c>
      <c r="X205" s="48" t="str">
        <f t="shared" si="176"/>
        <v>…</v>
      </c>
      <c r="Y205" s="48" t="str">
        <f t="shared" si="176"/>
        <v>…</v>
      </c>
      <c r="Z205" s="48"/>
      <c r="AA205" s="48"/>
      <c r="AD205" s="33" t="s">
        <v>1740</v>
      </c>
      <c r="AE205" s="98">
        <v>3</v>
      </c>
      <c r="AG205" s="5"/>
      <c r="AY205" s="48"/>
    </row>
    <row r="206" spans="1:51" s="33" customFormat="1" hidden="1" outlineLevel="1">
      <c r="A206" s="5"/>
      <c r="C206" s="38" t="s">
        <v>357</v>
      </c>
      <c r="D206" s="25">
        <f t="shared" ref="D206:Y206" si="177">IF($AG$19=1,D207,IF(ISNUMBER(D208),D208,IF(ISNUMBER(D209),D209,"…")))</f>
        <v>220.15</v>
      </c>
      <c r="E206" s="25">
        <f t="shared" si="177"/>
        <v>4.9400000000000004</v>
      </c>
      <c r="F206" s="25">
        <f t="shared" si="177"/>
        <v>4.68</v>
      </c>
      <c r="G206" s="25">
        <f t="shared" si="177"/>
        <v>4.29</v>
      </c>
      <c r="H206" s="25">
        <f t="shared" si="177"/>
        <v>5.08</v>
      </c>
      <c r="I206" s="25">
        <f t="shared" si="177"/>
        <v>5.6</v>
      </c>
      <c r="J206" s="25">
        <f t="shared" si="177"/>
        <v>5.18</v>
      </c>
      <c r="K206" s="25">
        <f t="shared" si="177"/>
        <v>6.36</v>
      </c>
      <c r="L206" s="25">
        <f t="shared" si="177"/>
        <v>7.54</v>
      </c>
      <c r="M206" s="25">
        <f t="shared" si="177"/>
        <v>9.85</v>
      </c>
      <c r="N206" s="25">
        <f t="shared" si="177"/>
        <v>8.9600000000000009</v>
      </c>
      <c r="O206" s="25">
        <f t="shared" si="177"/>
        <v>9.0299999999999994</v>
      </c>
      <c r="P206" s="25">
        <f t="shared" si="177"/>
        <v>9.0299999999999994</v>
      </c>
      <c r="Q206" s="25">
        <f t="shared" si="177"/>
        <v>9.14</v>
      </c>
      <c r="R206" s="25">
        <f t="shared" si="177"/>
        <v>9.4600000000000009</v>
      </c>
      <c r="S206" s="25">
        <f t="shared" si="177"/>
        <v>9.3699999999999992</v>
      </c>
      <c r="T206" s="25">
        <f t="shared" si="177"/>
        <v>8.91</v>
      </c>
      <c r="U206" s="25">
        <f t="shared" si="177"/>
        <v>8.35</v>
      </c>
      <c r="V206" s="25">
        <f t="shared" si="177"/>
        <v>8.25</v>
      </c>
      <c r="W206" s="25">
        <f t="shared" si="177"/>
        <v>8.25</v>
      </c>
      <c r="X206" s="25">
        <f t="shared" si="177"/>
        <v>8.25</v>
      </c>
      <c r="Y206" s="25">
        <f t="shared" si="177"/>
        <v>8.25</v>
      </c>
      <c r="Z206" s="25"/>
      <c r="AA206" s="25"/>
      <c r="AG206" s="5"/>
      <c r="AY206" s="25"/>
    </row>
    <row r="207" spans="1:51" s="33" customFormat="1" hidden="1" outlineLevel="1">
      <c r="A207" s="5"/>
      <c r="C207" s="43" t="s">
        <v>1553</v>
      </c>
      <c r="D207" s="25">
        <f t="shared" ref="D207:O207" si="178">IF(D8="A",D201,IF(C8&lt;&gt;D8,C201,C207))</f>
        <v>220.15</v>
      </c>
      <c r="E207" s="25">
        <f t="shared" si="178"/>
        <v>4.9400000000000004</v>
      </c>
      <c r="F207" s="25">
        <f t="shared" si="178"/>
        <v>4.68</v>
      </c>
      <c r="G207" s="25">
        <f t="shared" si="178"/>
        <v>4.29</v>
      </c>
      <c r="H207" s="25">
        <f t="shared" si="178"/>
        <v>5.08</v>
      </c>
      <c r="I207" s="25">
        <f t="shared" si="178"/>
        <v>5.6</v>
      </c>
      <c r="J207" s="25">
        <f t="shared" si="178"/>
        <v>5.18</v>
      </c>
      <c r="K207" s="25">
        <f t="shared" si="178"/>
        <v>6.36</v>
      </c>
      <c r="L207" s="25">
        <f t="shared" si="178"/>
        <v>7.54</v>
      </c>
      <c r="M207" s="25">
        <f t="shared" si="178"/>
        <v>9.85</v>
      </c>
      <c r="N207" s="25">
        <f t="shared" si="178"/>
        <v>8.9600000000000009</v>
      </c>
      <c r="O207" s="25">
        <f t="shared" si="178"/>
        <v>9.0299999999999994</v>
      </c>
      <c r="P207" s="48">
        <f t="shared" ref="P207:Y207" si="179">IF(P8="A",O201,IF(O8&lt;&gt;P8,O201,O207))</f>
        <v>9.0299999999999994</v>
      </c>
      <c r="Q207" s="48">
        <f t="shared" si="179"/>
        <v>9.14</v>
      </c>
      <c r="R207" s="48">
        <f t="shared" si="179"/>
        <v>9.4600000000000009</v>
      </c>
      <c r="S207" s="48">
        <f t="shared" si="179"/>
        <v>9.3699999999999992</v>
      </c>
      <c r="T207" s="48">
        <f t="shared" si="179"/>
        <v>8.91</v>
      </c>
      <c r="U207" s="48">
        <f t="shared" si="179"/>
        <v>8.35</v>
      </c>
      <c r="V207" s="48">
        <f t="shared" si="179"/>
        <v>8.25</v>
      </c>
      <c r="W207" s="48">
        <f t="shared" si="179"/>
        <v>8.25</v>
      </c>
      <c r="X207" s="48">
        <f t="shared" si="179"/>
        <v>8.25</v>
      </c>
      <c r="Y207" s="48">
        <f t="shared" si="179"/>
        <v>8.25</v>
      </c>
      <c r="Z207" s="48"/>
      <c r="AA207" s="48"/>
      <c r="AG207" s="5"/>
      <c r="AY207" s="48"/>
    </row>
    <row r="208" spans="1:51" s="33" customFormat="1" hidden="1" outlineLevel="1">
      <c r="A208" s="5"/>
      <c r="C208" s="43" t="s">
        <v>156</v>
      </c>
      <c r="D208" s="48" t="str">
        <f>IF(D8="E",IFERROR(AVERAGE($H201:$O201)+COUNTIFS($D8:D8,"E")/2,"…"),"…")</f>
        <v>…</v>
      </c>
      <c r="E208" s="48" t="str">
        <f>IF(E8="E",IFERROR(AVERAGE($H201:$O201)+COUNTIFS($D8:E8,"E")/2,"…"),"…")</f>
        <v>…</v>
      </c>
      <c r="F208" s="48" t="str">
        <f>IF(F8="E",IFERROR(AVERAGE($H201:$O201)+COUNTIFS($D8:F8,"E")/2,"…"),"…")</f>
        <v>…</v>
      </c>
      <c r="G208" s="48" t="str">
        <f>IF(G8="E",IFERROR(AVERAGE($H201:$O201)+COUNTIFS($D8:G8,"E")/2,"…"),"…")</f>
        <v>…</v>
      </c>
      <c r="H208" s="48" t="str">
        <f>IF(H8="E",IFERROR(AVERAGE($H201:$O201)+COUNTIFS($D8:H8,"E")/2,"…"),"…")</f>
        <v>…</v>
      </c>
      <c r="I208" s="48" t="str">
        <f>IF(I8="E",IFERROR(AVERAGE($H201:$O201)+COUNTIFS($D8:I8,"E")/2,"…"),"…")</f>
        <v>…</v>
      </c>
      <c r="J208" s="48" t="str">
        <f>IF(J8="E",IFERROR(AVERAGE($H201:$O201)+COUNTIFS($D8:J8,"E")/2,"…"),"…")</f>
        <v>…</v>
      </c>
      <c r="K208" s="48" t="str">
        <f>IF(K8="E",IFERROR(AVERAGE($H201:$O201)+COUNTIFS($D8:K8,"E")/2,"…"),"…")</f>
        <v>…</v>
      </c>
      <c r="L208" s="48" t="str">
        <f>IF(L8="E",IFERROR(AVERAGE($H201:$O201)+COUNTIFS($D8:L8,"E")/2,"…"),"…")</f>
        <v>…</v>
      </c>
      <c r="M208" s="48" t="str">
        <f>IF(M8="E",IFERROR(AVERAGE($K201:$O201)+COUNTIFS($D8:M8,"E")/2,"…"),"…")</f>
        <v>…</v>
      </c>
      <c r="N208" s="48" t="str">
        <f>IF(N8="E",IFERROR(AVERAGE($K201:$O201)+COUNTIFS($D8:N8,"E")/2,"…"),"…")</f>
        <v>…</v>
      </c>
      <c r="O208" s="48" t="str">
        <f>IF(O8="E",IFERROR(AVERAGE($K201:$O201)+COUNTIFS($D8:O8,"E")/2,"…"),"…")</f>
        <v>…</v>
      </c>
      <c r="P208" s="48" t="str">
        <f>IF(P8="E",IFERROR(AVERAGE($K201:$O201)+COUNTIFS($D8:P8,"E")/2,"…"),"…")</f>
        <v>…</v>
      </c>
      <c r="Q208" s="48" t="str">
        <f>IF(Q8="E",IFERROR(AVERAGE($K201:$O201)+COUNTIFS($D8:Q8,"E")/2,"…"),"…")</f>
        <v>…</v>
      </c>
      <c r="R208" s="48" t="str">
        <f>IF(R8="E",IFERROR(AVERAGE($K201:$O201)+COUNTIFS($D8:R8,"E")/2,"…"),"…")</f>
        <v>…</v>
      </c>
      <c r="S208" s="48" t="str">
        <f>IF(S8="E",IFERROR(AVERAGE($K201:$O201)+COUNTIFS($D8:S8,"E")/2,"…"),"…")</f>
        <v>…</v>
      </c>
      <c r="T208" s="48" t="str">
        <f>IF(T8="E",IFERROR(AVERAGE($K201:$O201)+COUNTIFS($D8:T8,"E")/2,"…"),"…")</f>
        <v>…</v>
      </c>
      <c r="U208" s="48" t="str">
        <f>IF(U8="E",IFERROR(AVERAGE($K201:$O201)+COUNTIFS($D8:U8,"E")/2,"…"),"…")</f>
        <v>…</v>
      </c>
      <c r="V208" s="48">
        <f>IF(V8="E",IFERROR(AVERAGE($K201:$U201)+COUNTIFS($D8:V8,"E")/2,"…"),"…")</f>
        <v>9.1563636363636363</v>
      </c>
      <c r="W208" s="48">
        <f>IF(W8="E",IFERROR(AVERAGE($K201:$U201)+COUNTIFS($D8:W8,"E")/2,"…"),"…")</f>
        <v>9.6563636363636363</v>
      </c>
      <c r="X208" s="48">
        <f>IF(X8="E",IFERROR(AVERAGE($K201:$U201)+COUNTIFS($D8:X8,"E")/2,"…"),"…")</f>
        <v>10.156363636363636</v>
      </c>
      <c r="Y208" s="48">
        <f>IF(Y8="E",IFERROR(AVERAGE($K201:$U201)+COUNTIFS($D8:Y8,"E")/2,"…"),"…")</f>
        <v>10.656363636363636</v>
      </c>
      <c r="Z208" s="48"/>
      <c r="AA208" s="48"/>
      <c r="AG208" s="5"/>
      <c r="AY208" s="48"/>
    </row>
    <row r="209" spans="1:72" s="33" customFormat="1" hidden="1" outlineLevel="1">
      <c r="A209" s="5"/>
      <c r="C209" s="43" t="s">
        <v>157</v>
      </c>
      <c r="D209" s="48"/>
      <c r="E209" s="48"/>
      <c r="F209" s="48"/>
      <c r="G209" s="48"/>
      <c r="H209" s="48"/>
      <c r="I209" s="48"/>
      <c r="J209" s="48"/>
      <c r="K209" s="48"/>
      <c r="L209" s="48"/>
      <c r="M209" s="48" t="str">
        <f>IF(M8="E",AVERAGE($H205:$O205)+COUNTIFS($D8:M8,"E")/2,"…")</f>
        <v>…</v>
      </c>
      <c r="N209" s="48" t="str">
        <f>IF(N8="E",AVERAGE($H205:$O205)+COUNTIFS($D8:N8,"E")/2,"…")</f>
        <v>…</v>
      </c>
      <c r="O209" s="48" t="str">
        <f>IF(O8="E",AVERAGE($H205:$O205)+COUNTIFS($D8:O8,"E")/2,"…")</f>
        <v>…</v>
      </c>
      <c r="P209" s="48" t="str">
        <f>IF(P8="E",AVERAGE($H205:$O205)+COUNTIFS($D8:P8,"E")/2,"…")</f>
        <v>…</v>
      </c>
      <c r="Q209" s="48" t="str">
        <f>IF(Q8="E",AVERAGE($H205:$O205)+COUNTIFS($D8:Q8,"E")/2,"…")</f>
        <v>…</v>
      </c>
      <c r="R209" s="48" t="str">
        <f>IF(R8="E",AVERAGE($H205:$O205)+COUNTIFS($D8:R8,"E")/2,"…")</f>
        <v>…</v>
      </c>
      <c r="S209" s="48" t="str">
        <f>IF(S8="E",AVERAGE($H205:$O205)+COUNTIFS($D8:S8,"E")/2,"…")</f>
        <v>…</v>
      </c>
      <c r="T209" s="48" t="str">
        <f>IF(T8="E",AVERAGE($H205:$O205)+COUNTIFS($D8:T8,"E")/2,"…")</f>
        <v>…</v>
      </c>
      <c r="U209" s="48" t="str">
        <f>IF(U8="E",AVERAGE($H205:$O205)+COUNTIFS($D8:U8,"E")/2,"…")</f>
        <v>…</v>
      </c>
      <c r="V209" s="48">
        <f>IF(V8="E",AVERAGE($H205:$O205)+COUNTIFS($D8:V8,"E")/2,"…")</f>
        <v>3.5</v>
      </c>
      <c r="W209" s="48">
        <f>IF(W8="E",AVERAGE($H205:$O205)+COUNTIFS($D8:W8,"E")/2,"…")</f>
        <v>4</v>
      </c>
      <c r="X209" s="48">
        <f>IF(X8="E",AVERAGE($H205:$O205)+COUNTIFS($D8:X8,"E")/2,"…")</f>
        <v>4.5</v>
      </c>
      <c r="Y209" s="48">
        <f>IF(Y8="E",AVERAGE($H205:$O205)+COUNTIFS($D8:Y8,"E")/2,"…")</f>
        <v>5</v>
      </c>
      <c r="Z209" s="48"/>
      <c r="AA209" s="48"/>
      <c r="AG209" s="5"/>
      <c r="AY209" s="48"/>
    </row>
    <row r="210" spans="1:72" s="33" customFormat="1" hidden="1" outlineLevel="1">
      <c r="A210" s="5"/>
      <c r="C210" s="43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G210" s="5"/>
      <c r="AY210" s="48"/>
    </row>
    <row r="211" spans="1:72" s="33" customFormat="1" hidden="1" outlineLevel="1">
      <c r="A211" s="5"/>
      <c r="B211" s="5"/>
      <c r="C211" s="44" t="s">
        <v>295</v>
      </c>
      <c r="D211" s="25">
        <f t="shared" ref="D211:R211" si="180">IF(ISNUMBER(D212),D212,IF(ISNUMBER(D213),D213,IF(ISNUMBER(D214),D214,IF(ISNUMBER(D215),D215,IF(ISNUMBER(D216),D216,IF(ISNUMBER(D217),D217,IF(ISNUMBER(D218),D218,IF(ISNUMBER(D219),D219,"…"))))))))</f>
        <v>33</v>
      </c>
      <c r="E211" s="25">
        <f t="shared" si="180"/>
        <v>1488</v>
      </c>
      <c r="F211" s="25">
        <f t="shared" si="180"/>
        <v>1542</v>
      </c>
      <c r="G211" s="25">
        <f t="shared" si="180"/>
        <v>1589</v>
      </c>
      <c r="H211" s="25">
        <f t="shared" si="180"/>
        <v>1589</v>
      </c>
      <c r="I211" s="25">
        <f t="shared" si="180"/>
        <v>1740</v>
      </c>
      <c r="J211" s="25">
        <f t="shared" si="180"/>
        <v>1899</v>
      </c>
      <c r="K211" s="25">
        <f t="shared" si="180"/>
        <v>2164</v>
      </c>
      <c r="L211" s="25">
        <f t="shared" si="180"/>
        <v>3517</v>
      </c>
      <c r="M211" s="25">
        <f t="shared" si="180"/>
        <v>3589</v>
      </c>
      <c r="N211" s="25">
        <f t="shared" si="180"/>
        <v>4009</v>
      </c>
      <c r="O211" s="25">
        <f t="shared" si="180"/>
        <v>4091</v>
      </c>
      <c r="P211" s="25">
        <f t="shared" si="180"/>
        <v>4187</v>
      </c>
      <c r="Q211" s="25">
        <f t="shared" si="180"/>
        <v>4178</v>
      </c>
      <c r="R211" s="25">
        <f t="shared" si="180"/>
        <v>4337</v>
      </c>
      <c r="S211" s="25">
        <f t="shared" ref="S211:Y211" si="181">IF(ISNUMBER(S212),S212,IF(ISNUMBER(S213),S213,IF(ISNUMBER(S214),S214,IF(ISNUMBER(S215),S215,IF(ISNUMBER(S216),S216,IF(ISNUMBER(S217),S217,IF(ISNUMBER(S218),S218,IF(ISNUMBER(S219),S219,"…"))))))))</f>
        <v>4731</v>
      </c>
      <c r="T211" s="25">
        <f t="shared" si="181"/>
        <v>5249</v>
      </c>
      <c r="U211" s="25">
        <f t="shared" si="181"/>
        <v>5829</v>
      </c>
      <c r="V211" s="25" t="str">
        <f t="shared" si="181"/>
        <v>…</v>
      </c>
      <c r="W211" s="25" t="str">
        <f t="shared" si="181"/>
        <v>…</v>
      </c>
      <c r="X211" s="25" t="str">
        <f t="shared" si="181"/>
        <v>…</v>
      </c>
      <c r="Y211" s="25" t="str">
        <f t="shared" si="181"/>
        <v>…</v>
      </c>
      <c r="Z211" s="25"/>
      <c r="AA211" s="25"/>
      <c r="AB211" s="25"/>
      <c r="AC211" s="2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2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25"/>
      <c r="BL211" s="25"/>
      <c r="BM211" s="25"/>
      <c r="BN211" s="25"/>
      <c r="BO211" s="25"/>
      <c r="BP211" s="25"/>
      <c r="BQ211" s="25"/>
      <c r="BR211" s="27"/>
      <c r="BS211" s="5"/>
      <c r="BT211" s="5"/>
    </row>
    <row r="212" spans="1:72" s="33" customFormat="1" hidden="1" outlineLevel="1">
      <c r="A212" s="5"/>
      <c r="B212" s="5" t="s">
        <v>1581</v>
      </c>
      <c r="C212" s="43" t="s">
        <v>1581</v>
      </c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25" t="s">
        <v>289</v>
      </c>
      <c r="Q212" s="25" t="s">
        <v>289</v>
      </c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2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25"/>
      <c r="BL212" s="25"/>
      <c r="BM212" s="25"/>
      <c r="BN212" s="25"/>
      <c r="BO212" s="25"/>
      <c r="BP212" s="25"/>
      <c r="BQ212" s="25"/>
      <c r="BR212" s="27"/>
      <c r="BS212" s="5"/>
      <c r="BT212" s="5"/>
    </row>
    <row r="213" spans="1:72" hidden="1" outlineLevel="1">
      <c r="B213" s="5" t="s">
        <v>171</v>
      </c>
      <c r="C213" s="43" t="s">
        <v>154</v>
      </c>
      <c r="D213" s="16" t="s">
        <v>289</v>
      </c>
      <c r="E213" s="16" t="s">
        <v>289</v>
      </c>
      <c r="F213" s="16" t="s">
        <v>289</v>
      </c>
      <c r="G213" s="16" t="s">
        <v>289</v>
      </c>
      <c r="H213" s="16" t="s">
        <v>289</v>
      </c>
      <c r="I213" s="16" t="s">
        <v>289</v>
      </c>
      <c r="J213" s="16" t="s">
        <v>289</v>
      </c>
      <c r="K213" s="16" t="s">
        <v>289</v>
      </c>
      <c r="L213" s="16" t="s">
        <v>289</v>
      </c>
      <c r="M213" s="16" t="s">
        <v>289</v>
      </c>
      <c r="N213" s="16" t="s">
        <v>289</v>
      </c>
      <c r="O213" s="16" t="s">
        <v>289</v>
      </c>
      <c r="P213" s="16" t="s">
        <v>289</v>
      </c>
      <c r="Q213" s="16" t="s">
        <v>289</v>
      </c>
      <c r="R213" s="16" t="s">
        <v>289</v>
      </c>
      <c r="S213" s="16" t="s">
        <v>289</v>
      </c>
      <c r="T213" s="16" t="s">
        <v>289</v>
      </c>
      <c r="U213" s="16" t="s">
        <v>289</v>
      </c>
      <c r="V213" s="16" t="s">
        <v>289</v>
      </c>
      <c r="W213" s="16"/>
      <c r="X213" s="16"/>
      <c r="Y213" s="16"/>
      <c r="Z213" s="16"/>
      <c r="AA213" s="16"/>
      <c r="AB213" s="25"/>
      <c r="AC213" s="2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16"/>
      <c r="AZ213" s="5"/>
      <c r="BK213" s="25"/>
      <c r="BL213" s="25"/>
      <c r="BM213" s="25"/>
      <c r="BN213" s="25"/>
      <c r="BO213" s="25"/>
      <c r="BP213" s="25"/>
      <c r="BQ213" s="25"/>
      <c r="BR213" s="27"/>
    </row>
    <row r="214" spans="1:72" hidden="1" outlineLevel="1">
      <c r="B214" s="5" t="s">
        <v>172</v>
      </c>
      <c r="C214" s="43" t="s">
        <v>161</v>
      </c>
      <c r="D214" s="16" t="s">
        <v>289</v>
      </c>
      <c r="E214" s="16" t="s">
        <v>289</v>
      </c>
      <c r="F214" s="16" t="s">
        <v>289</v>
      </c>
      <c r="G214" s="16" t="s">
        <v>289</v>
      </c>
      <c r="H214" s="16" t="s">
        <v>289</v>
      </c>
      <c r="I214" s="16" t="s">
        <v>289</v>
      </c>
      <c r="J214" s="16" t="s">
        <v>289</v>
      </c>
      <c r="K214" s="16" t="s">
        <v>289</v>
      </c>
      <c r="L214" s="16" t="s">
        <v>289</v>
      </c>
      <c r="M214" s="16" t="s">
        <v>289</v>
      </c>
      <c r="N214" s="16" t="s">
        <v>289</v>
      </c>
      <c r="O214" s="16" t="s">
        <v>289</v>
      </c>
      <c r="P214" s="16" t="s">
        <v>289</v>
      </c>
      <c r="Q214" s="16" t="s">
        <v>289</v>
      </c>
      <c r="R214" s="16" t="s">
        <v>289</v>
      </c>
      <c r="S214" s="16" t="s">
        <v>289</v>
      </c>
      <c r="T214" s="16" t="s">
        <v>289</v>
      </c>
      <c r="U214" s="16" t="s">
        <v>289</v>
      </c>
      <c r="V214" s="16" t="s">
        <v>289</v>
      </c>
      <c r="W214" s="16"/>
      <c r="X214" s="16"/>
      <c r="Y214" s="16"/>
      <c r="Z214" s="16"/>
      <c r="AA214" s="16"/>
      <c r="AB214" s="25"/>
      <c r="AC214" s="2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16"/>
      <c r="AZ214" s="5"/>
      <c r="BK214" s="25"/>
      <c r="BL214" s="25"/>
      <c r="BM214" s="25"/>
      <c r="BN214" s="25"/>
      <c r="BO214" s="25"/>
      <c r="BP214" s="25"/>
      <c r="BQ214" s="25"/>
      <c r="BR214" s="27"/>
    </row>
    <row r="215" spans="1:72" hidden="1" outlineLevel="1">
      <c r="B215" s="5" t="s">
        <v>173</v>
      </c>
      <c r="C215" s="43" t="s">
        <v>163</v>
      </c>
      <c r="D215" s="16" t="s">
        <v>289</v>
      </c>
      <c r="E215" s="16" t="s">
        <v>289</v>
      </c>
      <c r="F215" s="16" t="s">
        <v>289</v>
      </c>
      <c r="G215" s="16" t="s">
        <v>289</v>
      </c>
      <c r="H215" s="16" t="s">
        <v>289</v>
      </c>
      <c r="I215" s="16" t="s">
        <v>289</v>
      </c>
      <c r="J215" s="16" t="s">
        <v>289</v>
      </c>
      <c r="K215" s="16" t="s">
        <v>289</v>
      </c>
      <c r="L215" s="16" t="s">
        <v>289</v>
      </c>
      <c r="M215" s="16" t="s">
        <v>289</v>
      </c>
      <c r="N215" s="16" t="s">
        <v>289</v>
      </c>
      <c r="O215" s="16" t="s">
        <v>289</v>
      </c>
      <c r="P215" s="16" t="s">
        <v>289</v>
      </c>
      <c r="Q215" s="16" t="s">
        <v>289</v>
      </c>
      <c r="R215" s="16" t="s">
        <v>289</v>
      </c>
      <c r="S215" s="16" t="s">
        <v>289</v>
      </c>
      <c r="T215" s="16" t="s">
        <v>289</v>
      </c>
      <c r="U215" s="16" t="s">
        <v>289</v>
      </c>
      <c r="V215" s="16" t="s">
        <v>289</v>
      </c>
      <c r="W215" s="16"/>
      <c r="X215" s="16"/>
      <c r="Y215" s="16"/>
      <c r="Z215" s="16"/>
      <c r="AA215" s="16"/>
      <c r="AB215" s="25"/>
      <c r="AC215" s="2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16"/>
      <c r="AZ215" s="5"/>
      <c r="BK215" s="25"/>
      <c r="BL215" s="25"/>
      <c r="BM215" s="25"/>
      <c r="BN215" s="25"/>
      <c r="BO215" s="25"/>
      <c r="BP215" s="25"/>
      <c r="BQ215" s="25"/>
      <c r="BR215" s="27"/>
    </row>
    <row r="216" spans="1:72" ht="13.15" hidden="1" outlineLevel="1">
      <c r="B216" s="5" t="s">
        <v>174</v>
      </c>
      <c r="C216" s="43" t="s">
        <v>165</v>
      </c>
      <c r="D216" s="16">
        <v>33</v>
      </c>
      <c r="E216" s="16">
        <v>1488</v>
      </c>
      <c r="F216" s="16">
        <v>1542</v>
      </c>
      <c r="G216" s="16">
        <v>1589</v>
      </c>
      <c r="H216" s="16">
        <v>1589</v>
      </c>
      <c r="I216" s="16">
        <v>1740</v>
      </c>
      <c r="J216" s="16">
        <v>1899</v>
      </c>
      <c r="K216" s="16">
        <v>2164</v>
      </c>
      <c r="L216" s="16">
        <v>3517</v>
      </c>
      <c r="M216" s="16">
        <v>3589</v>
      </c>
      <c r="N216" s="16">
        <v>4009</v>
      </c>
      <c r="O216" s="16">
        <v>4091</v>
      </c>
      <c r="P216" s="16">
        <v>4187</v>
      </c>
      <c r="Q216" s="16">
        <v>4178</v>
      </c>
      <c r="R216" s="16">
        <v>4337</v>
      </c>
      <c r="S216" s="16">
        <v>4731</v>
      </c>
      <c r="T216" s="16">
        <v>5249</v>
      </c>
      <c r="U216" s="16">
        <v>5829</v>
      </c>
      <c r="V216" s="16" t="s">
        <v>289</v>
      </c>
      <c r="W216" s="16"/>
      <c r="X216" s="16"/>
      <c r="Y216" s="16"/>
      <c r="Z216" s="16"/>
      <c r="AA216" s="16"/>
      <c r="AB216" s="25"/>
      <c r="AC216" s="2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16"/>
      <c r="AZ216" s="5"/>
      <c r="BK216" s="14"/>
      <c r="BL216" s="14"/>
      <c r="BM216" s="14"/>
      <c r="BN216" s="14"/>
      <c r="BO216" s="14"/>
      <c r="BP216" s="14"/>
      <c r="BQ216" s="14"/>
      <c r="BR216" s="17"/>
    </row>
    <row r="217" spans="1:72" hidden="1" outlineLevel="1">
      <c r="B217" s="5" t="s">
        <v>181</v>
      </c>
      <c r="C217" s="43" t="s">
        <v>176</v>
      </c>
      <c r="D217" s="16" t="s">
        <v>289</v>
      </c>
      <c r="E217" s="16" t="s">
        <v>289</v>
      </c>
      <c r="F217" s="16" t="s">
        <v>289</v>
      </c>
      <c r="G217" s="16" t="s">
        <v>289</v>
      </c>
      <c r="H217" s="16" t="s">
        <v>289</v>
      </c>
      <c r="I217" s="16" t="s">
        <v>289</v>
      </c>
      <c r="J217" s="16" t="s">
        <v>289</v>
      </c>
      <c r="K217" s="16" t="s">
        <v>289</v>
      </c>
      <c r="L217" s="16" t="s">
        <v>289</v>
      </c>
      <c r="M217" s="16" t="s">
        <v>289</v>
      </c>
      <c r="N217" s="16" t="s">
        <v>289</v>
      </c>
      <c r="O217" s="16" t="s">
        <v>289</v>
      </c>
      <c r="P217" s="16" t="s">
        <v>289</v>
      </c>
      <c r="Q217" s="16" t="s">
        <v>289</v>
      </c>
      <c r="R217" s="16" t="s">
        <v>289</v>
      </c>
      <c r="S217" s="16" t="s">
        <v>289</v>
      </c>
      <c r="T217" s="16" t="s">
        <v>289</v>
      </c>
      <c r="U217" s="16" t="s">
        <v>289</v>
      </c>
      <c r="V217" s="16" t="s">
        <v>289</v>
      </c>
      <c r="W217" s="16"/>
      <c r="X217" s="16"/>
      <c r="Y217" s="16"/>
      <c r="Z217" s="16"/>
      <c r="AA217" s="16"/>
      <c r="AB217" s="25"/>
      <c r="AC217" s="25"/>
      <c r="AD217" s="24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16"/>
      <c r="AZ217" s="5"/>
      <c r="BK217" s="22"/>
      <c r="BL217" s="23"/>
      <c r="BM217" s="22"/>
      <c r="BN217" s="22"/>
      <c r="BO217" s="22"/>
      <c r="BP217" s="22"/>
      <c r="BQ217" s="22"/>
      <c r="BR217" s="24"/>
    </row>
    <row r="218" spans="1:72" ht="13.15" hidden="1" outlineLevel="1">
      <c r="B218" s="5" t="s">
        <v>175</v>
      </c>
      <c r="C218" s="43" t="s">
        <v>290</v>
      </c>
      <c r="D218" s="16">
        <v>1134</v>
      </c>
      <c r="E218" s="16" t="s">
        <v>289</v>
      </c>
      <c r="F218" s="16" t="s">
        <v>289</v>
      </c>
      <c r="G218" s="16" t="s">
        <v>289</v>
      </c>
      <c r="H218" s="16" t="s">
        <v>289</v>
      </c>
      <c r="I218" s="16" t="s">
        <v>289</v>
      </c>
      <c r="J218" s="16" t="s">
        <v>289</v>
      </c>
      <c r="K218" s="16" t="s">
        <v>289</v>
      </c>
      <c r="L218" s="16" t="s">
        <v>289</v>
      </c>
      <c r="M218" s="16" t="s">
        <v>289</v>
      </c>
      <c r="N218" s="16" t="s">
        <v>289</v>
      </c>
      <c r="O218" s="16" t="s">
        <v>289</v>
      </c>
      <c r="P218" s="16" t="s">
        <v>289</v>
      </c>
      <c r="Q218" s="16" t="s">
        <v>289</v>
      </c>
      <c r="R218" s="16" t="s">
        <v>289</v>
      </c>
      <c r="S218" s="16" t="s">
        <v>289</v>
      </c>
      <c r="T218" s="16" t="s">
        <v>289</v>
      </c>
      <c r="U218" s="16" t="s">
        <v>289</v>
      </c>
      <c r="V218" s="16" t="s">
        <v>289</v>
      </c>
      <c r="W218" s="16"/>
      <c r="X218" s="16"/>
      <c r="Y218" s="16"/>
      <c r="Z218" s="16"/>
      <c r="AA218" s="16"/>
      <c r="AB218" s="25"/>
      <c r="AC218" s="2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16"/>
      <c r="AZ218" s="5"/>
      <c r="BK218" s="14"/>
      <c r="BL218" s="14"/>
      <c r="BM218" s="14"/>
      <c r="BN218" s="14"/>
      <c r="BO218" s="14"/>
      <c r="BP218" s="14"/>
      <c r="BQ218" s="14"/>
      <c r="BR218" s="17"/>
    </row>
    <row r="219" spans="1:72" hidden="1" outlineLevel="1">
      <c r="C219" s="43" t="s">
        <v>1709</v>
      </c>
      <c r="D219" s="25" t="s">
        <v>1710</v>
      </c>
      <c r="E219" s="25" t="s">
        <v>1710</v>
      </c>
      <c r="F219" s="25" t="s">
        <v>1710</v>
      </c>
      <c r="G219" s="25" t="s">
        <v>1710</v>
      </c>
      <c r="H219" s="25" t="s">
        <v>1710</v>
      </c>
      <c r="I219" s="25" t="s">
        <v>1710</v>
      </c>
      <c r="J219" s="25" t="s">
        <v>1710</v>
      </c>
      <c r="K219" s="25" t="s">
        <v>1710</v>
      </c>
      <c r="L219" s="25" t="s">
        <v>1710</v>
      </c>
      <c r="M219" s="25" t="s">
        <v>1710</v>
      </c>
      <c r="N219" s="25" t="s">
        <v>1710</v>
      </c>
      <c r="O219" s="25" t="s">
        <v>1710</v>
      </c>
      <c r="P219" s="25">
        <f t="shared" ref="P219:Y219" si="182">IF(P11="no","…",IFERROR(P339-P332,"…"))</f>
        <v>5425</v>
      </c>
      <c r="Q219" s="25">
        <f t="shared" si="182"/>
        <v>5266</v>
      </c>
      <c r="R219" s="25">
        <f t="shared" si="182"/>
        <v>5217</v>
      </c>
      <c r="S219" s="25">
        <f t="shared" si="182"/>
        <v>4730</v>
      </c>
      <c r="T219" s="25">
        <f t="shared" si="182"/>
        <v>5249</v>
      </c>
      <c r="U219" s="25">
        <f t="shared" si="182"/>
        <v>4739</v>
      </c>
      <c r="V219" s="25" t="str">
        <f t="shared" si="182"/>
        <v>…</v>
      </c>
      <c r="W219" s="25" t="str">
        <f t="shared" si="182"/>
        <v>…</v>
      </c>
      <c r="X219" s="25" t="str">
        <f t="shared" si="182"/>
        <v>…</v>
      </c>
      <c r="Y219" s="25" t="str">
        <f t="shared" si="182"/>
        <v>…</v>
      </c>
      <c r="Z219" s="25"/>
      <c r="AA219" s="25"/>
      <c r="AB219" s="25"/>
      <c r="AC219" s="2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25"/>
      <c r="AZ219" s="5"/>
      <c r="BK219" s="22"/>
      <c r="BL219" s="23"/>
      <c r="BM219" s="22"/>
      <c r="BN219" s="22"/>
      <c r="BO219" s="22"/>
      <c r="BP219" s="22"/>
      <c r="BQ219" s="22"/>
      <c r="BR219" s="24"/>
    </row>
    <row r="220" spans="1:72" collapsed="1">
      <c r="C220" s="38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25"/>
      <c r="AZ220" s="5"/>
      <c r="BK220" s="22"/>
      <c r="BL220" s="23"/>
      <c r="BM220" s="22"/>
      <c r="BN220" s="22"/>
      <c r="BO220" s="22"/>
      <c r="BP220" s="22"/>
      <c r="BQ220" s="22"/>
      <c r="BR220" s="24"/>
    </row>
    <row r="221" spans="1:72" ht="13.15">
      <c r="A221" s="5" t="s">
        <v>316</v>
      </c>
      <c r="C221" s="89" t="s">
        <v>6</v>
      </c>
      <c r="D221" s="90">
        <f t="shared" ref="D221:Y221" si="183">D222</f>
        <v>1698</v>
      </c>
      <c r="E221" s="90">
        <f t="shared" si="183"/>
        <v>2425</v>
      </c>
      <c r="F221" s="90">
        <f t="shared" si="183"/>
        <v>3472</v>
      </c>
      <c r="G221" s="90">
        <f t="shared" si="183"/>
        <v>6938</v>
      </c>
      <c r="H221" s="90">
        <f t="shared" si="183"/>
        <v>6333</v>
      </c>
      <c r="I221" s="90">
        <f t="shared" si="183"/>
        <v>1855</v>
      </c>
      <c r="J221" s="90">
        <f t="shared" si="183"/>
        <v>7141</v>
      </c>
      <c r="K221" s="90">
        <f t="shared" si="183"/>
        <v>11271</v>
      </c>
      <c r="L221" s="90">
        <f t="shared" si="183"/>
        <v>11498</v>
      </c>
      <c r="M221" s="90">
        <f t="shared" si="183"/>
        <v>11671</v>
      </c>
      <c r="N221" s="90">
        <f t="shared" si="183"/>
        <v>12697</v>
      </c>
      <c r="O221" s="90">
        <f t="shared" si="183"/>
        <v>-4069</v>
      </c>
      <c r="P221" s="90">
        <f t="shared" si="183"/>
        <v>7103</v>
      </c>
      <c r="Q221" s="90">
        <f t="shared" si="183"/>
        <v>13818</v>
      </c>
      <c r="R221" s="90">
        <f t="shared" si="183"/>
        <v>13920</v>
      </c>
      <c r="S221" s="90">
        <f t="shared" si="183"/>
        <v>14614</v>
      </c>
      <c r="T221" s="90">
        <f t="shared" si="183"/>
        <v>10210</v>
      </c>
      <c r="U221" s="90">
        <f t="shared" si="183"/>
        <v>18574</v>
      </c>
      <c r="V221" s="90">
        <f t="shared" si="183"/>
        <v>22090.618999999999</v>
      </c>
      <c r="W221" s="90">
        <f t="shared" si="183"/>
        <v>22221</v>
      </c>
      <c r="X221" s="90">
        <f t="shared" si="183"/>
        <v>23652.562999999998</v>
      </c>
      <c r="Y221" s="90">
        <f t="shared" si="183"/>
        <v>25526.2</v>
      </c>
      <c r="Z221" s="90"/>
      <c r="AA221" s="90"/>
      <c r="AB221" s="31"/>
      <c r="AC221" s="31"/>
      <c r="AE221" s="30"/>
      <c r="AF221" s="30"/>
      <c r="AJ221" s="31"/>
      <c r="AY221" s="90"/>
      <c r="AZ221" s="27"/>
    </row>
    <row r="222" spans="1:72" hidden="1" outlineLevel="1">
      <c r="A222" s="5" t="s">
        <v>316</v>
      </c>
      <c r="C222" s="41" t="s">
        <v>6</v>
      </c>
      <c r="D222" s="25">
        <f t="shared" ref="D222:K222" si="184">IF(ISNUMBER(D223),D223,IF(ISNUMBER(D224),D224,IF(ISNUMBER(D225),D225,"…")))</f>
        <v>1698</v>
      </c>
      <c r="E222" s="25">
        <f t="shared" si="184"/>
        <v>2425</v>
      </c>
      <c r="F222" s="25">
        <f t="shared" si="184"/>
        <v>3472</v>
      </c>
      <c r="G222" s="25">
        <f t="shared" si="184"/>
        <v>6938</v>
      </c>
      <c r="H222" s="25">
        <f t="shared" si="184"/>
        <v>6333</v>
      </c>
      <c r="I222" s="25">
        <f t="shared" si="184"/>
        <v>1855</v>
      </c>
      <c r="J222" s="25">
        <f t="shared" si="184"/>
        <v>7141</v>
      </c>
      <c r="K222" s="25">
        <f t="shared" si="184"/>
        <v>11271</v>
      </c>
      <c r="L222" s="25">
        <f t="shared" ref="L222:R222" si="185">IF(ISNUMBER(L223),L223,IF(ISNUMBER(L224),L224,IF(ISNUMBER(L225),L225,"…")))</f>
        <v>11498</v>
      </c>
      <c r="M222" s="25">
        <f t="shared" si="185"/>
        <v>11671</v>
      </c>
      <c r="N222" s="25">
        <f t="shared" si="185"/>
        <v>12697</v>
      </c>
      <c r="O222" s="25">
        <f t="shared" si="185"/>
        <v>-4069</v>
      </c>
      <c r="P222" s="25">
        <f t="shared" si="185"/>
        <v>7103</v>
      </c>
      <c r="Q222" s="25">
        <f t="shared" si="185"/>
        <v>13818</v>
      </c>
      <c r="R222" s="25">
        <f t="shared" si="185"/>
        <v>13920</v>
      </c>
      <c r="S222" s="25">
        <f t="shared" ref="S222:Y222" si="186">IF(ISNUMBER(S223),S223,IF(ISNUMBER(S224),S224,IF(ISNUMBER(S225),S225,"…")))</f>
        <v>14614</v>
      </c>
      <c r="T222" s="25">
        <f t="shared" si="186"/>
        <v>10210</v>
      </c>
      <c r="U222" s="25">
        <f t="shared" si="186"/>
        <v>18574</v>
      </c>
      <c r="V222" s="25">
        <f t="shared" si="186"/>
        <v>22090.618999999999</v>
      </c>
      <c r="W222" s="25">
        <f t="shared" si="186"/>
        <v>22221</v>
      </c>
      <c r="X222" s="25">
        <f t="shared" si="186"/>
        <v>23652.562999999998</v>
      </c>
      <c r="Y222" s="25">
        <f t="shared" si="186"/>
        <v>25526.2</v>
      </c>
      <c r="Z222" s="25"/>
      <c r="AA222" s="25"/>
      <c r="AG222" s="33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25"/>
      <c r="AZ222" s="5"/>
    </row>
    <row r="223" spans="1:72" hidden="1" outlineLevel="1">
      <c r="C223" s="44" t="s">
        <v>297</v>
      </c>
      <c r="D223" s="25">
        <f t="shared" ref="D223:R223" si="187">IF(D$8="A",D321,IF(D$8="L","…","…"))</f>
        <v>1698</v>
      </c>
      <c r="E223" s="25">
        <f t="shared" si="187"/>
        <v>2425</v>
      </c>
      <c r="F223" s="25">
        <f t="shared" si="187"/>
        <v>3472</v>
      </c>
      <c r="G223" s="25">
        <f t="shared" si="187"/>
        <v>6938</v>
      </c>
      <c r="H223" s="25">
        <f t="shared" si="187"/>
        <v>6333</v>
      </c>
      <c r="I223" s="25">
        <f t="shared" si="187"/>
        <v>1855</v>
      </c>
      <c r="J223" s="25">
        <f t="shared" si="187"/>
        <v>7141</v>
      </c>
      <c r="K223" s="25">
        <f t="shared" si="187"/>
        <v>11271</v>
      </c>
      <c r="L223" s="25">
        <f t="shared" si="187"/>
        <v>11498</v>
      </c>
      <c r="M223" s="25">
        <f t="shared" si="187"/>
        <v>11671</v>
      </c>
      <c r="N223" s="25">
        <f t="shared" si="187"/>
        <v>12697</v>
      </c>
      <c r="O223" s="25">
        <f t="shared" si="187"/>
        <v>-4069</v>
      </c>
      <c r="P223" s="25">
        <f t="shared" si="187"/>
        <v>7103</v>
      </c>
      <c r="Q223" s="25">
        <f t="shared" si="187"/>
        <v>13818</v>
      </c>
      <c r="R223" s="48">
        <f t="shared" si="187"/>
        <v>13920</v>
      </c>
      <c r="S223" s="48">
        <f t="shared" ref="S223:Y223" si="188">IF(S$8="A",S321,IF(S$8="L","…","…"))</f>
        <v>14614</v>
      </c>
      <c r="T223" s="48">
        <f t="shared" si="188"/>
        <v>10210</v>
      </c>
      <c r="U223" s="48">
        <f t="shared" si="188"/>
        <v>18574</v>
      </c>
      <c r="V223" s="48" t="str">
        <f t="shared" si="188"/>
        <v>…</v>
      </c>
      <c r="W223" s="48" t="str">
        <f t="shared" si="188"/>
        <v>…</v>
      </c>
      <c r="X223" s="48" t="str">
        <f t="shared" si="188"/>
        <v>…</v>
      </c>
      <c r="Y223" s="48" t="str">
        <f t="shared" si="188"/>
        <v>…</v>
      </c>
      <c r="Z223" s="48"/>
      <c r="AA223" s="48"/>
      <c r="AG223" s="33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48"/>
      <c r="AZ223" s="5"/>
    </row>
    <row r="224" spans="1:72" s="33" customFormat="1" hidden="1" outlineLevel="1">
      <c r="A224" s="5"/>
      <c r="C224" s="44" t="s">
        <v>356</v>
      </c>
      <c r="D224" s="25" t="str">
        <f>IF(D$8="E",IFERROR(1/(1/(MIN(AD21,AD22))),"…"),"…")</f>
        <v>…</v>
      </c>
      <c r="E224" s="25" t="str">
        <f>IF(E$8="E",IFERROR(1/(1/(MIN(AE21,AE22))),"…"),"…")</f>
        <v>…</v>
      </c>
      <c r="F224" s="25" t="str">
        <f>IF(F$8="E",IFERROR(1/(1/(MIN(AF21,AF22))),"…"),"…")</f>
        <v>…</v>
      </c>
      <c r="G224" s="25" t="str">
        <f>IF(G$8="E",IFERROR(1/(1/(MIN(AG21,AG22))),"…"),"…")</f>
        <v>…</v>
      </c>
      <c r="H224" s="25" t="str">
        <f>IF(H$8="E",IFERROR(1/(1/(MIN(AH21,AH22))),"…"),"…")</f>
        <v>…</v>
      </c>
      <c r="I224" s="60" t="str">
        <f>IF(F$8="E",IFERROR(1/(1/(MIN(AF21,AF22))),"…"),"…")</f>
        <v>…</v>
      </c>
      <c r="J224" s="60" t="str">
        <f>IF(G$8="E",IFERROR(1/(1/(MIN(AG21,AG22))),"…"),"…")</f>
        <v>…</v>
      </c>
      <c r="K224" s="60" t="str">
        <f>IF(H$8="E",IFERROR(1/(1/(MIN(AH21,AH22))),"…"),"…")</f>
        <v>…</v>
      </c>
      <c r="L224" s="60" t="str">
        <f>IF(I$8="E",IFERROR(1/(1/(MIN(AI21,AI22))),"…"),"…")</f>
        <v>…</v>
      </c>
      <c r="M224" s="60" t="str">
        <f>IF(M$8="E",IFERROR(1/(1/(MIN(AJ21,AJ22))),"…"),"…")</f>
        <v>…</v>
      </c>
      <c r="N224" s="60" t="str">
        <f>IF(N$8="E",IFERROR(1/(1/(MIN(AK21,AK22))),"…"),"…")</f>
        <v>…</v>
      </c>
      <c r="O224" s="60" t="str">
        <f>IF(O$8="E",IFERROR(1/(1/(MIN(AL21,AL22))),"…"),"…")</f>
        <v>…</v>
      </c>
      <c r="P224" s="60" t="str">
        <f>IF(P$8="E",IFERROR(1/(1/(MIN(AM21,AM22))),"…"),"…")</f>
        <v>…</v>
      </c>
      <c r="Q224" s="60" t="str">
        <f t="shared" ref="Q224:Y224" si="189">IF(Q$8="E",IFERROR(1/(1/(MIN(AO21,AO22))),"…"),"…")</f>
        <v>…</v>
      </c>
      <c r="R224" s="60" t="str">
        <f t="shared" si="189"/>
        <v>…</v>
      </c>
      <c r="S224" s="60" t="str">
        <f t="shared" si="189"/>
        <v>…</v>
      </c>
      <c r="T224" s="60" t="str">
        <f t="shared" si="189"/>
        <v>…</v>
      </c>
      <c r="U224" s="60" t="str">
        <f t="shared" si="189"/>
        <v>…</v>
      </c>
      <c r="V224" s="60">
        <f t="shared" si="189"/>
        <v>22090.618999999999</v>
      </c>
      <c r="W224" s="60">
        <f t="shared" si="189"/>
        <v>22221</v>
      </c>
      <c r="X224" s="60">
        <f t="shared" si="189"/>
        <v>23652.562999999998</v>
      </c>
      <c r="Y224" s="60">
        <f t="shared" si="189"/>
        <v>25526.2</v>
      </c>
      <c r="Z224" s="60"/>
      <c r="AA224" s="60"/>
      <c r="AY224" s="60"/>
    </row>
    <row r="225" spans="1:54" s="33" customFormat="1" hidden="1" outlineLevel="1">
      <c r="A225" s="5"/>
      <c r="C225" s="44" t="s">
        <v>365</v>
      </c>
      <c r="D225" s="25">
        <f t="shared" ref="D225:T225" si="190">IFERROR(D153-D162-D190,"…")</f>
        <v>5037</v>
      </c>
      <c r="E225" s="25">
        <f t="shared" si="190"/>
        <v>4372</v>
      </c>
      <c r="F225" s="25">
        <f t="shared" si="190"/>
        <v>5520</v>
      </c>
      <c r="G225" s="25">
        <f t="shared" si="190"/>
        <v>9577</v>
      </c>
      <c r="H225" s="25">
        <f t="shared" si="190"/>
        <v>8525</v>
      </c>
      <c r="I225" s="25">
        <f t="shared" si="190"/>
        <v>4402</v>
      </c>
      <c r="J225" s="25">
        <f t="shared" si="190"/>
        <v>10600</v>
      </c>
      <c r="K225" s="25">
        <f t="shared" si="190"/>
        <v>14523</v>
      </c>
      <c r="L225" s="25">
        <f t="shared" si="190"/>
        <v>15126</v>
      </c>
      <c r="M225" s="25">
        <f t="shared" si="190"/>
        <v>16043</v>
      </c>
      <c r="N225" s="25">
        <f t="shared" si="190"/>
        <v>17970</v>
      </c>
      <c r="O225" s="25">
        <f t="shared" si="190"/>
        <v>-1589</v>
      </c>
      <c r="P225" s="25">
        <f t="shared" si="190"/>
        <v>8341</v>
      </c>
      <c r="Q225" s="25">
        <f t="shared" si="190"/>
        <v>14906</v>
      </c>
      <c r="R225" s="25">
        <f t="shared" si="190"/>
        <v>14800</v>
      </c>
      <c r="S225" s="25">
        <f t="shared" si="190"/>
        <v>14613</v>
      </c>
      <c r="T225" s="25">
        <f t="shared" si="190"/>
        <v>10210</v>
      </c>
      <c r="U225" s="25">
        <f>IFERROR(U153-U162-U190,"…")</f>
        <v>17484</v>
      </c>
      <c r="V225" s="25">
        <f>IFERROR(V153-V162-V190,"…")</f>
        <v>13246.712107892668</v>
      </c>
      <c r="W225" s="25">
        <f>IFERROR(W153-W162-W190,"…")</f>
        <v>15721.726352706004</v>
      </c>
      <c r="X225" s="25">
        <f>IFERROR(X153-X162-X190,"…")</f>
        <v>17771.828493510788</v>
      </c>
      <c r="Y225" s="25">
        <f>IFERROR(Y153-Y162-Y190,"…")</f>
        <v>23073.22011440096</v>
      </c>
      <c r="Z225" s="25"/>
      <c r="AA225" s="25"/>
      <c r="AY225" s="25"/>
    </row>
    <row r="226" spans="1:54" hidden="1" outlineLevel="1">
      <c r="C226" s="38"/>
      <c r="D226" s="34"/>
      <c r="E226" s="34"/>
      <c r="F226" s="34"/>
      <c r="G226" s="34"/>
      <c r="H226" s="34"/>
      <c r="I226" s="3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G226" s="33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4"/>
      <c r="AZ226" s="5"/>
    </row>
    <row r="227" spans="1:54" collapsed="1">
      <c r="C227" s="41" t="s">
        <v>143</v>
      </c>
      <c r="D227" s="36" t="str">
        <f t="shared" ref="D227:J227" si="191">D281</f>
        <v>…</v>
      </c>
      <c r="E227" s="36" t="str">
        <f t="shared" si="191"/>
        <v>…</v>
      </c>
      <c r="F227" s="36">
        <f t="shared" si="191"/>
        <v>5730.8351999999995</v>
      </c>
      <c r="G227" s="36">
        <f t="shared" si="191"/>
        <v>8504.5832000000009</v>
      </c>
      <c r="H227" s="36">
        <f t="shared" si="191"/>
        <v>8245.1316999999999</v>
      </c>
      <c r="I227" s="36">
        <f t="shared" si="191"/>
        <v>5595.8879999999999</v>
      </c>
      <c r="J227" s="36">
        <f t="shared" si="191"/>
        <v>10398.831899999999</v>
      </c>
      <c r="K227" s="36">
        <f t="shared" ref="K227:R227" si="192">K281</f>
        <v>13376.7073</v>
      </c>
      <c r="L227" s="36">
        <f t="shared" si="192"/>
        <v>15253.3896</v>
      </c>
      <c r="M227" s="36">
        <f t="shared" si="192"/>
        <v>16183.219499999999</v>
      </c>
      <c r="N227" s="36">
        <f t="shared" si="192"/>
        <v>18223.2274</v>
      </c>
      <c r="O227" s="36">
        <f t="shared" si="192"/>
        <v>3711.3068000000003</v>
      </c>
      <c r="P227" s="36">
        <f t="shared" si="192"/>
        <v>10416.9884</v>
      </c>
      <c r="Q227" s="36">
        <f t="shared" si="192"/>
        <v>14967.6178</v>
      </c>
      <c r="R227" s="36">
        <f t="shared" si="192"/>
        <v>14961</v>
      </c>
      <c r="S227" s="36">
        <f t="shared" ref="S227:Y227" si="193">S281</f>
        <v>14959.8</v>
      </c>
      <c r="T227" s="36">
        <f t="shared" si="193"/>
        <v>12396</v>
      </c>
      <c r="U227" s="36">
        <f t="shared" si="193"/>
        <v>17818.810799999999</v>
      </c>
      <c r="V227" s="36">
        <f t="shared" si="193"/>
        <v>12599.735579121241</v>
      </c>
      <c r="W227" s="36">
        <f t="shared" si="193"/>
        <v>14363.33414454274</v>
      </c>
      <c r="X227" s="36">
        <f t="shared" si="193"/>
        <v>15394.027996594754</v>
      </c>
      <c r="Y227" s="36">
        <f t="shared" si="193"/>
        <v>19613.354634201045</v>
      </c>
      <c r="Z227" s="36"/>
      <c r="AA227" s="36"/>
      <c r="AB227" s="31"/>
      <c r="AC227" s="31"/>
      <c r="AE227" s="30"/>
      <c r="AF227" s="30"/>
      <c r="AJ227" s="31"/>
      <c r="AY227" s="36"/>
      <c r="AZ227" s="27"/>
    </row>
    <row r="228" spans="1:54" ht="13.15">
      <c r="C228" s="13"/>
      <c r="D228" s="35"/>
      <c r="E228" s="35"/>
      <c r="F228" s="35"/>
      <c r="G228" s="35"/>
      <c r="H228" s="35"/>
      <c r="I228" s="35"/>
      <c r="J228" s="57"/>
      <c r="K228" s="57"/>
      <c r="L228" s="57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31"/>
      <c r="AC228" s="31"/>
      <c r="AE228" s="30"/>
      <c r="AF228" s="30"/>
      <c r="AJ228" s="31"/>
      <c r="AY228" s="56"/>
      <c r="AZ228" s="27"/>
    </row>
    <row r="229" spans="1:54" hidden="1" outlineLevel="1">
      <c r="C229" s="38" t="s">
        <v>335</v>
      </c>
      <c r="D229" s="36">
        <f t="shared" ref="D229:K229" si="194">IF(ISNUMBER(D230),D230,IF(ISNUMBER(D231),D231,"…"))</f>
        <v>21872</v>
      </c>
      <c r="E229" s="36">
        <f t="shared" si="194"/>
        <v>24574</v>
      </c>
      <c r="F229" s="36">
        <f t="shared" si="194"/>
        <v>26048</v>
      </c>
      <c r="G229" s="36">
        <f t="shared" si="194"/>
        <v>29666</v>
      </c>
      <c r="H229" s="36">
        <f t="shared" si="194"/>
        <v>28679</v>
      </c>
      <c r="I229" s="36">
        <f t="shared" si="194"/>
        <v>28928</v>
      </c>
      <c r="J229" s="36">
        <f t="shared" si="194"/>
        <v>37047</v>
      </c>
      <c r="K229" s="36">
        <f t="shared" si="194"/>
        <v>52146</v>
      </c>
      <c r="L229" s="36">
        <f t="shared" ref="L229:R229" si="195">IF(ISNUMBER(L230),L230,IF(ISNUMBER(L231),L231,"…"))</f>
        <v>51465</v>
      </c>
      <c r="M229" s="36">
        <f t="shared" si="195"/>
        <v>58639</v>
      </c>
      <c r="N229" s="36">
        <f t="shared" si="195"/>
        <v>65142</v>
      </c>
      <c r="O229" s="36">
        <f t="shared" si="195"/>
        <v>76177</v>
      </c>
      <c r="P229" s="36">
        <f t="shared" si="195"/>
        <v>89053</v>
      </c>
      <c r="Q229" s="36">
        <f t="shared" si="195"/>
        <v>78545</v>
      </c>
      <c r="R229" s="36">
        <f t="shared" si="195"/>
        <v>78211</v>
      </c>
      <c r="S229" s="36">
        <f t="shared" ref="S229:Y229" si="196">IF(ISNUMBER(S230),S230,IF(ISNUMBER(S231),S231,"…"))</f>
        <v>80012</v>
      </c>
      <c r="T229" s="36">
        <f t="shared" si="196"/>
        <v>76761</v>
      </c>
      <c r="U229" s="36">
        <f t="shared" si="196"/>
        <v>85809</v>
      </c>
      <c r="V229" s="36">
        <f t="shared" si="196"/>
        <v>94769.316894669479</v>
      </c>
      <c r="W229" s="36">
        <f t="shared" si="196"/>
        <v>98262.154445295426</v>
      </c>
      <c r="X229" s="36">
        <f t="shared" si="196"/>
        <v>100264.58107349515</v>
      </c>
      <c r="Y229" s="36">
        <f t="shared" si="196"/>
        <v>104915.3832554307</v>
      </c>
      <c r="Z229" s="36"/>
      <c r="AA229" s="36"/>
      <c r="AB229" s="23"/>
      <c r="AC229" s="23"/>
      <c r="AY229" s="36"/>
    </row>
    <row r="230" spans="1:54" hidden="1" outlineLevel="2">
      <c r="C230" s="43" t="s">
        <v>354</v>
      </c>
      <c r="D230" s="36">
        <f t="shared" ref="D230:R230" si="197">IF(D$8="A",D307,IF(D$8="L","…","…"))</f>
        <v>21872</v>
      </c>
      <c r="E230" s="36">
        <f t="shared" si="197"/>
        <v>24574</v>
      </c>
      <c r="F230" s="36">
        <f t="shared" si="197"/>
        <v>26048</v>
      </c>
      <c r="G230" s="36">
        <f t="shared" si="197"/>
        <v>29666</v>
      </c>
      <c r="H230" s="36">
        <f t="shared" si="197"/>
        <v>28679</v>
      </c>
      <c r="I230" s="36">
        <f t="shared" si="197"/>
        <v>28928</v>
      </c>
      <c r="J230" s="36">
        <f t="shared" si="197"/>
        <v>37047</v>
      </c>
      <c r="K230" s="36">
        <f t="shared" si="197"/>
        <v>52146</v>
      </c>
      <c r="L230" s="36">
        <f t="shared" si="197"/>
        <v>51465</v>
      </c>
      <c r="M230" s="55">
        <f t="shared" si="197"/>
        <v>58639</v>
      </c>
      <c r="N230" s="55">
        <f t="shared" si="197"/>
        <v>65142</v>
      </c>
      <c r="O230" s="55">
        <f t="shared" si="197"/>
        <v>76177</v>
      </c>
      <c r="P230" s="55">
        <f t="shared" si="197"/>
        <v>89053</v>
      </c>
      <c r="Q230" s="55">
        <f t="shared" si="197"/>
        <v>78545</v>
      </c>
      <c r="R230" s="55">
        <f t="shared" si="197"/>
        <v>78211</v>
      </c>
      <c r="S230" s="55">
        <f t="shared" ref="S230:Y230" si="198">IF(S$8="A",S307,IF(S$8="L","…","…"))</f>
        <v>80012</v>
      </c>
      <c r="T230" s="55">
        <f t="shared" si="198"/>
        <v>76761</v>
      </c>
      <c r="U230" s="55">
        <f t="shared" si="198"/>
        <v>85809</v>
      </c>
      <c r="V230" s="55" t="str">
        <f t="shared" si="198"/>
        <v>…</v>
      </c>
      <c r="W230" s="55" t="str">
        <f t="shared" si="198"/>
        <v>…</v>
      </c>
      <c r="X230" s="55" t="str">
        <f t="shared" si="198"/>
        <v>…</v>
      </c>
      <c r="Y230" s="55" t="str">
        <f t="shared" si="198"/>
        <v>…</v>
      </c>
      <c r="Z230" s="55"/>
      <c r="AA230" s="55"/>
      <c r="AB230" s="23"/>
      <c r="AC230" s="23"/>
      <c r="AI230" s="24"/>
      <c r="AY230" s="55"/>
      <c r="BB230" s="33"/>
    </row>
    <row r="231" spans="1:54" hidden="1" outlineLevel="2">
      <c r="C231" s="43" t="s">
        <v>355</v>
      </c>
      <c r="D231" s="36" t="str">
        <f t="shared" ref="D231:R231" si="199">IF(D$8="E",D140/365*D147,"…")</f>
        <v>…</v>
      </c>
      <c r="E231" s="36" t="str">
        <f t="shared" si="199"/>
        <v>…</v>
      </c>
      <c r="F231" s="36" t="str">
        <f t="shared" si="199"/>
        <v>…</v>
      </c>
      <c r="G231" s="36" t="str">
        <f t="shared" si="199"/>
        <v>…</v>
      </c>
      <c r="H231" s="36" t="str">
        <f t="shared" si="199"/>
        <v>…</v>
      </c>
      <c r="I231" s="36" t="str">
        <f t="shared" si="199"/>
        <v>…</v>
      </c>
      <c r="J231" s="36" t="str">
        <f t="shared" si="199"/>
        <v>…</v>
      </c>
      <c r="K231" s="55" t="str">
        <f t="shared" si="199"/>
        <v>…</v>
      </c>
      <c r="L231" s="55" t="str">
        <f t="shared" si="199"/>
        <v>…</v>
      </c>
      <c r="M231" s="55" t="str">
        <f t="shared" si="199"/>
        <v>…</v>
      </c>
      <c r="N231" s="55" t="str">
        <f t="shared" si="199"/>
        <v>…</v>
      </c>
      <c r="O231" s="55" t="str">
        <f t="shared" si="199"/>
        <v>…</v>
      </c>
      <c r="P231" s="55" t="str">
        <f t="shared" si="199"/>
        <v>…</v>
      </c>
      <c r="Q231" s="55" t="str">
        <f t="shared" si="199"/>
        <v>…</v>
      </c>
      <c r="R231" s="55" t="str">
        <f t="shared" si="199"/>
        <v>…</v>
      </c>
      <c r="S231" s="55" t="str">
        <f t="shared" ref="S231:Y231" si="200">IF(S$8="E",S140/365*S147,"…")</f>
        <v>…</v>
      </c>
      <c r="T231" s="55" t="str">
        <f t="shared" si="200"/>
        <v>…</v>
      </c>
      <c r="U231" s="55" t="str">
        <f t="shared" si="200"/>
        <v>…</v>
      </c>
      <c r="V231" s="55">
        <f t="shared" si="200"/>
        <v>94769.316894669479</v>
      </c>
      <c r="W231" s="55">
        <f t="shared" si="200"/>
        <v>98262.154445295426</v>
      </c>
      <c r="X231" s="55">
        <f t="shared" si="200"/>
        <v>100264.58107349515</v>
      </c>
      <c r="Y231" s="55">
        <f t="shared" si="200"/>
        <v>104915.3832554307</v>
      </c>
      <c r="Z231" s="55"/>
      <c r="AA231" s="55"/>
      <c r="AB231" s="23"/>
      <c r="AC231" s="23"/>
      <c r="AI231" s="24"/>
      <c r="AY231" s="55"/>
      <c r="BB231" s="33"/>
    </row>
    <row r="232" spans="1:54" hidden="1" outlineLevel="1">
      <c r="C232" s="38" t="s">
        <v>204</v>
      </c>
      <c r="D232" s="54">
        <f t="shared" ref="D232:R232" si="201">IF(D$8="A",D260-D245,IF(D$8="L","…",IF(D$8="E",SUM(D260),"…")))</f>
        <v>94620</v>
      </c>
      <c r="E232" s="54">
        <f t="shared" si="201"/>
        <v>100160</v>
      </c>
      <c r="F232" s="54">
        <f t="shared" si="201"/>
        <v>100786</v>
      </c>
      <c r="G232" s="54">
        <f t="shared" si="201"/>
        <v>107723</v>
      </c>
      <c r="H232" s="54">
        <f t="shared" si="201"/>
        <v>126590</v>
      </c>
      <c r="I232" s="54">
        <f t="shared" si="201"/>
        <v>123250</v>
      </c>
      <c r="J232" s="54">
        <f t="shared" si="201"/>
        <v>144654</v>
      </c>
      <c r="K232" s="54">
        <f t="shared" si="201"/>
        <v>192688</v>
      </c>
      <c r="L232" s="54">
        <f t="shared" si="201"/>
        <v>240812</v>
      </c>
      <c r="M232" s="54">
        <f t="shared" si="201"/>
        <v>249530</v>
      </c>
      <c r="N232" s="54">
        <f t="shared" si="201"/>
        <v>273724</v>
      </c>
      <c r="O232" s="54">
        <f t="shared" si="201"/>
        <v>361137.99999999994</v>
      </c>
      <c r="P232" s="54">
        <f t="shared" si="201"/>
        <v>395495.00000000006</v>
      </c>
      <c r="Q232" s="54">
        <f t="shared" si="201"/>
        <v>409006.00000000006</v>
      </c>
      <c r="R232" s="54">
        <f t="shared" si="201"/>
        <v>434807</v>
      </c>
      <c r="S232" s="54">
        <f t="shared" ref="S232:Y232" si="202">IF(S$8="A",S260-S245,IF(S$8="L","…",IF(S$8="E",SUM(S260),"…")))</f>
        <v>380121.99999999994</v>
      </c>
      <c r="T232" s="54">
        <f t="shared" si="202"/>
        <v>385970</v>
      </c>
      <c r="U232" s="54">
        <f t="shared" si="202"/>
        <v>411306</v>
      </c>
      <c r="V232" s="54">
        <f t="shared" si="202"/>
        <v>415052.4250647318</v>
      </c>
      <c r="W232" s="54">
        <f t="shared" si="202"/>
        <v>410079.16581620631</v>
      </c>
      <c r="X232" s="54">
        <f t="shared" si="202"/>
        <v>402899.60435335542</v>
      </c>
      <c r="Y232" s="54">
        <f t="shared" si="202"/>
        <v>400304.15417897998</v>
      </c>
      <c r="Z232" s="54"/>
      <c r="AA232" s="54"/>
      <c r="AB232" s="5"/>
      <c r="AC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4"/>
      <c r="AZ232" s="5"/>
    </row>
    <row r="233" spans="1:54" s="33" customFormat="1" hidden="1" outlineLevel="1">
      <c r="A233" s="5"/>
      <c r="B233" s="5"/>
      <c r="C233" s="38" t="s">
        <v>206</v>
      </c>
      <c r="D233" s="54">
        <f t="shared" ref="D233:R233" si="203">IF(D$8="A",D147*3%,IF(D$8="L","…",IF(D$8="E",IFERROR(D147*3%,"…"),"…")))</f>
        <v>2668.89</v>
      </c>
      <c r="E233" s="54">
        <f t="shared" si="203"/>
        <v>2858.04</v>
      </c>
      <c r="F233" s="54">
        <f t="shared" si="203"/>
        <v>3146.25</v>
      </c>
      <c r="G233" s="54">
        <f t="shared" si="203"/>
        <v>3266.91</v>
      </c>
      <c r="H233" s="54">
        <f t="shared" si="203"/>
        <v>3414.24</v>
      </c>
      <c r="I233" s="54">
        <f t="shared" si="203"/>
        <v>3155.6099999999997</v>
      </c>
      <c r="J233" s="54">
        <f t="shared" si="203"/>
        <v>3806.25</v>
      </c>
      <c r="K233" s="54">
        <f t="shared" si="203"/>
        <v>4780.1099999999997</v>
      </c>
      <c r="L233" s="54">
        <f t="shared" si="203"/>
        <v>5780.28</v>
      </c>
      <c r="M233" s="54">
        <f t="shared" si="203"/>
        <v>5910.21</v>
      </c>
      <c r="N233" s="54">
        <f t="shared" si="203"/>
        <v>6073.74</v>
      </c>
      <c r="O233" s="54">
        <f t="shared" si="203"/>
        <v>6398.7599999999993</v>
      </c>
      <c r="P233" s="54">
        <f t="shared" si="203"/>
        <v>6518.0099999999993</v>
      </c>
      <c r="Q233" s="54">
        <f t="shared" si="203"/>
        <v>6920.46</v>
      </c>
      <c r="R233" s="54">
        <f t="shared" si="203"/>
        <v>7075.4699999999993</v>
      </c>
      <c r="S233" s="54">
        <f t="shared" ref="S233:Y233" si="204">IF(S$8="A",S147*3%,IF(S$8="L","…",IF(S$8="E",IFERROR(S147*3%,"…"),"…")))</f>
        <v>7578.96</v>
      </c>
      <c r="T233" s="54">
        <f t="shared" si="204"/>
        <v>6686.5199999999995</v>
      </c>
      <c r="U233" s="54">
        <f t="shared" si="204"/>
        <v>7506</v>
      </c>
      <c r="V233" s="54">
        <f t="shared" si="204"/>
        <v>8345.1209999999992</v>
      </c>
      <c r="W233" s="54">
        <f t="shared" si="204"/>
        <v>8710.8329999999987</v>
      </c>
      <c r="X233" s="54">
        <f t="shared" si="204"/>
        <v>8948.475989999999</v>
      </c>
      <c r="Y233" s="54">
        <f t="shared" si="204"/>
        <v>9427.3299899999984</v>
      </c>
      <c r="Z233" s="54"/>
      <c r="AA233" s="54"/>
      <c r="AB233" s="20"/>
      <c r="AC233" s="20"/>
      <c r="AD233" s="5"/>
      <c r="AE233" s="5"/>
      <c r="AF233" s="5"/>
      <c r="AG233" s="5"/>
      <c r="AH233" s="5"/>
      <c r="AI233" s="24"/>
      <c r="AJ233" s="22"/>
      <c r="AK233" s="23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54"/>
      <c r="AZ233" s="24"/>
      <c r="BA233" s="5"/>
    </row>
    <row r="234" spans="1:54" s="33" customFormat="1" collapsed="1">
      <c r="A234" s="5"/>
      <c r="B234" s="5"/>
      <c r="C234" s="5" t="s">
        <v>207</v>
      </c>
      <c r="D234" s="36">
        <f t="shared" ref="D234:K234" si="205">IFERROR(D232-(D229)+D233,"…")</f>
        <v>75416.89</v>
      </c>
      <c r="E234" s="36">
        <f t="shared" si="205"/>
        <v>78444.039999999994</v>
      </c>
      <c r="F234" s="36">
        <f t="shared" si="205"/>
        <v>77884.25</v>
      </c>
      <c r="G234" s="36">
        <f t="shared" si="205"/>
        <v>81323.91</v>
      </c>
      <c r="H234" s="36">
        <f t="shared" si="205"/>
        <v>101325.24</v>
      </c>
      <c r="I234" s="36">
        <f t="shared" si="205"/>
        <v>97477.61</v>
      </c>
      <c r="J234" s="36">
        <f t="shared" si="205"/>
        <v>111413.25</v>
      </c>
      <c r="K234" s="36">
        <f t="shared" si="205"/>
        <v>145322.10999999999</v>
      </c>
      <c r="L234" s="36">
        <f t="shared" ref="L234:R234" si="206">IFERROR(L232-(L229)+L233,"…")</f>
        <v>195127.28</v>
      </c>
      <c r="M234" s="36">
        <f t="shared" si="206"/>
        <v>196801.21</v>
      </c>
      <c r="N234" s="36">
        <f t="shared" si="206"/>
        <v>214655.74</v>
      </c>
      <c r="O234" s="36">
        <f t="shared" si="206"/>
        <v>291359.75999999995</v>
      </c>
      <c r="P234" s="36">
        <f t="shared" si="206"/>
        <v>312960.01000000007</v>
      </c>
      <c r="Q234" s="36">
        <f t="shared" si="206"/>
        <v>337381.46000000008</v>
      </c>
      <c r="R234" s="36">
        <f t="shared" si="206"/>
        <v>363671.47</v>
      </c>
      <c r="S234" s="36">
        <f t="shared" ref="S234:Y234" si="207">IFERROR(S232-(S229)+S233,"…")</f>
        <v>307688.95999999996</v>
      </c>
      <c r="T234" s="36">
        <f t="shared" si="207"/>
        <v>315895.52</v>
      </c>
      <c r="U234" s="36">
        <f t="shared" si="207"/>
        <v>333003</v>
      </c>
      <c r="V234" s="36">
        <f t="shared" si="207"/>
        <v>328628.22917006229</v>
      </c>
      <c r="W234" s="36">
        <f t="shared" si="207"/>
        <v>320527.8443709109</v>
      </c>
      <c r="X234" s="36">
        <f t="shared" si="207"/>
        <v>311583.49926986027</v>
      </c>
      <c r="Y234" s="36">
        <f t="shared" si="207"/>
        <v>304816.10091354931</v>
      </c>
      <c r="Z234" s="36"/>
      <c r="AA234" s="36"/>
      <c r="AB234" s="25"/>
      <c r="AC234" s="25"/>
      <c r="AD234" s="24"/>
      <c r="AE234" s="5"/>
      <c r="AF234" s="5"/>
      <c r="AG234" s="5"/>
      <c r="AI234" s="24"/>
      <c r="AJ234" s="22"/>
      <c r="AK234" s="23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36"/>
      <c r="AZ234" s="24"/>
      <c r="BA234" s="5"/>
    </row>
    <row r="235" spans="1:54" s="33" customFormat="1">
      <c r="A235" s="5"/>
      <c r="B235" s="5"/>
      <c r="C235" s="5" t="s">
        <v>210</v>
      </c>
      <c r="D235" s="36">
        <f t="shared" ref="D235:R235" si="208">IF(ISNUMBER(D234-(D258)),D234-(D258),"…")</f>
        <v>65282.89</v>
      </c>
      <c r="E235" s="36">
        <f t="shared" si="208"/>
        <v>67021.039999999994</v>
      </c>
      <c r="F235" s="36">
        <f t="shared" si="208"/>
        <v>62469.25</v>
      </c>
      <c r="G235" s="36">
        <f t="shared" si="208"/>
        <v>63256.91</v>
      </c>
      <c r="H235" s="36">
        <f t="shared" si="208"/>
        <v>87255.24</v>
      </c>
      <c r="I235" s="36">
        <f t="shared" si="208"/>
        <v>80206.61</v>
      </c>
      <c r="J235" s="36">
        <f t="shared" si="208"/>
        <v>87496.25</v>
      </c>
      <c r="K235" s="36">
        <f t="shared" si="208"/>
        <v>119545.10999999999</v>
      </c>
      <c r="L235" s="36">
        <f t="shared" si="208"/>
        <v>168679.28</v>
      </c>
      <c r="M235" s="36">
        <f t="shared" si="208"/>
        <v>170812.21</v>
      </c>
      <c r="N235" s="36">
        <f t="shared" si="208"/>
        <v>184359.74</v>
      </c>
      <c r="O235" s="36">
        <f t="shared" si="208"/>
        <v>255474.75999999995</v>
      </c>
      <c r="P235" s="36">
        <f t="shared" si="208"/>
        <v>261884.01000000007</v>
      </c>
      <c r="Q235" s="36">
        <f t="shared" si="208"/>
        <v>287976.46000000008</v>
      </c>
      <c r="R235" s="36">
        <f t="shared" si="208"/>
        <v>313967.46999999997</v>
      </c>
      <c r="S235" s="36">
        <f t="shared" ref="S235:Y235" si="209">IF(ISNUMBER(S234-(S258)),S234-(S258),"…")</f>
        <v>256363.95999999996</v>
      </c>
      <c r="T235" s="36">
        <f t="shared" si="209"/>
        <v>255203.52000000002</v>
      </c>
      <c r="U235" s="36">
        <f t="shared" si="209"/>
        <v>263766</v>
      </c>
      <c r="V235" s="36">
        <f t="shared" si="209"/>
        <v>259391.22917006229</v>
      </c>
      <c r="W235" s="36">
        <f t="shared" si="209"/>
        <v>251290.8443709109</v>
      </c>
      <c r="X235" s="36">
        <f t="shared" si="209"/>
        <v>242346.49926986027</v>
      </c>
      <c r="Y235" s="36">
        <f t="shared" si="209"/>
        <v>235579.10091354931</v>
      </c>
      <c r="Z235" s="36"/>
      <c r="AA235" s="36"/>
      <c r="AB235" s="20"/>
      <c r="AC235" s="20"/>
      <c r="AD235" s="5"/>
      <c r="AE235" s="5"/>
      <c r="AF235" s="5"/>
      <c r="AG235" s="5"/>
      <c r="AH235" s="5"/>
      <c r="AI235" s="24"/>
      <c r="AJ235" s="22"/>
      <c r="AK235" s="23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36"/>
      <c r="AZ235" s="24"/>
      <c r="BA235" s="5"/>
    </row>
    <row r="236" spans="1:54" s="33" customFormat="1">
      <c r="A236" s="5"/>
      <c r="B236" s="5"/>
      <c r="C236" s="5" t="s">
        <v>211</v>
      </c>
      <c r="D236" s="25">
        <f t="shared" ref="D236:R236" si="210">IF(ISNUMBER(D235-(SUM(D254))),D235-(SUM(D254)),"…")</f>
        <v>65057.89</v>
      </c>
      <c r="E236" s="25">
        <f t="shared" si="210"/>
        <v>66783.039999999994</v>
      </c>
      <c r="F236" s="36">
        <f t="shared" si="210"/>
        <v>62274.25</v>
      </c>
      <c r="G236" s="36">
        <f t="shared" si="210"/>
        <v>63055.91</v>
      </c>
      <c r="H236" s="36">
        <f t="shared" si="210"/>
        <v>84484.24</v>
      </c>
      <c r="I236" s="36">
        <f t="shared" si="210"/>
        <v>77277.61</v>
      </c>
      <c r="J236" s="36">
        <f t="shared" si="210"/>
        <v>84086.25</v>
      </c>
      <c r="K236" s="36">
        <f t="shared" si="210"/>
        <v>115211.10999999999</v>
      </c>
      <c r="L236" s="36">
        <f t="shared" si="210"/>
        <v>144790.28</v>
      </c>
      <c r="M236" s="36">
        <f t="shared" si="210"/>
        <v>147082.21</v>
      </c>
      <c r="N236" s="36">
        <f t="shared" si="210"/>
        <v>160782.74</v>
      </c>
      <c r="O236" s="36">
        <f t="shared" si="210"/>
        <v>231828.75999999995</v>
      </c>
      <c r="P236" s="36">
        <f>IF(ISNUMBER(P235-(SUM(P254))),P235-(SUM(P254)),"…")</f>
        <v>238325.01000000007</v>
      </c>
      <c r="Q236" s="36">
        <f t="shared" si="210"/>
        <v>264534.46000000008</v>
      </c>
      <c r="R236" s="36">
        <f t="shared" si="210"/>
        <v>290650.46999999997</v>
      </c>
      <c r="S236" s="36">
        <f t="shared" ref="S236:Y236" si="211">IF(ISNUMBER(S235-(SUM(S254))),S235-(SUM(S254)),"…")</f>
        <v>233116.95999999996</v>
      </c>
      <c r="T236" s="36">
        <f t="shared" si="211"/>
        <v>231885.52000000002</v>
      </c>
      <c r="U236" s="36">
        <f t="shared" si="211"/>
        <v>237592</v>
      </c>
      <c r="V236" s="36">
        <f t="shared" si="211"/>
        <v>233217.22917006229</v>
      </c>
      <c r="W236" s="36">
        <f t="shared" si="211"/>
        <v>225116.8443709109</v>
      </c>
      <c r="X236" s="36">
        <f t="shared" si="211"/>
        <v>216172.49926986027</v>
      </c>
      <c r="Y236" s="36">
        <f t="shared" si="211"/>
        <v>209405.10091354931</v>
      </c>
      <c r="Z236" s="36"/>
      <c r="AA236" s="36"/>
      <c r="AB236" s="20"/>
      <c r="AC236" s="20"/>
      <c r="AD236" s="5"/>
      <c r="AE236" s="5"/>
      <c r="AF236" s="5"/>
      <c r="AG236" s="5"/>
      <c r="AH236" s="5"/>
      <c r="AI236" s="24"/>
      <c r="AJ236" s="22"/>
      <c r="AK236" s="23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36"/>
      <c r="AZ236" s="24"/>
      <c r="BA236" s="5"/>
    </row>
    <row r="237" spans="1:54"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31"/>
      <c r="AC237" s="31"/>
      <c r="AE237" s="30"/>
      <c r="AF237" s="30"/>
      <c r="AJ237" s="31"/>
      <c r="AY237" s="5"/>
      <c r="AZ237" s="27"/>
    </row>
    <row r="238" spans="1:54"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31"/>
      <c r="AC238" s="31"/>
      <c r="AE238" s="30"/>
      <c r="AF238" s="30"/>
      <c r="AJ238" s="31"/>
      <c r="AY238" s="5"/>
      <c r="AZ238" s="27"/>
    </row>
    <row r="239" spans="1:54"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112"/>
      <c r="O239" s="112"/>
      <c r="P239" s="112"/>
      <c r="Q239" s="112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23"/>
      <c r="AC239" s="23"/>
      <c r="AI239" s="24"/>
      <c r="AY239" s="5"/>
      <c r="BB239" s="33"/>
    </row>
    <row r="240" spans="1:54" ht="13.15">
      <c r="C240" s="12" t="s">
        <v>319</v>
      </c>
      <c r="D240" s="5"/>
      <c r="E240" s="5"/>
      <c r="F240" s="5"/>
      <c r="G240" s="5"/>
      <c r="H240" s="5"/>
      <c r="I240" s="5"/>
      <c r="J240" s="5"/>
      <c r="K240" s="37"/>
      <c r="L240" s="37"/>
      <c r="M240" s="37"/>
      <c r="N240" s="37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23"/>
      <c r="AC240" s="23"/>
      <c r="AI240" s="24"/>
      <c r="AY240" s="5"/>
      <c r="BB240" s="33"/>
    </row>
    <row r="241" spans="1:70" ht="13.15">
      <c r="A241" s="5" t="s">
        <v>316</v>
      </c>
      <c r="C241" s="12" t="s">
        <v>317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23"/>
      <c r="AC241" s="23"/>
      <c r="AI241" s="24"/>
      <c r="AY241" s="5"/>
      <c r="BB241" s="33"/>
    </row>
    <row r="242" spans="1:70">
      <c r="C242" s="38" t="s">
        <v>320</v>
      </c>
      <c r="D242" s="36">
        <f t="shared" ref="D242:K242" si="212">IF(ISNUMBER(D243),D243,IF(ISNUMBER(D244),D244,"…"))</f>
        <v>42237</v>
      </c>
      <c r="E242" s="36">
        <f t="shared" si="212"/>
        <v>45866</v>
      </c>
      <c r="F242" s="36">
        <f t="shared" si="212"/>
        <v>46771</v>
      </c>
      <c r="G242" s="36">
        <f t="shared" si="212"/>
        <v>51789</v>
      </c>
      <c r="H242" s="36">
        <f t="shared" si="212"/>
        <v>62919</v>
      </c>
      <c r="I242" s="36">
        <f t="shared" si="212"/>
        <v>53908</v>
      </c>
      <c r="J242" s="36">
        <f t="shared" si="212"/>
        <v>61765</v>
      </c>
      <c r="K242" s="36">
        <f t="shared" si="212"/>
        <v>81203</v>
      </c>
      <c r="L242" s="36">
        <f t="shared" ref="L242:R242" si="213">IF(ISNUMBER(L243),L243,IF(ISNUMBER(L244),L244,"…"))</f>
        <v>87140</v>
      </c>
      <c r="M242" s="36">
        <f t="shared" si="213"/>
        <v>90522</v>
      </c>
      <c r="N242" s="36">
        <f t="shared" si="213"/>
        <v>101119</v>
      </c>
      <c r="O242" s="36">
        <f t="shared" si="213"/>
        <v>109508</v>
      </c>
      <c r="P242" s="36">
        <f t="shared" si="213"/>
        <v>118937</v>
      </c>
      <c r="Q242" s="36">
        <f t="shared" si="213"/>
        <v>125716</v>
      </c>
      <c r="R242" s="36">
        <f t="shared" si="213"/>
        <v>137518</v>
      </c>
      <c r="S242" s="36">
        <f t="shared" ref="S242:Y242" si="214">IF(ISNUMBER(S243),S243,IF(ISNUMBER(S244),S244,"…"))</f>
        <v>144771</v>
      </c>
      <c r="T242" s="36">
        <f t="shared" si="214"/>
        <v>139873</v>
      </c>
      <c r="U242" s="36">
        <f t="shared" si="214"/>
        <v>138092</v>
      </c>
      <c r="V242" s="36">
        <f t="shared" si="214"/>
        <v>152538.10359674791</v>
      </c>
      <c r="W242" s="36">
        <f t="shared" si="214"/>
        <v>158187.72565981088</v>
      </c>
      <c r="X242" s="36">
        <f t="shared" si="214"/>
        <v>161439.93146383672</v>
      </c>
      <c r="Y242" s="36">
        <f t="shared" si="214"/>
        <v>168958.69530176988</v>
      </c>
      <c r="Z242" s="36"/>
      <c r="AA242" s="36"/>
      <c r="AB242" s="23"/>
      <c r="AC242" s="23"/>
      <c r="AI242" s="24"/>
      <c r="AY242" s="36"/>
      <c r="BB242" s="33"/>
    </row>
    <row r="243" spans="1:70" hidden="1" outlineLevel="1">
      <c r="C243" s="43" t="s">
        <v>354</v>
      </c>
      <c r="D243" s="36">
        <f t="shared" ref="D243:V243" si="215">IF(D$8="A",IF(D362="…","calc.",D362),"…")</f>
        <v>42237</v>
      </c>
      <c r="E243" s="36">
        <f t="shared" si="215"/>
        <v>45866</v>
      </c>
      <c r="F243" s="36">
        <f t="shared" si="215"/>
        <v>46771</v>
      </c>
      <c r="G243" s="36">
        <f t="shared" si="215"/>
        <v>51789</v>
      </c>
      <c r="H243" s="36">
        <f t="shared" si="215"/>
        <v>62919</v>
      </c>
      <c r="I243" s="36">
        <f t="shared" si="215"/>
        <v>53908</v>
      </c>
      <c r="J243" s="36">
        <f t="shared" si="215"/>
        <v>61765</v>
      </c>
      <c r="K243" s="36">
        <f t="shared" si="215"/>
        <v>81203</v>
      </c>
      <c r="L243" s="36">
        <f t="shared" si="215"/>
        <v>87140</v>
      </c>
      <c r="M243" s="36">
        <f t="shared" si="215"/>
        <v>90522</v>
      </c>
      <c r="N243" s="36">
        <f t="shared" si="215"/>
        <v>101119</v>
      </c>
      <c r="O243" s="36">
        <f t="shared" si="215"/>
        <v>109508</v>
      </c>
      <c r="P243" s="36">
        <f t="shared" si="215"/>
        <v>118937</v>
      </c>
      <c r="Q243" s="36">
        <f t="shared" si="215"/>
        <v>125716</v>
      </c>
      <c r="R243" s="36">
        <f t="shared" si="215"/>
        <v>137518</v>
      </c>
      <c r="S243" s="36">
        <f t="shared" si="215"/>
        <v>144771</v>
      </c>
      <c r="T243" s="36">
        <f t="shared" si="215"/>
        <v>139873</v>
      </c>
      <c r="U243" s="36">
        <f t="shared" si="215"/>
        <v>138092</v>
      </c>
      <c r="V243" s="36" t="str">
        <f t="shared" si="215"/>
        <v>…</v>
      </c>
      <c r="W243" s="36" t="str">
        <f>IF(W$8="A",IF(W362="…","calc.",W362),"…")</f>
        <v>…</v>
      </c>
      <c r="X243" s="36" t="str">
        <f>IF(X$8="A",IF(X362="…","calc.",X362),"…")</f>
        <v>…</v>
      </c>
      <c r="Y243" s="36" t="str">
        <f>IF(Y$8="A",IF(Y362="…","calc.",Y362),"…")</f>
        <v>…</v>
      </c>
      <c r="Z243" s="36"/>
      <c r="AA243" s="36"/>
      <c r="AB243" s="23"/>
      <c r="AC243" s="23"/>
      <c r="AI243" s="24"/>
      <c r="AY243" s="36"/>
      <c r="BB243" s="33"/>
    </row>
    <row r="244" spans="1:70" hidden="1" outlineLevel="1">
      <c r="C244" s="43" t="s">
        <v>355</v>
      </c>
      <c r="D244" s="36" t="str">
        <f t="shared" ref="D244:O244" si="216">IF(D$8="E",IFERROR(D137/365*D147,"…"),"…")</f>
        <v>…</v>
      </c>
      <c r="E244" s="36" t="str">
        <f t="shared" si="216"/>
        <v>…</v>
      </c>
      <c r="F244" s="36" t="str">
        <f t="shared" si="216"/>
        <v>…</v>
      </c>
      <c r="G244" s="36" t="str">
        <f t="shared" si="216"/>
        <v>…</v>
      </c>
      <c r="H244" s="36" t="str">
        <f t="shared" si="216"/>
        <v>…</v>
      </c>
      <c r="I244" s="36" t="str">
        <f t="shared" si="216"/>
        <v>…</v>
      </c>
      <c r="J244" s="36" t="str">
        <f t="shared" si="216"/>
        <v>…</v>
      </c>
      <c r="K244" s="36" t="str">
        <f t="shared" si="216"/>
        <v>…</v>
      </c>
      <c r="L244" s="36" t="str">
        <f t="shared" si="216"/>
        <v>…</v>
      </c>
      <c r="M244" s="36" t="str">
        <f t="shared" si="216"/>
        <v>…</v>
      </c>
      <c r="N244" s="36" t="str">
        <f t="shared" si="216"/>
        <v>…</v>
      </c>
      <c r="O244" s="36" t="str">
        <f t="shared" si="216"/>
        <v>…</v>
      </c>
      <c r="P244" s="36" t="str">
        <f t="shared" ref="P244:V244" si="217">IF(P$8="E",IFERROR(P137/365*P147-P233,"…"),"…")</f>
        <v>…</v>
      </c>
      <c r="Q244" s="36" t="str">
        <f t="shared" si="217"/>
        <v>…</v>
      </c>
      <c r="R244" s="36" t="str">
        <f t="shared" si="217"/>
        <v>…</v>
      </c>
      <c r="S244" s="36" t="str">
        <f t="shared" si="217"/>
        <v>…</v>
      </c>
      <c r="T244" s="36" t="str">
        <f t="shared" si="217"/>
        <v>…</v>
      </c>
      <c r="U244" s="36" t="str">
        <f t="shared" si="217"/>
        <v>…</v>
      </c>
      <c r="V244" s="36">
        <f t="shared" si="217"/>
        <v>152538.10359674791</v>
      </c>
      <c r="W244" s="36">
        <f>IF(W$8="E",IFERROR(W137/365*W147-W233,"…"),"…")</f>
        <v>158187.72565981088</v>
      </c>
      <c r="X244" s="36">
        <f>IF(X$8="E",IFERROR(X137/365*X147-X233,"…"),"…")</f>
        <v>161439.93146383672</v>
      </c>
      <c r="Y244" s="36">
        <f>IF(Y$8="E",IFERROR(Y137/365*Y147-Y233,"…"),"…")</f>
        <v>168958.69530176988</v>
      </c>
      <c r="Z244" s="36"/>
      <c r="AA244" s="36"/>
      <c r="AB244" s="23"/>
      <c r="AC244" s="23"/>
      <c r="AI244" s="24"/>
      <c r="AY244" s="36"/>
      <c r="BB244" s="33"/>
    </row>
    <row r="245" spans="1:70" collapsed="1">
      <c r="C245" s="38" t="s">
        <v>323</v>
      </c>
      <c r="D245" s="36">
        <f t="shared" ref="D245:V245" si="218">IF(D$8="A",IF(D394="…","calc.",D394),"…")</f>
        <v>10221</v>
      </c>
      <c r="E245" s="36">
        <f t="shared" si="218"/>
        <v>7963</v>
      </c>
      <c r="F245" s="36">
        <f t="shared" si="218"/>
        <v>9367</v>
      </c>
      <c r="G245" s="36">
        <f t="shared" si="218"/>
        <v>10112</v>
      </c>
      <c r="H245" s="36">
        <f t="shared" si="218"/>
        <v>9474</v>
      </c>
      <c r="I245" s="36">
        <f t="shared" si="218"/>
        <v>20539</v>
      </c>
      <c r="J245" s="36">
        <f t="shared" si="218"/>
        <v>18670</v>
      </c>
      <c r="K245" s="36">
        <f t="shared" si="218"/>
        <v>18291</v>
      </c>
      <c r="L245" s="36">
        <f t="shared" si="218"/>
        <v>18488</v>
      </c>
      <c r="M245" s="36">
        <f t="shared" si="218"/>
        <v>23178</v>
      </c>
      <c r="N245" s="36">
        <f t="shared" si="218"/>
        <v>19123</v>
      </c>
      <c r="O245" s="36">
        <f t="shared" si="218"/>
        <v>20872</v>
      </c>
      <c r="P245" s="36">
        <f t="shared" si="218"/>
        <v>19265</v>
      </c>
      <c r="Q245" s="36">
        <f t="shared" si="218"/>
        <v>18457</v>
      </c>
      <c r="R245" s="36">
        <f t="shared" si="218"/>
        <v>28938</v>
      </c>
      <c r="S245" s="36">
        <f t="shared" si="218"/>
        <v>25923</v>
      </c>
      <c r="T245" s="36">
        <f t="shared" si="218"/>
        <v>33909</v>
      </c>
      <c r="U245" s="36">
        <f t="shared" si="218"/>
        <v>39723</v>
      </c>
      <c r="V245" s="36" t="str">
        <f t="shared" si="218"/>
        <v>…</v>
      </c>
      <c r="W245" s="36" t="str">
        <f>IF(W$8="A",IF(W394="…","calc.",W394),"…")</f>
        <v>…</v>
      </c>
      <c r="X245" s="36" t="str">
        <f>IF(X$8="A",IF(X394="…","calc.",X394),"…")</f>
        <v>…</v>
      </c>
      <c r="Y245" s="36" t="str">
        <f>IF(Y$8="A",IF(Y394="…","calc.",Y394),"…")</f>
        <v>…</v>
      </c>
      <c r="Z245" s="36"/>
      <c r="AA245" s="36"/>
      <c r="AB245" s="23"/>
      <c r="AC245" s="23"/>
      <c r="AI245" s="24"/>
      <c r="AY245" s="36"/>
      <c r="BB245" s="33"/>
    </row>
    <row r="246" spans="1:70">
      <c r="C246" s="38" t="s">
        <v>328</v>
      </c>
      <c r="D246" s="36">
        <f t="shared" ref="D246:Y246" si="219">IF(D$8="A",D367,IF(D$8="L","…",IF(D8="E",C246-D71-D162,"…")))</f>
        <v>32461</v>
      </c>
      <c r="E246" s="36">
        <f t="shared" si="219"/>
        <v>32933</v>
      </c>
      <c r="F246" s="36">
        <f t="shared" si="219"/>
        <v>28379</v>
      </c>
      <c r="G246" s="36">
        <f t="shared" si="219"/>
        <v>27669</v>
      </c>
      <c r="H246" s="36">
        <f t="shared" si="219"/>
        <v>33160</v>
      </c>
      <c r="I246" s="36">
        <f t="shared" si="219"/>
        <v>24444</v>
      </c>
      <c r="J246" s="36">
        <f t="shared" si="219"/>
        <v>25847</v>
      </c>
      <c r="K246" s="36">
        <f t="shared" si="219"/>
        <v>31876</v>
      </c>
      <c r="L246" s="36">
        <f t="shared" si="219"/>
        <v>39424</v>
      </c>
      <c r="M246" s="36">
        <f t="shared" si="219"/>
        <v>42388</v>
      </c>
      <c r="N246" s="36">
        <f t="shared" si="219"/>
        <v>46169</v>
      </c>
      <c r="O246" s="36">
        <f t="shared" si="219"/>
        <v>83344</v>
      </c>
      <c r="P246" s="36">
        <f t="shared" si="219"/>
        <v>92472</v>
      </c>
      <c r="Q246" s="36">
        <f t="shared" si="219"/>
        <v>94965</v>
      </c>
      <c r="R246" s="36">
        <f t="shared" si="219"/>
        <v>101672</v>
      </c>
      <c r="S246" s="36">
        <f t="shared" si="219"/>
        <v>115090</v>
      </c>
      <c r="T246" s="36">
        <f t="shared" si="219"/>
        <v>114571</v>
      </c>
      <c r="U246" s="36">
        <f t="shared" si="219"/>
        <v>123393</v>
      </c>
      <c r="V246" s="36">
        <f t="shared" si="219"/>
        <v>118257.10824684659</v>
      </c>
      <c r="W246" s="36">
        <f t="shared" si="219"/>
        <v>112707.75453668708</v>
      </c>
      <c r="X246" s="36">
        <f t="shared" si="219"/>
        <v>106802.95803964917</v>
      </c>
      <c r="Y246" s="36">
        <f t="shared" si="219"/>
        <v>100594.83861505441</v>
      </c>
      <c r="Z246" s="36"/>
      <c r="AA246" s="36"/>
      <c r="AY246" s="36"/>
    </row>
    <row r="247" spans="1:70">
      <c r="C247" s="38" t="s">
        <v>329</v>
      </c>
      <c r="D247" s="36">
        <f t="shared" ref="D247:Y247" si="220">IF(D$8="A",D399,IF(D$8="L","…",IF(D$8="E",IFERROR(C247*D147/C147,"…"),"…")))</f>
        <v>0</v>
      </c>
      <c r="E247" s="36">
        <f t="shared" si="220"/>
        <v>0</v>
      </c>
      <c r="F247" s="36">
        <f t="shared" si="220"/>
        <v>0</v>
      </c>
      <c r="G247" s="36">
        <f t="shared" si="220"/>
        <v>0</v>
      </c>
      <c r="H247" s="36">
        <f t="shared" si="220"/>
        <v>0</v>
      </c>
      <c r="I247" s="36">
        <f t="shared" si="220"/>
        <v>0</v>
      </c>
      <c r="J247" s="36">
        <f t="shared" si="220"/>
        <v>0</v>
      </c>
      <c r="K247" s="36">
        <f t="shared" si="220"/>
        <v>0</v>
      </c>
      <c r="L247" s="36">
        <f t="shared" si="220"/>
        <v>0</v>
      </c>
      <c r="M247" s="36">
        <f t="shared" si="220"/>
        <v>0</v>
      </c>
      <c r="N247" s="36">
        <f t="shared" si="220"/>
        <v>0</v>
      </c>
      <c r="O247" s="36">
        <f t="shared" si="220"/>
        <v>63184</v>
      </c>
      <c r="P247" s="36">
        <f t="shared" si="220"/>
        <v>70411</v>
      </c>
      <c r="Q247" s="36">
        <f t="shared" si="220"/>
        <v>75501</v>
      </c>
      <c r="R247" s="36">
        <f t="shared" si="220"/>
        <v>81300</v>
      </c>
      <c r="S247" s="36">
        <f t="shared" si="220"/>
        <v>2722</v>
      </c>
      <c r="T247" s="36">
        <f t="shared" si="220"/>
        <v>2866</v>
      </c>
      <c r="U247" s="36">
        <f t="shared" si="220"/>
        <v>2895</v>
      </c>
      <c r="V247" s="36">
        <f t="shared" si="220"/>
        <v>3218.6417925659471</v>
      </c>
      <c r="W247" s="36">
        <f t="shared" si="220"/>
        <v>3359.6937829736207</v>
      </c>
      <c r="X247" s="36">
        <f t="shared" si="220"/>
        <v>3451.3506516187049</v>
      </c>
      <c r="Y247" s="36">
        <f t="shared" si="220"/>
        <v>3636.0405437050358</v>
      </c>
      <c r="Z247" s="36"/>
      <c r="AA247" s="36"/>
      <c r="AY247" s="36"/>
    </row>
    <row r="248" spans="1:70">
      <c r="C248" s="38" t="s">
        <v>322</v>
      </c>
      <c r="D248" s="36">
        <f>IF(ISNUMBER(D249),D249,IF(ISNUMBER(D250),D250,IF(ISNUMBER(D253),D253,"…")))</f>
        <v>7265</v>
      </c>
      <c r="E248" s="36">
        <f>IF(ISNUMBER(E249),E249,IF(ISNUMBER(E250),E250,IF(ISNUMBER(E253),E253,"…")))</f>
        <v>7430</v>
      </c>
      <c r="F248" s="36">
        <f>IF(ISNUMBER(F249),F249,IF(ISNUMBER(F250),F250,IF(ISNUMBER(F253),F253,"…")))</f>
        <v>6998</v>
      </c>
      <c r="G248" s="36">
        <f>IF(ISNUMBER(G249),G249,IF(ISNUMBER(G250),G250,IF(ISNUMBER(G253),G253,"…")))</f>
        <v>6629</v>
      </c>
      <c r="H248" s="36">
        <f t="shared" ref="H248:Q248" si="221">IF(ISNUMBER(H249),H249,IF(ISNUMBER(H250),H250,IF(ISNUMBER(H253),H253,"…")))</f>
        <v>9520</v>
      </c>
      <c r="I248" s="36">
        <f t="shared" si="221"/>
        <v>9978</v>
      </c>
      <c r="J248" s="36">
        <f t="shared" si="221"/>
        <v>9694</v>
      </c>
      <c r="K248" s="36">
        <f t="shared" si="221"/>
        <v>17842</v>
      </c>
      <c r="L248" s="36">
        <f t="shared" si="221"/>
        <v>35222</v>
      </c>
      <c r="M248" s="36">
        <f t="shared" si="221"/>
        <v>35513</v>
      </c>
      <c r="N248" s="36">
        <f t="shared" si="221"/>
        <v>36358</v>
      </c>
      <c r="O248" s="36">
        <f t="shared" si="221"/>
        <v>37501</v>
      </c>
      <c r="P248" s="36">
        <f t="shared" si="221"/>
        <v>39040</v>
      </c>
      <c r="Q248" s="36">
        <f t="shared" si="221"/>
        <v>39977</v>
      </c>
      <c r="R248" s="36">
        <f t="shared" ref="R248:Y248" si="222">IF(ISNUMBER(R249),R249,IF(ISNUMBER(R250),R250,IF(ISNUMBER(R253),R253,"…")))</f>
        <v>41296</v>
      </c>
      <c r="S248" s="36">
        <f t="shared" si="222"/>
        <v>42967</v>
      </c>
      <c r="T248" s="36">
        <f t="shared" si="222"/>
        <v>44650</v>
      </c>
      <c r="U248" s="36">
        <f t="shared" si="222"/>
        <v>51515</v>
      </c>
      <c r="V248" s="36">
        <f t="shared" si="222"/>
        <v>45627.571428571428</v>
      </c>
      <c r="W248" s="36">
        <f t="shared" si="222"/>
        <v>40412.991836734691</v>
      </c>
      <c r="X248" s="36">
        <f t="shared" si="222"/>
        <v>35794.364198250725</v>
      </c>
      <c r="Y248" s="36">
        <f t="shared" si="222"/>
        <v>31703.579718450641</v>
      </c>
      <c r="Z248" s="36"/>
      <c r="AA248" s="36"/>
      <c r="AB248" s="23"/>
      <c r="AC248" s="23"/>
      <c r="AY248" s="36"/>
    </row>
    <row r="249" spans="1:70" hidden="1" outlineLevel="1">
      <c r="C249" s="43" t="s">
        <v>354</v>
      </c>
      <c r="D249" s="36">
        <f>IF(D$8="A",D287,IF(D$8="L","…","…"))</f>
        <v>7265</v>
      </c>
      <c r="E249" s="36">
        <f>IF(E$8="A",E287,IF(E$8="L","…","…"))</f>
        <v>7430</v>
      </c>
      <c r="F249" s="36">
        <f>IF(F$8="A",F287,IF(F$8="L","…","…"))</f>
        <v>6998</v>
      </c>
      <c r="G249" s="36">
        <f>IF(G$8="A",G287,IF(G$8="L","…","…"))</f>
        <v>6629</v>
      </c>
      <c r="H249" s="36">
        <f t="shared" ref="H249:Q249" si="223">IF(H$8="A",H287,IF(H$8="L","…","…"))</f>
        <v>9520</v>
      </c>
      <c r="I249" s="36">
        <f t="shared" si="223"/>
        <v>9978</v>
      </c>
      <c r="J249" s="36">
        <f t="shared" si="223"/>
        <v>9694</v>
      </c>
      <c r="K249" s="36">
        <f t="shared" si="223"/>
        <v>17842</v>
      </c>
      <c r="L249" s="36">
        <f t="shared" si="223"/>
        <v>35222</v>
      </c>
      <c r="M249" s="36">
        <f t="shared" si="223"/>
        <v>35513</v>
      </c>
      <c r="N249" s="36">
        <f t="shared" si="223"/>
        <v>36358</v>
      </c>
      <c r="O249" s="36">
        <f t="shared" si="223"/>
        <v>37501</v>
      </c>
      <c r="P249" s="36">
        <f t="shared" si="223"/>
        <v>39040</v>
      </c>
      <c r="Q249" s="36">
        <f t="shared" si="223"/>
        <v>39977</v>
      </c>
      <c r="R249" s="36">
        <f>IF(R$8="A",R287,IF(R$8="L","…","…"))</f>
        <v>41296</v>
      </c>
      <c r="S249" s="36">
        <f t="shared" ref="S249:Y249" si="224">IF(S$8="A",S287,IF(S$8="L","…","…"))</f>
        <v>42967</v>
      </c>
      <c r="T249" s="36">
        <f t="shared" si="224"/>
        <v>44650</v>
      </c>
      <c r="U249" s="36">
        <f t="shared" si="224"/>
        <v>51515</v>
      </c>
      <c r="V249" s="36" t="str">
        <f t="shared" si="224"/>
        <v>…</v>
      </c>
      <c r="W249" s="36" t="str">
        <f t="shared" si="224"/>
        <v>…</v>
      </c>
      <c r="X249" s="36" t="str">
        <f t="shared" si="224"/>
        <v>…</v>
      </c>
      <c r="Y249" s="36" t="str">
        <f t="shared" si="224"/>
        <v>…</v>
      </c>
      <c r="Z249" s="36"/>
      <c r="AA249" s="36"/>
      <c r="AB249" s="23"/>
      <c r="AC249" s="23"/>
      <c r="AI249" s="24"/>
      <c r="AY249" s="36"/>
      <c r="BB249" s="33"/>
    </row>
    <row r="250" spans="1:70" hidden="1" outlineLevel="1">
      <c r="C250" s="43" t="s">
        <v>358</v>
      </c>
      <c r="D250" s="36" t="str">
        <f>IF(ISNUMBER(D251),D251,IF(ISNUMBER(D252),D252,"…"))</f>
        <v>…</v>
      </c>
      <c r="E250" s="36">
        <f>IF(ISNUMBER(E251),E251,IF(ISNUMBER(E252),E252,"…"))</f>
        <v>7430</v>
      </c>
      <c r="F250" s="36">
        <f>IF(ISNUMBER(F251),F251,IF(ISNUMBER(F252),F252,"…"))</f>
        <v>6998</v>
      </c>
      <c r="G250" s="36">
        <f>IF(ISNUMBER(G251),G251,IF(ISNUMBER(G252),G252,"…"))</f>
        <v>6629</v>
      </c>
      <c r="H250" s="36">
        <f t="shared" ref="H250:Q250" si="225">IF(ISNUMBER(H251),H251,IF(ISNUMBER(H252),H252,"…"))</f>
        <v>9520</v>
      </c>
      <c r="I250" s="36">
        <f t="shared" si="225"/>
        <v>9978</v>
      </c>
      <c r="J250" s="36">
        <f t="shared" si="225"/>
        <v>9694</v>
      </c>
      <c r="K250" s="36">
        <f t="shared" si="225"/>
        <v>17842</v>
      </c>
      <c r="L250" s="36">
        <f t="shared" si="225"/>
        <v>35222</v>
      </c>
      <c r="M250" s="36">
        <f t="shared" si="225"/>
        <v>35513</v>
      </c>
      <c r="N250" s="36">
        <f t="shared" si="225"/>
        <v>36358</v>
      </c>
      <c r="O250" s="36">
        <f t="shared" si="225"/>
        <v>37501</v>
      </c>
      <c r="P250" s="36">
        <f t="shared" si="225"/>
        <v>39040</v>
      </c>
      <c r="Q250" s="36">
        <f t="shared" si="225"/>
        <v>39977</v>
      </c>
      <c r="R250" s="36">
        <f>IF(ISNUMBER(R251),R251,IF(ISNUMBER(R252),R252,"…"))</f>
        <v>41296</v>
      </c>
      <c r="S250" s="36">
        <f t="shared" ref="S250:Y250" si="226">IF(ISNUMBER(S251),S251,IF(ISNUMBER(S252),S252,"…"))</f>
        <v>42967</v>
      </c>
      <c r="T250" s="36">
        <f t="shared" si="226"/>
        <v>44650</v>
      </c>
      <c r="U250" s="36">
        <f t="shared" si="226"/>
        <v>51515</v>
      </c>
      <c r="V250" s="36" t="str">
        <f t="shared" si="226"/>
        <v>…</v>
      </c>
      <c r="W250" s="36" t="str">
        <f t="shared" si="226"/>
        <v>…</v>
      </c>
      <c r="X250" s="36" t="str">
        <f t="shared" si="226"/>
        <v>…</v>
      </c>
      <c r="Y250" s="36" t="str">
        <f t="shared" si="226"/>
        <v>…</v>
      </c>
      <c r="Z250" s="36"/>
      <c r="AA250" s="36"/>
      <c r="AB250" s="25"/>
      <c r="AC250" s="2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36"/>
      <c r="AZ250" s="5"/>
      <c r="BK250" s="22"/>
      <c r="BL250" s="23"/>
      <c r="BM250" s="22"/>
      <c r="BN250" s="22"/>
      <c r="BO250" s="22"/>
      <c r="BP250" s="22"/>
      <c r="BQ250" s="22"/>
      <c r="BR250" s="24"/>
    </row>
    <row r="251" spans="1:70" hidden="1" outlineLevel="1">
      <c r="C251" s="52" t="s">
        <v>156</v>
      </c>
      <c r="D251" s="36" t="str">
        <f t="shared" ref="D251:Y251" si="227">IF(D$8="A",IFERROR(D267*2-C248,"…"),"…")</f>
        <v>…</v>
      </c>
      <c r="E251" s="36">
        <f t="shared" si="227"/>
        <v>7430</v>
      </c>
      <c r="F251" s="36">
        <f t="shared" si="227"/>
        <v>6998</v>
      </c>
      <c r="G251" s="36">
        <f t="shared" si="227"/>
        <v>6629</v>
      </c>
      <c r="H251" s="36">
        <f t="shared" ref="H251:Q251" si="228">IF(H$8="A",IFERROR(H267*2-G248,"…"),"…")</f>
        <v>9520</v>
      </c>
      <c r="I251" s="36">
        <f t="shared" si="228"/>
        <v>9978</v>
      </c>
      <c r="J251" s="36">
        <f t="shared" si="228"/>
        <v>9694</v>
      </c>
      <c r="K251" s="36">
        <f t="shared" si="228"/>
        <v>17842</v>
      </c>
      <c r="L251" s="36">
        <f t="shared" si="228"/>
        <v>35222</v>
      </c>
      <c r="M251" s="36">
        <f t="shared" si="228"/>
        <v>35513</v>
      </c>
      <c r="N251" s="36">
        <f t="shared" si="228"/>
        <v>36358</v>
      </c>
      <c r="O251" s="36">
        <f t="shared" si="228"/>
        <v>37501</v>
      </c>
      <c r="P251" s="36">
        <f t="shared" si="228"/>
        <v>39040</v>
      </c>
      <c r="Q251" s="36">
        <f t="shared" si="228"/>
        <v>39977</v>
      </c>
      <c r="R251" s="36">
        <f t="shared" si="227"/>
        <v>41296</v>
      </c>
      <c r="S251" s="36">
        <f t="shared" si="227"/>
        <v>42967</v>
      </c>
      <c r="T251" s="36">
        <f t="shared" si="227"/>
        <v>44650</v>
      </c>
      <c r="U251" s="36">
        <f t="shared" si="227"/>
        <v>51515</v>
      </c>
      <c r="V251" s="36" t="str">
        <f t="shared" si="227"/>
        <v>…</v>
      </c>
      <c r="W251" s="36" t="str">
        <f t="shared" si="227"/>
        <v>…</v>
      </c>
      <c r="X251" s="36" t="str">
        <f t="shared" si="227"/>
        <v>…</v>
      </c>
      <c r="Y251" s="36" t="str">
        <f t="shared" si="227"/>
        <v>…</v>
      </c>
      <c r="Z251" s="36"/>
      <c r="AA251" s="36"/>
      <c r="AB251" s="25"/>
      <c r="AC251" s="2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36"/>
      <c r="AZ251" s="5"/>
      <c r="BK251" s="22"/>
      <c r="BL251" s="23"/>
      <c r="BM251" s="22"/>
      <c r="BN251" s="22"/>
      <c r="BO251" s="22"/>
      <c r="BP251" s="22"/>
      <c r="BQ251" s="22"/>
      <c r="BR251" s="24"/>
    </row>
    <row r="252" spans="1:70" hidden="1" outlineLevel="1">
      <c r="C252" s="52" t="s">
        <v>157</v>
      </c>
      <c r="D252" s="36" t="str">
        <f>IF(D$8="A",IFERROR(C248-D196,"…"),"…")</f>
        <v>…</v>
      </c>
      <c r="E252" s="36">
        <f>IF(E$8="A",IFERROR(D248-E196,"…"),"…")</f>
        <v>5929.5220588235297</v>
      </c>
      <c r="F252" s="36">
        <f>IF(F$8="A",IFERROR(E248-F196,"…"),"…")</f>
        <v>5995.6370656370655</v>
      </c>
      <c r="G252" s="36">
        <f>IF(G$8="A",IFERROR(F248-G196,"…"),"…")</f>
        <v>5537.0396659707721</v>
      </c>
      <c r="H252" s="36">
        <f t="shared" ref="H252:Q252" si="229">IF(H$8="A",IFERROR(H267*2-G249,"…"),"…")</f>
        <v>9520</v>
      </c>
      <c r="I252" s="36">
        <f t="shared" si="229"/>
        <v>9978</v>
      </c>
      <c r="J252" s="36">
        <f t="shared" si="229"/>
        <v>9694</v>
      </c>
      <c r="K252" s="36">
        <f t="shared" si="229"/>
        <v>17842</v>
      </c>
      <c r="L252" s="36">
        <f t="shared" si="229"/>
        <v>35222</v>
      </c>
      <c r="M252" s="36">
        <f t="shared" si="229"/>
        <v>35513</v>
      </c>
      <c r="N252" s="36">
        <f t="shared" si="229"/>
        <v>36358</v>
      </c>
      <c r="O252" s="36">
        <f t="shared" si="229"/>
        <v>37501</v>
      </c>
      <c r="P252" s="36">
        <f t="shared" si="229"/>
        <v>39040</v>
      </c>
      <c r="Q252" s="36">
        <f t="shared" si="229"/>
        <v>39977</v>
      </c>
      <c r="R252" s="36">
        <f t="shared" ref="R252:Y252" si="230">IF(R$8="A",IFERROR(R267*2-Q249,"…"),"…")</f>
        <v>41296</v>
      </c>
      <c r="S252" s="36">
        <f t="shared" si="230"/>
        <v>42967</v>
      </c>
      <c r="T252" s="36">
        <f t="shared" si="230"/>
        <v>44650</v>
      </c>
      <c r="U252" s="36">
        <f t="shared" si="230"/>
        <v>51515</v>
      </c>
      <c r="V252" s="36" t="str">
        <f t="shared" si="230"/>
        <v>…</v>
      </c>
      <c r="W252" s="36" t="str">
        <f t="shared" si="230"/>
        <v>…</v>
      </c>
      <c r="X252" s="36" t="str">
        <f t="shared" si="230"/>
        <v>…</v>
      </c>
      <c r="Y252" s="36" t="str">
        <f t="shared" si="230"/>
        <v>…</v>
      </c>
      <c r="Z252" s="36"/>
      <c r="AA252" s="36"/>
      <c r="AB252" s="25"/>
      <c r="AC252" s="2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36"/>
      <c r="AZ252" s="5"/>
      <c r="BK252" s="22"/>
      <c r="BL252" s="23"/>
      <c r="BM252" s="22"/>
      <c r="BN252" s="22"/>
      <c r="BO252" s="22"/>
      <c r="BP252" s="22"/>
      <c r="BQ252" s="22"/>
      <c r="BR252" s="24"/>
    </row>
    <row r="253" spans="1:70" hidden="1" outlineLevel="1">
      <c r="C253" s="43" t="s">
        <v>355</v>
      </c>
      <c r="D253" s="36" t="str">
        <f t="shared" ref="D253:Y253" si="231">IF(D$8="E",IFERROR(C248-D196-SUM(D93)+SUM(D93)/D200,"…"),"…")</f>
        <v>…</v>
      </c>
      <c r="E253" s="36" t="str">
        <f t="shared" si="231"/>
        <v>…</v>
      </c>
      <c r="F253" s="36" t="str">
        <f t="shared" si="231"/>
        <v>…</v>
      </c>
      <c r="G253" s="36" t="str">
        <f t="shared" si="231"/>
        <v>…</v>
      </c>
      <c r="H253" s="36" t="str">
        <f t="shared" si="231"/>
        <v>…</v>
      </c>
      <c r="I253" s="36" t="str">
        <f t="shared" si="231"/>
        <v>…</v>
      </c>
      <c r="J253" s="36" t="str">
        <f t="shared" si="231"/>
        <v>…</v>
      </c>
      <c r="K253" s="36" t="str">
        <f t="shared" si="231"/>
        <v>…</v>
      </c>
      <c r="L253" s="36" t="str">
        <f t="shared" si="231"/>
        <v>…</v>
      </c>
      <c r="M253" s="36" t="str">
        <f t="shared" si="231"/>
        <v>…</v>
      </c>
      <c r="N253" s="36" t="str">
        <f t="shared" si="231"/>
        <v>…</v>
      </c>
      <c r="O253" s="36" t="str">
        <f t="shared" si="231"/>
        <v>…</v>
      </c>
      <c r="P253" s="36" t="str">
        <f t="shared" si="231"/>
        <v>…</v>
      </c>
      <c r="Q253" s="36" t="str">
        <f t="shared" si="231"/>
        <v>…</v>
      </c>
      <c r="R253" s="36" t="str">
        <f t="shared" si="231"/>
        <v>…</v>
      </c>
      <c r="S253" s="36" t="str">
        <f t="shared" si="231"/>
        <v>…</v>
      </c>
      <c r="T253" s="36" t="str">
        <f t="shared" si="231"/>
        <v>…</v>
      </c>
      <c r="U253" s="36" t="str">
        <f t="shared" si="231"/>
        <v>…</v>
      </c>
      <c r="V253" s="36">
        <f t="shared" si="231"/>
        <v>45627.571428571428</v>
      </c>
      <c r="W253" s="36">
        <f t="shared" si="231"/>
        <v>40412.991836734691</v>
      </c>
      <c r="X253" s="36">
        <f t="shared" si="231"/>
        <v>35794.364198250725</v>
      </c>
      <c r="Y253" s="36">
        <f t="shared" si="231"/>
        <v>31703.579718450641</v>
      </c>
      <c r="Z253" s="36"/>
      <c r="AA253" s="36"/>
      <c r="AB253" s="23"/>
      <c r="AC253" s="23"/>
      <c r="AI253" s="33"/>
      <c r="AJ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36"/>
      <c r="AZ253" s="33"/>
      <c r="BB253" s="33"/>
    </row>
    <row r="254" spans="1:70" collapsed="1">
      <c r="C254" s="38" t="s">
        <v>321</v>
      </c>
      <c r="D254" s="36">
        <f>IF(ISNUMBER(D255),D255,IF(ISNUMBER(D256),D256,"…"))</f>
        <v>225</v>
      </c>
      <c r="E254" s="36">
        <f>IF(ISNUMBER(E255),E255,IF(ISNUMBER(E256),E256,"…"))</f>
        <v>238</v>
      </c>
      <c r="F254" s="36">
        <f>IF(ISNUMBER(F255),F255,IF(ISNUMBER(F256),F256,"…"))</f>
        <v>195</v>
      </c>
      <c r="G254" s="36">
        <f>IF(ISNUMBER(G255),G255,IF(ISNUMBER(G256),G256,"…"))</f>
        <v>201</v>
      </c>
      <c r="H254" s="36">
        <f t="shared" ref="H254:P254" si="232">IF(ISNUMBER(H255),H255,IF(ISNUMBER(H256),H256,IF(ISNUMBER(H257),H257,"…")))</f>
        <v>2771</v>
      </c>
      <c r="I254" s="36">
        <f t="shared" si="232"/>
        <v>2929</v>
      </c>
      <c r="J254" s="36">
        <f t="shared" si="232"/>
        <v>3410</v>
      </c>
      <c r="K254" s="36">
        <f t="shared" si="232"/>
        <v>4334</v>
      </c>
      <c r="L254" s="36">
        <f t="shared" si="232"/>
        <v>23889</v>
      </c>
      <c r="M254" s="36">
        <f t="shared" si="232"/>
        <v>23730</v>
      </c>
      <c r="N254" s="36">
        <f t="shared" si="232"/>
        <v>23577</v>
      </c>
      <c r="O254" s="36">
        <f t="shared" si="232"/>
        <v>23646</v>
      </c>
      <c r="P254" s="36">
        <f t="shared" si="232"/>
        <v>23559</v>
      </c>
      <c r="Q254" s="36">
        <f t="shared" ref="Q254:V254" si="233">IF(ISNUMBER(Q255),Q255,IF(ISNUMBER(Q256),Q256,IF(ISNUMBER(Q257),Q257,"…")))</f>
        <v>23442</v>
      </c>
      <c r="R254" s="36">
        <f t="shared" si="233"/>
        <v>23317</v>
      </c>
      <c r="S254" s="36">
        <f t="shared" si="233"/>
        <v>23247</v>
      </c>
      <c r="T254" s="36">
        <f t="shared" si="233"/>
        <v>23318</v>
      </c>
      <c r="U254" s="36">
        <f t="shared" si="233"/>
        <v>26174</v>
      </c>
      <c r="V254" s="36">
        <f t="shared" si="233"/>
        <v>26174</v>
      </c>
      <c r="W254" s="36">
        <f>IF(ISNUMBER(W255),W255,IF(ISNUMBER(W256),W256,IF(ISNUMBER(W257),W257,"…")))</f>
        <v>26174</v>
      </c>
      <c r="X254" s="36">
        <f>IF(ISNUMBER(X255),X255,IF(ISNUMBER(X256),X256,IF(ISNUMBER(X257),X257,"…")))</f>
        <v>26174</v>
      </c>
      <c r="Y254" s="36">
        <f>IF(ISNUMBER(Y255),Y255,IF(ISNUMBER(Y256),Y256,IF(ISNUMBER(Y257),Y257,"…")))</f>
        <v>26174</v>
      </c>
      <c r="Z254" s="36"/>
      <c r="AA254" s="36"/>
      <c r="AY254" s="36"/>
    </row>
    <row r="255" spans="1:70" hidden="1" outlineLevel="1">
      <c r="A255" s="5" t="s">
        <v>308</v>
      </c>
      <c r="C255" s="67" t="s">
        <v>303</v>
      </c>
      <c r="D255" s="36">
        <f t="shared" ref="D255:L255" si="234">IF(D$8="A",IF(D390="…","calc./est.",D390),"…")</f>
        <v>225</v>
      </c>
      <c r="E255" s="36">
        <f t="shared" si="234"/>
        <v>238</v>
      </c>
      <c r="F255" s="36">
        <f t="shared" si="234"/>
        <v>195</v>
      </c>
      <c r="G255" s="36">
        <f t="shared" si="234"/>
        <v>201</v>
      </c>
      <c r="H255" s="36">
        <f t="shared" si="234"/>
        <v>2771</v>
      </c>
      <c r="I255" s="36">
        <f t="shared" si="234"/>
        <v>2929</v>
      </c>
      <c r="J255" s="36">
        <f t="shared" si="234"/>
        <v>3410</v>
      </c>
      <c r="K255" s="36">
        <f t="shared" si="234"/>
        <v>4334</v>
      </c>
      <c r="L255" s="36">
        <f t="shared" si="234"/>
        <v>23889</v>
      </c>
      <c r="M255" s="36" t="s">
        <v>314</v>
      </c>
      <c r="N255" s="36" t="s">
        <v>314</v>
      </c>
      <c r="O255" s="36" t="s">
        <v>314</v>
      </c>
      <c r="P255" s="36" t="s">
        <v>314</v>
      </c>
      <c r="Q255" s="36" t="s">
        <v>314</v>
      </c>
      <c r="R255" s="36" t="s">
        <v>314</v>
      </c>
      <c r="S255" s="36" t="s">
        <v>314</v>
      </c>
      <c r="T255" s="36" t="s">
        <v>314</v>
      </c>
      <c r="U255" s="36" t="s">
        <v>314</v>
      </c>
      <c r="V255" s="36" t="s">
        <v>314</v>
      </c>
      <c r="W255" s="36" t="s">
        <v>314</v>
      </c>
      <c r="X255" s="36" t="s">
        <v>314</v>
      </c>
      <c r="Y255" s="36" t="s">
        <v>314</v>
      </c>
      <c r="Z255" s="36"/>
      <c r="AA255" s="36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36"/>
      <c r="AZ255" s="5"/>
      <c r="BK255" s="22"/>
      <c r="BL255" s="23"/>
      <c r="BM255" s="22"/>
      <c r="BN255" s="22"/>
      <c r="BO255" s="22"/>
      <c r="BP255" s="22"/>
      <c r="BQ255" s="22"/>
      <c r="BR255" s="24"/>
    </row>
    <row r="256" spans="1:70" hidden="1" outlineLevel="1">
      <c r="C256" s="67" t="s">
        <v>304</v>
      </c>
      <c r="D256" s="36">
        <f t="shared" ref="D256:V256" si="235">IFERROR(D386-D248,"…")</f>
        <v>225</v>
      </c>
      <c r="E256" s="36">
        <f t="shared" si="235"/>
        <v>238</v>
      </c>
      <c r="F256" s="36">
        <f t="shared" si="235"/>
        <v>195</v>
      </c>
      <c r="G256" s="36">
        <f t="shared" si="235"/>
        <v>201</v>
      </c>
      <c r="H256" s="36">
        <f t="shared" si="235"/>
        <v>2771</v>
      </c>
      <c r="I256" s="36">
        <f t="shared" si="235"/>
        <v>2929</v>
      </c>
      <c r="J256" s="36">
        <f t="shared" si="235"/>
        <v>3410</v>
      </c>
      <c r="K256" s="36">
        <f t="shared" si="235"/>
        <v>4334</v>
      </c>
      <c r="L256" s="36">
        <f t="shared" si="235"/>
        <v>23889</v>
      </c>
      <c r="M256" s="36">
        <f t="shared" si="235"/>
        <v>23730</v>
      </c>
      <c r="N256" s="36">
        <f t="shared" si="235"/>
        <v>23577</v>
      </c>
      <c r="O256" s="36">
        <f t="shared" si="235"/>
        <v>23646</v>
      </c>
      <c r="P256" s="36">
        <f t="shared" si="235"/>
        <v>23559</v>
      </c>
      <c r="Q256" s="36">
        <f t="shared" si="235"/>
        <v>23442</v>
      </c>
      <c r="R256" s="36">
        <f t="shared" si="235"/>
        <v>23317</v>
      </c>
      <c r="S256" s="36">
        <f t="shared" si="235"/>
        <v>23247</v>
      </c>
      <c r="T256" s="36">
        <f t="shared" si="235"/>
        <v>23318</v>
      </c>
      <c r="U256" s="36">
        <f t="shared" si="235"/>
        <v>26174</v>
      </c>
      <c r="V256" s="36" t="str">
        <f t="shared" si="235"/>
        <v>…</v>
      </c>
      <c r="W256" s="36" t="str">
        <f>IFERROR(W386-W248,"…")</f>
        <v>…</v>
      </c>
      <c r="X256" s="36" t="str">
        <f>IFERROR(X386-X248,"…")</f>
        <v>…</v>
      </c>
      <c r="Y256" s="36" t="str">
        <f>IFERROR(Y386-Y248,"…")</f>
        <v>…</v>
      </c>
      <c r="Z256" s="36"/>
      <c r="AA256" s="36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36"/>
      <c r="AZ256" s="5"/>
      <c r="BK256" s="22"/>
      <c r="BL256" s="23"/>
      <c r="BM256" s="22"/>
      <c r="BN256" s="22"/>
      <c r="BO256" s="22"/>
      <c r="BP256" s="22"/>
      <c r="BQ256" s="22"/>
      <c r="BR256" s="24"/>
    </row>
    <row r="257" spans="3:70" hidden="1" outlineLevel="1">
      <c r="C257" s="67" t="s">
        <v>402</v>
      </c>
      <c r="D257" s="36" t="str">
        <f t="shared" ref="D257:J257" si="236">IF(D$8="E",IFERROR(C254/1,"…"),"…")</f>
        <v>…</v>
      </c>
      <c r="E257" s="36" t="str">
        <f t="shared" si="236"/>
        <v>…</v>
      </c>
      <c r="F257" s="36" t="str">
        <f t="shared" si="236"/>
        <v>…</v>
      </c>
      <c r="G257" s="36" t="str">
        <f t="shared" si="236"/>
        <v>…</v>
      </c>
      <c r="H257" s="36" t="str">
        <f t="shared" si="236"/>
        <v>…</v>
      </c>
      <c r="I257" s="36" t="str">
        <f t="shared" si="236"/>
        <v>…</v>
      </c>
      <c r="J257" s="36" t="str">
        <f t="shared" si="236"/>
        <v>…</v>
      </c>
      <c r="K257" s="36" t="str">
        <f t="shared" ref="K257:Y257" si="237">IF(K$8="E",IFERROR(J254/1,"…"),"…")</f>
        <v>…</v>
      </c>
      <c r="L257" s="36" t="str">
        <f t="shared" si="237"/>
        <v>…</v>
      </c>
      <c r="M257" s="36" t="str">
        <f t="shared" si="237"/>
        <v>…</v>
      </c>
      <c r="N257" s="36" t="str">
        <f t="shared" si="237"/>
        <v>…</v>
      </c>
      <c r="O257" s="36" t="str">
        <f t="shared" si="237"/>
        <v>…</v>
      </c>
      <c r="P257" s="36" t="str">
        <f t="shared" si="237"/>
        <v>…</v>
      </c>
      <c r="Q257" s="36" t="str">
        <f t="shared" si="237"/>
        <v>…</v>
      </c>
      <c r="R257" s="36" t="str">
        <f t="shared" si="237"/>
        <v>…</v>
      </c>
      <c r="S257" s="36" t="str">
        <f t="shared" si="237"/>
        <v>…</v>
      </c>
      <c r="T257" s="36" t="str">
        <f t="shared" si="237"/>
        <v>…</v>
      </c>
      <c r="U257" s="36" t="str">
        <f t="shared" si="237"/>
        <v>…</v>
      </c>
      <c r="V257" s="36">
        <f t="shared" si="237"/>
        <v>26174</v>
      </c>
      <c r="W257" s="36">
        <f t="shared" si="237"/>
        <v>26174</v>
      </c>
      <c r="X257" s="36">
        <f t="shared" si="237"/>
        <v>26174</v>
      </c>
      <c r="Y257" s="36">
        <f t="shared" si="237"/>
        <v>26174</v>
      </c>
      <c r="Z257" s="36"/>
      <c r="AA257" s="36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36"/>
      <c r="AZ257" s="5"/>
      <c r="BK257" s="22"/>
      <c r="BL257" s="23"/>
      <c r="BM257" s="22"/>
      <c r="BN257" s="22"/>
      <c r="BO257" s="22"/>
      <c r="BP257" s="22"/>
      <c r="BQ257" s="22"/>
      <c r="BR257" s="24"/>
    </row>
    <row r="258" spans="3:70" collapsed="1">
      <c r="C258" s="38" t="s">
        <v>327</v>
      </c>
      <c r="D258" s="36">
        <f t="shared" ref="D258:Y258" si="238">IF(D$8="A",D297,IF(D$8="E",C258,"…"))</f>
        <v>10134</v>
      </c>
      <c r="E258" s="36">
        <f t="shared" si="238"/>
        <v>11423</v>
      </c>
      <c r="F258" s="36">
        <f t="shared" si="238"/>
        <v>15415</v>
      </c>
      <c r="G258" s="36">
        <f t="shared" si="238"/>
        <v>18067</v>
      </c>
      <c r="H258" s="36">
        <f t="shared" si="238"/>
        <v>14070</v>
      </c>
      <c r="I258" s="36">
        <f t="shared" si="238"/>
        <v>17271</v>
      </c>
      <c r="J258" s="36">
        <f t="shared" si="238"/>
        <v>23917</v>
      </c>
      <c r="K258" s="36">
        <f t="shared" si="238"/>
        <v>25777</v>
      </c>
      <c r="L258" s="36">
        <f t="shared" si="238"/>
        <v>26448</v>
      </c>
      <c r="M258" s="36">
        <f t="shared" si="238"/>
        <v>25989</v>
      </c>
      <c r="N258" s="36">
        <f t="shared" si="238"/>
        <v>30296</v>
      </c>
      <c r="O258" s="36">
        <f t="shared" si="238"/>
        <v>35885</v>
      </c>
      <c r="P258" s="36">
        <f>IF(P$8="A",P297,IF(P$8="E",O258,"…"))</f>
        <v>51076</v>
      </c>
      <c r="Q258" s="36">
        <f>IF(Q$8="A",Q297,IF(Q$8="E",P258,"…"))</f>
        <v>49405</v>
      </c>
      <c r="R258" s="36">
        <f t="shared" si="238"/>
        <v>49704</v>
      </c>
      <c r="S258" s="36">
        <f t="shared" si="238"/>
        <v>51325</v>
      </c>
      <c r="T258" s="36">
        <f t="shared" si="238"/>
        <v>60692</v>
      </c>
      <c r="U258" s="36">
        <f t="shared" si="238"/>
        <v>69237</v>
      </c>
      <c r="V258" s="36">
        <f t="shared" si="238"/>
        <v>69237</v>
      </c>
      <c r="W258" s="36">
        <f t="shared" si="238"/>
        <v>69237</v>
      </c>
      <c r="X258" s="36">
        <f t="shared" si="238"/>
        <v>69237</v>
      </c>
      <c r="Y258" s="36">
        <f t="shared" si="238"/>
        <v>69237</v>
      </c>
      <c r="Z258" s="36"/>
      <c r="AA258" s="36"/>
      <c r="AB258" s="23"/>
      <c r="AC258" s="23"/>
      <c r="AY258" s="36"/>
    </row>
    <row r="259" spans="3:70">
      <c r="C259" s="38" t="s">
        <v>331</v>
      </c>
      <c r="D259" s="36">
        <f t="shared" ref="D259:Y259" si="239">IF(D$8="A",D450,IF(D$8="L","…",IF(D$8="E",IFERROR(C259*D147/C147,"…"),"…")))</f>
        <v>2298</v>
      </c>
      <c r="E259" s="36">
        <f t="shared" si="239"/>
        <v>2270</v>
      </c>
      <c r="F259" s="36">
        <f t="shared" si="239"/>
        <v>3028</v>
      </c>
      <c r="G259" s="36">
        <f t="shared" si="239"/>
        <v>3368</v>
      </c>
      <c r="H259" s="36">
        <f t="shared" si="239"/>
        <v>4150</v>
      </c>
      <c r="I259" s="36">
        <f t="shared" si="239"/>
        <v>14720</v>
      </c>
      <c r="J259" s="36">
        <f t="shared" si="239"/>
        <v>20021</v>
      </c>
      <c r="K259" s="36">
        <f t="shared" si="239"/>
        <v>31656</v>
      </c>
      <c r="L259" s="36">
        <f t="shared" si="239"/>
        <v>28689</v>
      </c>
      <c r="M259" s="36">
        <f t="shared" si="239"/>
        <v>31388</v>
      </c>
      <c r="N259" s="36">
        <f t="shared" si="239"/>
        <v>36205</v>
      </c>
      <c r="O259" s="36">
        <f t="shared" si="239"/>
        <v>8070</v>
      </c>
      <c r="P259" s="36">
        <f t="shared" si="239"/>
        <v>0</v>
      </c>
      <c r="Q259" s="36">
        <f t="shared" si="239"/>
        <v>0</v>
      </c>
      <c r="R259" s="36">
        <f t="shared" si="239"/>
        <v>0</v>
      </c>
      <c r="S259" s="36">
        <f t="shared" si="239"/>
        <v>0</v>
      </c>
      <c r="T259" s="36">
        <f t="shared" si="239"/>
        <v>0</v>
      </c>
      <c r="U259" s="36">
        <f t="shared" si="239"/>
        <v>0</v>
      </c>
      <c r="V259" s="36">
        <f t="shared" si="239"/>
        <v>0</v>
      </c>
      <c r="W259" s="36">
        <f t="shared" si="239"/>
        <v>0</v>
      </c>
      <c r="X259" s="36">
        <f t="shared" si="239"/>
        <v>0</v>
      </c>
      <c r="Y259" s="36">
        <f t="shared" si="239"/>
        <v>0</v>
      </c>
      <c r="Z259" s="36"/>
      <c r="AA259" s="36"/>
      <c r="AB259" s="23"/>
      <c r="AC259" s="23"/>
      <c r="AY259" s="36"/>
    </row>
    <row r="260" spans="3:70" ht="13.15">
      <c r="C260" s="9" t="s">
        <v>220</v>
      </c>
      <c r="D260" s="36">
        <f t="shared" ref="D260:R260" si="240">IFERROR(1/(1/SUM(D242,D245:D248,D254,D258:D259)),"…")</f>
        <v>104841</v>
      </c>
      <c r="E260" s="36">
        <f t="shared" si="240"/>
        <v>108123</v>
      </c>
      <c r="F260" s="36">
        <f t="shared" si="240"/>
        <v>110153</v>
      </c>
      <c r="G260" s="36">
        <f t="shared" si="240"/>
        <v>117835</v>
      </c>
      <c r="H260" s="36">
        <f t="shared" si="240"/>
        <v>136064</v>
      </c>
      <c r="I260" s="36">
        <f t="shared" si="240"/>
        <v>143789</v>
      </c>
      <c r="J260" s="36">
        <f t="shared" si="240"/>
        <v>163324</v>
      </c>
      <c r="K260" s="36">
        <f t="shared" si="240"/>
        <v>210979</v>
      </c>
      <c r="L260" s="36">
        <f t="shared" si="240"/>
        <v>259300</v>
      </c>
      <c r="M260" s="36">
        <f t="shared" si="240"/>
        <v>272708</v>
      </c>
      <c r="N260" s="36">
        <f t="shared" si="240"/>
        <v>292847</v>
      </c>
      <c r="O260" s="36">
        <f t="shared" si="240"/>
        <v>382009.99999999994</v>
      </c>
      <c r="P260" s="36">
        <f t="shared" si="240"/>
        <v>414760.00000000006</v>
      </c>
      <c r="Q260" s="36">
        <f t="shared" si="240"/>
        <v>427463.00000000006</v>
      </c>
      <c r="R260" s="36">
        <f t="shared" si="240"/>
        <v>463745</v>
      </c>
      <c r="S260" s="36">
        <f t="shared" ref="S260:Y260" si="241">IFERROR(1/(1/SUM(S242,S245:S248,S254,S258:S259)),"…")</f>
        <v>406044.99999999994</v>
      </c>
      <c r="T260" s="36">
        <f t="shared" si="241"/>
        <v>419879</v>
      </c>
      <c r="U260" s="36">
        <f t="shared" si="241"/>
        <v>451029</v>
      </c>
      <c r="V260" s="36">
        <f t="shared" si="241"/>
        <v>415052.4250647318</v>
      </c>
      <c r="W260" s="36">
        <f t="shared" si="241"/>
        <v>410079.16581620631</v>
      </c>
      <c r="X260" s="36">
        <f t="shared" si="241"/>
        <v>402899.60435335542</v>
      </c>
      <c r="Y260" s="36">
        <f t="shared" si="241"/>
        <v>400304.15417897998</v>
      </c>
      <c r="Z260" s="36"/>
      <c r="AA260" s="36"/>
      <c r="AB260" s="23"/>
      <c r="AC260" s="23"/>
      <c r="AY260" s="36"/>
    </row>
    <row r="261" spans="3:70"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23"/>
      <c r="AC261" s="23"/>
      <c r="AY261" s="5"/>
    </row>
    <row r="262" spans="3:70">
      <c r="C262" s="5" t="s">
        <v>333</v>
      </c>
      <c r="D262" s="36">
        <f t="shared" ref="D262:V262" si="242">IF(D$8="A",D358,IF(D$8="L","…","…"))</f>
        <v>127603</v>
      </c>
      <c r="E262" s="36">
        <f t="shared" si="242"/>
        <v>133081</v>
      </c>
      <c r="F262" s="36">
        <f t="shared" si="242"/>
        <v>136603</v>
      </c>
      <c r="G262" s="36">
        <f t="shared" si="242"/>
        <v>145357</v>
      </c>
      <c r="H262" s="36">
        <f t="shared" si="242"/>
        <v>167919</v>
      </c>
      <c r="I262" s="36">
        <f t="shared" si="242"/>
        <v>177179</v>
      </c>
      <c r="J262" s="36">
        <f t="shared" si="242"/>
        <v>199393</v>
      </c>
      <c r="K262" s="36">
        <f t="shared" si="242"/>
        <v>253769</v>
      </c>
      <c r="L262" s="36">
        <f t="shared" si="242"/>
        <v>309518</v>
      </c>
      <c r="M262" s="36">
        <f t="shared" si="242"/>
        <v>324333</v>
      </c>
      <c r="N262" s="36">
        <f t="shared" si="242"/>
        <v>351209</v>
      </c>
      <c r="O262" s="36">
        <f t="shared" si="242"/>
        <v>381935</v>
      </c>
      <c r="P262" s="36">
        <f t="shared" si="242"/>
        <v>409732</v>
      </c>
      <c r="Q262" s="36">
        <f t="shared" si="242"/>
        <v>422193</v>
      </c>
      <c r="R262" s="36">
        <f t="shared" si="242"/>
        <v>458156</v>
      </c>
      <c r="S262" s="36">
        <f t="shared" si="242"/>
        <v>488071</v>
      </c>
      <c r="T262" s="36">
        <f t="shared" si="242"/>
        <v>497114</v>
      </c>
      <c r="U262" s="36">
        <f t="shared" si="242"/>
        <v>528609</v>
      </c>
      <c r="V262" s="36" t="str">
        <f t="shared" si="242"/>
        <v>…</v>
      </c>
      <c r="W262" s="36" t="str">
        <f>IF(W$8="A",W358,IF(W$8="L","…","…"))</f>
        <v>…</v>
      </c>
      <c r="X262" s="36" t="str">
        <f>IF(X$8="A",X358,IF(X$8="L","…","…"))</f>
        <v>…</v>
      </c>
      <c r="Y262" s="36" t="str">
        <f>IF(Y$8="A",Y358,IF(Y$8="L","…","…"))</f>
        <v>…</v>
      </c>
      <c r="Z262" s="36"/>
      <c r="AA262" s="36"/>
      <c r="AY262" s="36"/>
    </row>
    <row r="263" spans="3:70">
      <c r="C263" s="5" t="s">
        <v>315</v>
      </c>
      <c r="D263" s="36">
        <f t="shared" ref="D263:V263" si="243">IFERROR(D260-D490,"…")</f>
        <v>-22762</v>
      </c>
      <c r="E263" s="36">
        <f t="shared" si="243"/>
        <v>-24958</v>
      </c>
      <c r="F263" s="36">
        <f t="shared" si="243"/>
        <v>-26450</v>
      </c>
      <c r="G263" s="36">
        <f t="shared" si="243"/>
        <v>-27522</v>
      </c>
      <c r="H263" s="36">
        <f t="shared" si="243"/>
        <v>-31855</v>
      </c>
      <c r="I263" s="36">
        <f t="shared" si="243"/>
        <v>-33390</v>
      </c>
      <c r="J263" s="36">
        <f t="shared" si="243"/>
        <v>-36069</v>
      </c>
      <c r="K263" s="36">
        <f t="shared" si="243"/>
        <v>-42790</v>
      </c>
      <c r="L263" s="36">
        <f t="shared" si="243"/>
        <v>-50218</v>
      </c>
      <c r="M263" s="55">
        <f t="shared" si="243"/>
        <v>-51625</v>
      </c>
      <c r="N263" s="55">
        <f t="shared" si="243"/>
        <v>-58362</v>
      </c>
      <c r="O263" s="55">
        <f t="shared" si="243"/>
        <v>74.999999999941792</v>
      </c>
      <c r="P263" s="55">
        <f t="shared" si="243"/>
        <v>5028.0000000000582</v>
      </c>
      <c r="Q263" s="55">
        <f t="shared" si="243"/>
        <v>5270.0000000000582</v>
      </c>
      <c r="R263" s="55">
        <f t="shared" si="243"/>
        <v>5589</v>
      </c>
      <c r="S263" s="55">
        <f t="shared" si="243"/>
        <v>-82026.000000000058</v>
      </c>
      <c r="T263" s="55">
        <f t="shared" si="243"/>
        <v>-77235</v>
      </c>
      <c r="U263" s="55">
        <f t="shared" si="243"/>
        <v>-77580</v>
      </c>
      <c r="V263" s="55" t="str">
        <f t="shared" si="243"/>
        <v>…</v>
      </c>
      <c r="W263" s="55" t="str">
        <f>IFERROR(W260-W490,"…")</f>
        <v>…</v>
      </c>
      <c r="X263" s="55" t="str">
        <f>IFERROR(X260-X490,"…")</f>
        <v>…</v>
      </c>
      <c r="Y263" s="55" t="str">
        <f>IFERROR(Y260-Y490,"…")</f>
        <v>…</v>
      </c>
      <c r="Z263" s="55"/>
      <c r="AA263" s="55"/>
      <c r="AB263" s="23"/>
      <c r="AC263" s="23"/>
      <c r="AY263" s="55"/>
    </row>
    <row r="264" spans="3:70">
      <c r="D264" s="36"/>
      <c r="E264" s="36"/>
      <c r="F264" s="36"/>
      <c r="G264" s="36"/>
      <c r="H264" s="36"/>
      <c r="I264" s="36"/>
      <c r="J264" s="36"/>
      <c r="K264" s="36"/>
      <c r="L264" s="36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23"/>
      <c r="AC264" s="23"/>
      <c r="AY264" s="55"/>
    </row>
    <row r="265" spans="3:70">
      <c r="C265" s="38" t="s">
        <v>134</v>
      </c>
      <c r="D265" s="45">
        <f>IF(D246="…","…",IF(C246="…",AVERAGE(AG368:AG368),AVERAGE(C246:D246)))</f>
        <v>32461</v>
      </c>
      <c r="E265" s="45">
        <f t="shared" ref="E265:Y265" si="244">IF(E246="…","…",IF(D246="…",AVERAGE(C246:E246),AVERAGE(D246:E246)))</f>
        <v>32697</v>
      </c>
      <c r="F265" s="45">
        <f t="shared" si="244"/>
        <v>30656</v>
      </c>
      <c r="G265" s="45">
        <f t="shared" si="244"/>
        <v>28024</v>
      </c>
      <c r="H265" s="45">
        <f t="shared" si="244"/>
        <v>30414.5</v>
      </c>
      <c r="I265" s="45">
        <f t="shared" si="244"/>
        <v>28802</v>
      </c>
      <c r="J265" s="45">
        <f t="shared" si="244"/>
        <v>25145.5</v>
      </c>
      <c r="K265" s="45">
        <f t="shared" si="244"/>
        <v>28861.5</v>
      </c>
      <c r="L265" s="45">
        <f>IF(L246="…","…",IF(K246="…",AVERAGE(J246:L246),AVERAGE(K246:L246)))</f>
        <v>35650</v>
      </c>
      <c r="M265" s="45">
        <f>IF(M246="…","…",IF(L246="…",AVERAGE(K246:M246),AVERAGE(L246:M246)))</f>
        <v>40906</v>
      </c>
      <c r="N265" s="45">
        <f>IF(N246="…","…",IF(M246="…",AVERAGE(L246:N246),AVERAGE(M246:N246)))</f>
        <v>44278.5</v>
      </c>
      <c r="O265" s="45">
        <f>IF(O246="…","…",IF(N246="…",AVERAGE(M246:O246),AVERAGE(N246:O246)))</f>
        <v>64756.5</v>
      </c>
      <c r="P265" s="45">
        <f t="shared" si="244"/>
        <v>87908</v>
      </c>
      <c r="Q265" s="45">
        <f t="shared" si="244"/>
        <v>93718.5</v>
      </c>
      <c r="R265" s="45">
        <f t="shared" si="244"/>
        <v>98318.5</v>
      </c>
      <c r="S265" s="45">
        <f>IF(S246="…","…",IF(R246="…",AVERAGE(Q246:S246),AVERAGE(R246:S246)))</f>
        <v>108381</v>
      </c>
      <c r="T265" s="45">
        <f t="shared" si="244"/>
        <v>114830.5</v>
      </c>
      <c r="U265" s="45">
        <f t="shared" si="244"/>
        <v>118982</v>
      </c>
      <c r="V265" s="45">
        <f t="shared" si="244"/>
        <v>120825.0541234233</v>
      </c>
      <c r="W265" s="45">
        <f t="shared" si="244"/>
        <v>115482.43139176683</v>
      </c>
      <c r="X265" s="45">
        <f t="shared" si="244"/>
        <v>109755.35628816811</v>
      </c>
      <c r="Y265" s="45">
        <f t="shared" si="244"/>
        <v>103698.89832735178</v>
      </c>
      <c r="Z265" s="45"/>
      <c r="AA265" s="45"/>
      <c r="AB265" s="23"/>
      <c r="AC265" s="23"/>
      <c r="AY265" s="45"/>
    </row>
    <row r="266" spans="3:70">
      <c r="C266" s="38" t="s">
        <v>302</v>
      </c>
      <c r="D266" s="45">
        <f t="shared" ref="D266:I266" si="245">IF(ISNUMBER(D267),D267,IF(ISNUMBER(D268),D268,"…"))</f>
        <v>7265</v>
      </c>
      <c r="E266" s="45">
        <f t="shared" si="245"/>
        <v>7347.5</v>
      </c>
      <c r="F266" s="45">
        <f t="shared" si="245"/>
        <v>7214</v>
      </c>
      <c r="G266" s="45">
        <f t="shared" si="245"/>
        <v>6813.5</v>
      </c>
      <c r="H266" s="45">
        <f t="shared" si="245"/>
        <v>8074.5</v>
      </c>
      <c r="I266" s="45">
        <f t="shared" si="245"/>
        <v>9749</v>
      </c>
      <c r="J266" s="45">
        <f t="shared" ref="J266:Q266" si="246">IF(ISNUMBER(J267),J267,IF(ISNUMBER(J268),J268,IF(ISNUMBER(J269),J269,"…")))</f>
        <v>9836</v>
      </c>
      <c r="K266" s="45">
        <f t="shared" si="246"/>
        <v>13768</v>
      </c>
      <c r="L266" s="45">
        <f>IF(ISNUMBER(L267),L267,IF(ISNUMBER(L268),L268,IF(ISNUMBER(L269),L269,"…")))</f>
        <v>26532</v>
      </c>
      <c r="M266" s="45">
        <f>IF(ISNUMBER(M267),M267,IF(ISNUMBER(M268),M268,IF(ISNUMBER(M269),M269,"…")))</f>
        <v>35367.5</v>
      </c>
      <c r="N266" s="45">
        <f t="shared" si="246"/>
        <v>35935.5</v>
      </c>
      <c r="O266" s="45">
        <f t="shared" si="246"/>
        <v>36929.5</v>
      </c>
      <c r="P266" s="45">
        <f t="shared" si="246"/>
        <v>38270.5</v>
      </c>
      <c r="Q266" s="45">
        <f t="shared" si="246"/>
        <v>39508.5</v>
      </c>
      <c r="R266" s="45">
        <f t="shared" ref="R266:Y266" si="247">IF(ISNUMBER(R267),R267,IF(ISNUMBER(R268),R268,IF(ISNUMBER(R269),R269,"…")))</f>
        <v>40636.5</v>
      </c>
      <c r="S266" s="45">
        <f t="shared" si="247"/>
        <v>42131.5</v>
      </c>
      <c r="T266" s="45">
        <f t="shared" si="247"/>
        <v>43808.5</v>
      </c>
      <c r="U266" s="45">
        <f t="shared" si="247"/>
        <v>48082.5</v>
      </c>
      <c r="V266" s="45">
        <f t="shared" si="247"/>
        <v>48571.285714285717</v>
      </c>
      <c r="W266" s="45">
        <f t="shared" si="247"/>
        <v>43020.281632653059</v>
      </c>
      <c r="X266" s="45">
        <f t="shared" si="247"/>
        <v>38103.678017492712</v>
      </c>
      <c r="Y266" s="45">
        <f t="shared" si="247"/>
        <v>33748.971958350681</v>
      </c>
      <c r="Z266" s="45"/>
      <c r="AA266" s="45"/>
      <c r="AB266" s="23"/>
      <c r="AC266" s="23"/>
      <c r="AY266" s="45"/>
    </row>
    <row r="267" spans="3:70" hidden="1" outlineLevel="1">
      <c r="C267" s="43" t="s">
        <v>354</v>
      </c>
      <c r="D267" s="45">
        <f t="shared" ref="D267:Y267" si="248">IF(D249="…","…",IF(C249="…",AVERAGE(B249,D249),AVERAGE(C249:D249)))</f>
        <v>7265</v>
      </c>
      <c r="E267" s="45">
        <f t="shared" si="248"/>
        <v>7347.5</v>
      </c>
      <c r="F267" s="45">
        <f t="shared" si="248"/>
        <v>7214</v>
      </c>
      <c r="G267" s="45">
        <f t="shared" si="248"/>
        <v>6813.5</v>
      </c>
      <c r="H267" s="45">
        <f t="shared" si="248"/>
        <v>8074.5</v>
      </c>
      <c r="I267" s="45">
        <f t="shared" si="248"/>
        <v>9749</v>
      </c>
      <c r="J267" s="45">
        <f t="shared" si="248"/>
        <v>9836</v>
      </c>
      <c r="K267" s="45">
        <f t="shared" si="248"/>
        <v>13768</v>
      </c>
      <c r="L267" s="45">
        <f>IF(L249="…","…",IF(K249="…",AVERAGE(J249,L249),AVERAGE(K249:L249)))</f>
        <v>26532</v>
      </c>
      <c r="M267" s="45">
        <f>IF(M249="…","…",IF(L249="…",AVERAGE(K249,M249),AVERAGE(L249:M249)))</f>
        <v>35367.5</v>
      </c>
      <c r="N267" s="45">
        <f>IF(N249="…","…",IF(M249="…",AVERAGE(L249,N249),AVERAGE(M249:N249)))</f>
        <v>35935.5</v>
      </c>
      <c r="O267" s="45">
        <f>IF(O249="…","…",IF(N249="…",AVERAGE(M249,O249),AVERAGE(N249:O249)))</f>
        <v>36929.5</v>
      </c>
      <c r="P267" s="45">
        <f t="shared" si="248"/>
        <v>38270.5</v>
      </c>
      <c r="Q267" s="45">
        <f t="shared" si="248"/>
        <v>39508.5</v>
      </c>
      <c r="R267" s="45">
        <f t="shared" si="248"/>
        <v>40636.5</v>
      </c>
      <c r="S267" s="45">
        <f t="shared" si="248"/>
        <v>42131.5</v>
      </c>
      <c r="T267" s="45">
        <f t="shared" si="248"/>
        <v>43808.5</v>
      </c>
      <c r="U267" s="45">
        <f t="shared" si="248"/>
        <v>48082.5</v>
      </c>
      <c r="V267" s="45" t="str">
        <f t="shared" si="248"/>
        <v>…</v>
      </c>
      <c r="W267" s="45" t="str">
        <f t="shared" si="248"/>
        <v>…</v>
      </c>
      <c r="X267" s="45" t="str">
        <f t="shared" si="248"/>
        <v>…</v>
      </c>
      <c r="Y267" s="45" t="str">
        <f t="shared" si="248"/>
        <v>…</v>
      </c>
      <c r="Z267" s="45"/>
      <c r="AA267" s="45"/>
      <c r="AB267" s="23"/>
      <c r="AC267" s="23"/>
      <c r="AY267" s="45"/>
    </row>
    <row r="268" spans="3:70" hidden="1" outlineLevel="1">
      <c r="C268" s="43" t="s">
        <v>358</v>
      </c>
      <c r="D268" s="45">
        <f t="shared" ref="D268:Q268" si="249">IF(D$8="A",IFERROR(D202*D190,"…"),"…")</f>
        <v>163.02000000000001</v>
      </c>
      <c r="E268" s="45">
        <f t="shared" si="249"/>
        <v>167273.52000000002</v>
      </c>
      <c r="F268" s="45">
        <f t="shared" si="249"/>
        <v>7116.33</v>
      </c>
      <c r="G268" s="45">
        <f t="shared" si="249"/>
        <v>7754.32</v>
      </c>
      <c r="H268" s="45">
        <f t="shared" si="249"/>
        <v>7857.6050000000005</v>
      </c>
      <c r="I268" s="45">
        <f t="shared" si="249"/>
        <v>8926.1999999999989</v>
      </c>
      <c r="J268" s="45">
        <f t="shared" si="249"/>
        <v>11356.02</v>
      </c>
      <c r="K268" s="45">
        <f t="shared" si="249"/>
        <v>13763.039999999999</v>
      </c>
      <c r="L268" s="45">
        <f>IF(L$8="A",IFERROR(L202*L190,"…"),"…")</f>
        <v>28505.285</v>
      </c>
      <c r="M268" s="45">
        <f>IF(M$8="A",IFERROR(M202*M190,"…"),"…")</f>
        <v>29609.25</v>
      </c>
      <c r="N268" s="45">
        <f t="shared" si="249"/>
        <v>37844.959999999999</v>
      </c>
      <c r="O268" s="45">
        <f t="shared" si="249"/>
        <v>36798.545000000006</v>
      </c>
      <c r="P268" s="45">
        <f t="shared" si="249"/>
        <v>38038.895000000004</v>
      </c>
      <c r="Q268" s="45">
        <f t="shared" si="249"/>
        <v>38186.920000000006</v>
      </c>
      <c r="R268" s="45">
        <f t="shared" ref="R268:Y268" si="250">IF(R$8="A",IFERROR(R202*R190,"…"),"…")</f>
        <v>41028.020000000004</v>
      </c>
      <c r="S268" s="45">
        <f t="shared" si="250"/>
        <v>44329.469999999994</v>
      </c>
      <c r="T268" s="45">
        <f t="shared" si="250"/>
        <v>46768.590000000004</v>
      </c>
      <c r="U268" s="45">
        <f t="shared" si="250"/>
        <v>48672.15</v>
      </c>
      <c r="V268" s="45" t="str">
        <f t="shared" si="250"/>
        <v>…</v>
      </c>
      <c r="W268" s="45" t="str">
        <f t="shared" si="250"/>
        <v>…</v>
      </c>
      <c r="X268" s="45" t="str">
        <f t="shared" si="250"/>
        <v>…</v>
      </c>
      <c r="Y268" s="45" t="str">
        <f t="shared" si="250"/>
        <v>…</v>
      </c>
      <c r="Z268" s="45"/>
      <c r="AA268" s="45"/>
      <c r="AB268" s="23"/>
      <c r="AC268" s="23"/>
      <c r="AY268" s="45"/>
    </row>
    <row r="269" spans="3:70" hidden="1" outlineLevel="1">
      <c r="C269" s="43" t="s">
        <v>355</v>
      </c>
      <c r="D269" s="45" t="str">
        <f t="shared" ref="D269:P269" si="251">IF(D$8="E",IFERROR(D206*D190,"…"),"…")</f>
        <v>…</v>
      </c>
      <c r="E269" s="45" t="str">
        <f t="shared" si="251"/>
        <v>…</v>
      </c>
      <c r="F269" s="45" t="str">
        <f t="shared" si="251"/>
        <v>…</v>
      </c>
      <c r="G269" s="45" t="str">
        <f t="shared" si="251"/>
        <v>…</v>
      </c>
      <c r="H269" s="45" t="str">
        <f t="shared" si="251"/>
        <v>…</v>
      </c>
      <c r="I269" s="45" t="str">
        <f t="shared" si="251"/>
        <v>…</v>
      </c>
      <c r="J269" s="45" t="str">
        <f t="shared" si="251"/>
        <v>…</v>
      </c>
      <c r="K269" s="45" t="str">
        <f t="shared" si="251"/>
        <v>…</v>
      </c>
      <c r="L269" s="45" t="str">
        <f>IF(L$8="E",IFERROR(L206*L190,"…"),"…")</f>
        <v>…</v>
      </c>
      <c r="M269" s="45" t="str">
        <f>IF(M$8="E",IFERROR(M206*M190,"…"),"…")</f>
        <v>…</v>
      </c>
      <c r="N269" s="45" t="str">
        <f t="shared" si="251"/>
        <v>…</v>
      </c>
      <c r="O269" s="45" t="str">
        <f t="shared" si="251"/>
        <v>…</v>
      </c>
      <c r="P269" s="45" t="str">
        <f t="shared" si="251"/>
        <v>…</v>
      </c>
      <c r="Q269" s="45" t="str">
        <f t="shared" ref="Q269:V269" si="252">IF(Q$8="E",IFERROR(Q206*Q190,"…"),"…")</f>
        <v>…</v>
      </c>
      <c r="R269" s="45" t="str">
        <f t="shared" si="252"/>
        <v>…</v>
      </c>
      <c r="S269" s="45" t="str">
        <f t="shared" si="252"/>
        <v>…</v>
      </c>
      <c r="T269" s="45" t="str">
        <f t="shared" si="252"/>
        <v>…</v>
      </c>
      <c r="U269" s="45" t="str">
        <f t="shared" si="252"/>
        <v>…</v>
      </c>
      <c r="V269" s="45">
        <f t="shared" si="252"/>
        <v>48571.285714285717</v>
      </c>
      <c r="W269" s="45">
        <f>IF(W$8="E",IFERROR(W206*W190,"…"),"…")</f>
        <v>43020.281632653059</v>
      </c>
      <c r="X269" s="45">
        <f>IF(X$8="E",IFERROR(X206*X190,"…"),"…")</f>
        <v>38103.678017492712</v>
      </c>
      <c r="Y269" s="45">
        <f>IF(Y$8="E",IFERROR(Y206*Y190,"…"),"…")</f>
        <v>33748.971958350681</v>
      </c>
      <c r="Z269" s="45"/>
      <c r="AA269" s="45"/>
      <c r="AB269" s="23"/>
      <c r="AC269" s="23"/>
      <c r="AY269" s="45"/>
    </row>
    <row r="270" spans="3:70" collapsed="1">
      <c r="C270" s="38" t="s">
        <v>135</v>
      </c>
      <c r="D270" s="45">
        <f t="shared" ref="D270:Y272" si="253">IF(D234="…","…",IF(C234="…",AVERAGE(B234:D234),AVERAGE(C234:D234)))</f>
        <v>75416.89</v>
      </c>
      <c r="E270" s="45">
        <f t="shared" si="253"/>
        <v>76930.464999999997</v>
      </c>
      <c r="F270" s="45">
        <f t="shared" si="253"/>
        <v>78164.14499999999</v>
      </c>
      <c r="G270" s="45">
        <f t="shared" si="253"/>
        <v>79604.08</v>
      </c>
      <c r="H270" s="45">
        <f t="shared" si="253"/>
        <v>91324.575000000012</v>
      </c>
      <c r="I270" s="45">
        <f t="shared" si="253"/>
        <v>99401.425000000003</v>
      </c>
      <c r="J270" s="45">
        <f t="shared" si="253"/>
        <v>104445.43</v>
      </c>
      <c r="K270" s="45">
        <f t="shared" si="253"/>
        <v>128367.67999999999</v>
      </c>
      <c r="L270" s="45">
        <f t="shared" ref="L270:O272" si="254">IF(L234="…","…",IF(K234="…",AVERAGE(J234:L234),AVERAGE(K234:L234)))</f>
        <v>170224.69500000001</v>
      </c>
      <c r="M270" s="45">
        <f t="shared" si="254"/>
        <v>195964.245</v>
      </c>
      <c r="N270" s="45">
        <f t="shared" si="254"/>
        <v>205728.47499999998</v>
      </c>
      <c r="O270" s="45">
        <f t="shared" si="254"/>
        <v>253007.74999999997</v>
      </c>
      <c r="P270" s="45">
        <f t="shared" si="253"/>
        <v>302159.88500000001</v>
      </c>
      <c r="Q270" s="45">
        <f t="shared" si="253"/>
        <v>325170.7350000001</v>
      </c>
      <c r="R270" s="45">
        <f t="shared" si="253"/>
        <v>350526.46500000003</v>
      </c>
      <c r="S270" s="45">
        <f t="shared" si="253"/>
        <v>335680.21499999997</v>
      </c>
      <c r="T270" s="45">
        <f t="shared" si="253"/>
        <v>311792.24</v>
      </c>
      <c r="U270" s="45">
        <f t="shared" si="253"/>
        <v>324449.26</v>
      </c>
      <c r="V270" s="45">
        <f t="shared" si="253"/>
        <v>330815.61458503117</v>
      </c>
      <c r="W270" s="45">
        <f t="shared" si="253"/>
        <v>324578.03677048662</v>
      </c>
      <c r="X270" s="45">
        <f t="shared" si="253"/>
        <v>316055.67182038561</v>
      </c>
      <c r="Y270" s="45">
        <f t="shared" si="253"/>
        <v>308199.80009170482</v>
      </c>
      <c r="Z270" s="45"/>
      <c r="AA270" s="45"/>
      <c r="AB270" s="23"/>
      <c r="AC270" s="23"/>
      <c r="AY270" s="45"/>
    </row>
    <row r="271" spans="3:70">
      <c r="C271" s="38" t="s">
        <v>136</v>
      </c>
      <c r="D271" s="45">
        <f>IF(D235="…","…",IF(C235="…",AVERAGE(AG217:AH217),AVERAGE(C235:D235)))</f>
        <v>65282.89</v>
      </c>
      <c r="E271" s="45">
        <f t="shared" si="253"/>
        <v>66151.964999999997</v>
      </c>
      <c r="F271" s="45">
        <f t="shared" si="253"/>
        <v>64745.144999999997</v>
      </c>
      <c r="G271" s="45">
        <f t="shared" si="253"/>
        <v>62863.08</v>
      </c>
      <c r="H271" s="45">
        <f t="shared" si="253"/>
        <v>75256.075000000012</v>
      </c>
      <c r="I271" s="45">
        <f t="shared" si="253"/>
        <v>83730.925000000003</v>
      </c>
      <c r="J271" s="45">
        <f t="shared" si="253"/>
        <v>83851.429999999993</v>
      </c>
      <c r="K271" s="45">
        <f t="shared" si="253"/>
        <v>103520.68</v>
      </c>
      <c r="L271" s="45">
        <f t="shared" si="254"/>
        <v>144112.19500000001</v>
      </c>
      <c r="M271" s="45">
        <f t="shared" si="254"/>
        <v>169745.745</v>
      </c>
      <c r="N271" s="45">
        <f t="shared" si="254"/>
        <v>177585.97499999998</v>
      </c>
      <c r="O271" s="45">
        <f t="shared" si="254"/>
        <v>219917.24999999997</v>
      </c>
      <c r="P271" s="45">
        <f t="shared" si="253"/>
        <v>258679.38500000001</v>
      </c>
      <c r="Q271" s="45">
        <f t="shared" si="253"/>
        <v>274930.2350000001</v>
      </c>
      <c r="R271" s="45">
        <f t="shared" si="253"/>
        <v>300971.96500000003</v>
      </c>
      <c r="S271" s="45">
        <f t="shared" si="253"/>
        <v>285165.71499999997</v>
      </c>
      <c r="T271" s="45">
        <f t="shared" si="253"/>
        <v>255783.74</v>
      </c>
      <c r="U271" s="45">
        <f t="shared" si="253"/>
        <v>259484.76</v>
      </c>
      <c r="V271" s="45">
        <f t="shared" si="253"/>
        <v>261578.61458503114</v>
      </c>
      <c r="W271" s="45">
        <f t="shared" si="253"/>
        <v>255341.03677048659</v>
      </c>
      <c r="X271" s="45">
        <f t="shared" si="253"/>
        <v>246818.67182038559</v>
      </c>
      <c r="Y271" s="45">
        <f t="shared" si="253"/>
        <v>238962.80009170479</v>
      </c>
      <c r="Z271" s="45"/>
      <c r="AA271" s="45"/>
      <c r="AB271" s="23"/>
      <c r="AC271" s="23"/>
      <c r="AY271" s="45"/>
    </row>
    <row r="272" spans="3:70">
      <c r="C272" s="38" t="s">
        <v>137</v>
      </c>
      <c r="D272" s="45">
        <f>IF(D236="…","…",IF(C236="…",AVERAGE(AG219:AH219),AVERAGE(C236:D236)))</f>
        <v>65057.89</v>
      </c>
      <c r="E272" s="45">
        <f t="shared" si="253"/>
        <v>65920.464999999997</v>
      </c>
      <c r="F272" s="45">
        <f t="shared" si="253"/>
        <v>64528.644999999997</v>
      </c>
      <c r="G272" s="45">
        <f t="shared" si="253"/>
        <v>62665.08</v>
      </c>
      <c r="H272" s="45">
        <f t="shared" si="253"/>
        <v>73770.075000000012</v>
      </c>
      <c r="I272" s="45">
        <f t="shared" si="253"/>
        <v>80880.925000000003</v>
      </c>
      <c r="J272" s="45">
        <f t="shared" si="253"/>
        <v>80681.929999999993</v>
      </c>
      <c r="K272" s="45">
        <f t="shared" si="253"/>
        <v>99648.68</v>
      </c>
      <c r="L272" s="45">
        <f t="shared" si="254"/>
        <v>130000.69499999999</v>
      </c>
      <c r="M272" s="45">
        <f t="shared" si="254"/>
        <v>145936.245</v>
      </c>
      <c r="N272" s="45">
        <f t="shared" si="254"/>
        <v>153932.47499999998</v>
      </c>
      <c r="O272" s="45">
        <f t="shared" si="254"/>
        <v>196305.74999999997</v>
      </c>
      <c r="P272" s="45">
        <f>IF(P236="…","…",IF(O236="…",AVERAGE(N236:P236),AVERAGE(O236:P236)))</f>
        <v>235076.88500000001</v>
      </c>
      <c r="Q272" s="45">
        <f>IF(Q236="…","…",IF(P236="…",AVERAGE(O236:Q236),AVERAGE(P236:Q236)))</f>
        <v>251429.73500000007</v>
      </c>
      <c r="R272" s="45">
        <f t="shared" si="253"/>
        <v>277592.46500000003</v>
      </c>
      <c r="S272" s="45">
        <f t="shared" si="253"/>
        <v>261883.71499999997</v>
      </c>
      <c r="T272" s="45">
        <f t="shared" si="253"/>
        <v>232501.24</v>
      </c>
      <c r="U272" s="45">
        <f t="shared" si="253"/>
        <v>234738.76</v>
      </c>
      <c r="V272" s="45">
        <f t="shared" si="253"/>
        <v>235404.61458503114</v>
      </c>
      <c r="W272" s="45">
        <f t="shared" si="253"/>
        <v>229167.03677048659</v>
      </c>
      <c r="X272" s="45">
        <f t="shared" si="253"/>
        <v>220644.67182038559</v>
      </c>
      <c r="Y272" s="45">
        <f t="shared" si="253"/>
        <v>212788.80009170479</v>
      </c>
      <c r="Z272" s="45"/>
      <c r="AA272" s="45"/>
      <c r="AB272" s="23"/>
      <c r="AC272" s="23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45"/>
      <c r="AZ272" s="5"/>
    </row>
    <row r="273" spans="1:72">
      <c r="AB273" s="23"/>
      <c r="AC273" s="23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Z273" s="5"/>
    </row>
    <row r="274" spans="1:72" s="33" customFormat="1" hidden="1" outlineLevel="1">
      <c r="A274" s="5"/>
      <c r="B274" s="5"/>
      <c r="AG274" s="5"/>
    </row>
    <row r="275" spans="1:72" s="33" customFormat="1" hidden="1" outlineLevel="1">
      <c r="A275" s="5"/>
      <c r="AG275" s="5"/>
    </row>
    <row r="276" spans="1:72" s="33" customFormat="1" ht="13.15" hidden="1" outlineLevel="1">
      <c r="A276" s="5"/>
      <c r="B276" s="5"/>
      <c r="C276" s="12" t="s">
        <v>177</v>
      </c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D276" s="5"/>
      <c r="AE276" s="5"/>
      <c r="AF276" s="5"/>
      <c r="AG276" s="5"/>
      <c r="AY276" s="25"/>
      <c r="BC276" s="5"/>
      <c r="BD276" s="5"/>
      <c r="BE276" s="5"/>
      <c r="BF276" s="5"/>
      <c r="BG276" s="5"/>
      <c r="BH276" s="5"/>
      <c r="BI276" s="5"/>
      <c r="BJ276" s="22"/>
      <c r="BK276" s="22"/>
      <c r="BL276" s="23"/>
      <c r="BM276" s="22"/>
      <c r="BN276" s="22"/>
      <c r="BO276" s="22"/>
      <c r="BP276" s="22"/>
      <c r="BQ276" s="22"/>
      <c r="BR276" s="24"/>
      <c r="BS276" s="5"/>
      <c r="BT276" s="5"/>
    </row>
    <row r="277" spans="1:72" s="33" customFormat="1" hidden="1" outlineLevel="1">
      <c r="A277" s="5"/>
      <c r="B277" s="5"/>
      <c r="C277" s="5" t="s">
        <v>150</v>
      </c>
      <c r="D277" s="25">
        <f t="shared" ref="D277:K277" si="255">D221</f>
        <v>1698</v>
      </c>
      <c r="E277" s="25">
        <f t="shared" si="255"/>
        <v>2425</v>
      </c>
      <c r="F277" s="25">
        <f t="shared" si="255"/>
        <v>3472</v>
      </c>
      <c r="G277" s="25">
        <f t="shared" si="255"/>
        <v>6938</v>
      </c>
      <c r="H277" s="25">
        <f t="shared" si="255"/>
        <v>6333</v>
      </c>
      <c r="I277" s="25">
        <f t="shared" si="255"/>
        <v>1855</v>
      </c>
      <c r="J277" s="25">
        <f t="shared" si="255"/>
        <v>7141</v>
      </c>
      <c r="K277" s="25">
        <f t="shared" si="255"/>
        <v>11271</v>
      </c>
      <c r="L277" s="25">
        <f t="shared" ref="L277:R277" si="256">L221</f>
        <v>11498</v>
      </c>
      <c r="M277" s="25">
        <f t="shared" si="256"/>
        <v>11671</v>
      </c>
      <c r="N277" s="25">
        <f t="shared" si="256"/>
        <v>12697</v>
      </c>
      <c r="O277" s="25">
        <f t="shared" si="256"/>
        <v>-4069</v>
      </c>
      <c r="P277" s="25">
        <f t="shared" si="256"/>
        <v>7103</v>
      </c>
      <c r="Q277" s="25">
        <f t="shared" si="256"/>
        <v>13818</v>
      </c>
      <c r="R277" s="25">
        <f t="shared" si="256"/>
        <v>13920</v>
      </c>
      <c r="S277" s="25">
        <f t="shared" ref="S277:Y277" si="257">S221</f>
        <v>14614</v>
      </c>
      <c r="T277" s="25">
        <f t="shared" si="257"/>
        <v>10210</v>
      </c>
      <c r="U277" s="25">
        <f t="shared" si="257"/>
        <v>18574</v>
      </c>
      <c r="V277" s="25">
        <f t="shared" si="257"/>
        <v>22090.618999999999</v>
      </c>
      <c r="W277" s="25">
        <f t="shared" si="257"/>
        <v>22221</v>
      </c>
      <c r="X277" s="25">
        <f t="shared" si="257"/>
        <v>23652.562999999998</v>
      </c>
      <c r="Y277" s="25">
        <f t="shared" si="257"/>
        <v>25526.2</v>
      </c>
      <c r="Z277" s="25"/>
      <c r="AA277" s="25"/>
      <c r="AD277" s="5"/>
      <c r="AE277" s="5"/>
      <c r="AF277" s="5"/>
      <c r="AG277" s="5"/>
      <c r="AY277" s="25"/>
      <c r="BC277" s="5"/>
      <c r="BD277" s="5"/>
      <c r="BE277" s="5"/>
      <c r="BF277" s="5"/>
      <c r="BG277" s="5"/>
      <c r="BH277" s="5"/>
      <c r="BI277" s="5"/>
      <c r="BJ277" s="5"/>
      <c r="BK277" s="22"/>
      <c r="BL277" s="23"/>
      <c r="BM277" s="22"/>
      <c r="BN277" s="22"/>
      <c r="BO277" s="22"/>
      <c r="BP277" s="22"/>
      <c r="BQ277" s="22"/>
      <c r="BR277" s="24"/>
      <c r="BS277" s="5"/>
      <c r="BT277" s="5"/>
    </row>
    <row r="278" spans="1:72" s="33" customFormat="1" hidden="1" outlineLevel="1">
      <c r="A278" s="5"/>
      <c r="B278" s="5"/>
      <c r="C278" s="5" t="s">
        <v>178</v>
      </c>
      <c r="D278" s="31" t="e" vm="1">
        <f>IF(D11="yes",VLOOKUP($C18,'Other Data'!$C$7:$J$200,D$4,FALSE),"…")</f>
        <v>#VALUE!</v>
      </c>
      <c r="E278" s="31" t="e" vm="1">
        <f>IF(E11="yes",VLOOKUP($C18,'Other Data'!$C$7:$J$200,E$4,FALSE),"…")</f>
        <v>#VALUE!</v>
      </c>
      <c r="F278" s="31">
        <f>IF(F11="yes",VLOOKUP($C18,'Other Data'!$C$7:$J$200,F$4,FALSE),"…")</f>
        <v>0.38340000000000002</v>
      </c>
      <c r="G278" s="31">
        <f>IF(G11="yes",VLOOKUP($C18,'Other Data'!$C$7:$J$200,G$4,FALSE),"…")</f>
        <v>0.3836</v>
      </c>
      <c r="H278" s="31">
        <f>IF(H11="yes",VLOOKUP($C18,'Other Data'!$C$7:$J$200,H$4,FALSE),"…")</f>
        <v>0.29510000000000003</v>
      </c>
      <c r="I278" s="31">
        <f>IF(I11="yes",VLOOKUP($C18,'Other Data'!$C$7:$J$200,I$4,FALSE),"…")</f>
        <v>0.2944</v>
      </c>
      <c r="J278" s="31">
        <f>IF(J11="yes",VLOOKUP($C18,'Other Data'!$C$7:$J$200,J$4,FALSE),"…")</f>
        <v>0.29410000000000003</v>
      </c>
      <c r="K278" s="31">
        <f>IF(K11="yes",VLOOKUP($C18,'Other Data'!$C$7:$AK$200,K$4,FALSE),IF(K$8="E",J278,"…"))</f>
        <v>0.29370000000000002</v>
      </c>
      <c r="L278" s="31">
        <f>IF(L11="yes",VLOOKUP($C18,'Other Data'!$C$7:$AK$200,L$4,FALSE),IF(L$8="E",K278,"…"))</f>
        <v>0.29480000000000001</v>
      </c>
      <c r="M278" s="31">
        <f>IF(M11="yes",VLOOKUP($C18,'Other Data'!$C$7:$AK$200,M$4,FALSE),IF(M$8="E",L278,"…"))</f>
        <v>0.29549999999999998</v>
      </c>
      <c r="N278" s="31">
        <f>IF(N11="yes",VLOOKUP($C18,'Other Data'!$C$7:$AK$200,N$4,FALSE),IF(N$8="E",M278,"…"))</f>
        <v>0.29580000000000001</v>
      </c>
      <c r="O278" s="31">
        <f>IF(O11="yes",VLOOKUP($C18,'Other Data'!$C$7:$AK$200,O$4,FALSE),IF(O$8="E",N278,"…"))</f>
        <v>0.29720000000000002</v>
      </c>
      <c r="P278" s="31">
        <f>IF(P11="yes",VLOOKUP($C18,'Other Data'!$C$7:$AK$200,P$4,FALSE),IF(P$8="E",O278,"…"))</f>
        <v>0.29720000000000002</v>
      </c>
      <c r="Q278" s="31">
        <f>IF(Q11="yes",VLOOKUP($C18,'Other Data'!$C$7:$AK$200,Q$4,FALSE),IF(Q$8="E",P278,"…"))</f>
        <v>0.2979</v>
      </c>
      <c r="R278" s="31">
        <f>IF(R11="yes",VLOOKUP($C18,'Other Data'!$C$7:$AK$200,R$4,FALSE),IF(R$8="E",Q278,"…"))</f>
        <v>0.3</v>
      </c>
      <c r="S278" s="31">
        <f>IF(S11="yes",VLOOKUP($C18,'Other Data'!$C$7:$AK$200,S$4,FALSE),IF(S$8="E",R278,"…"))</f>
        <v>0.3</v>
      </c>
      <c r="T278" s="31">
        <f>IF(T11="yes",VLOOKUP($C18,'Other Data'!$C$7:$AK$200,T$4,FALSE),IF(T$8="E",S278,"…"))</f>
        <v>0.3</v>
      </c>
      <c r="U278" s="31">
        <f>IF(U11="yes",VLOOKUP($C18,'Other Data'!$C$7:$AK$200,U$4,FALSE),IF(U$8="E",T278,"…"))</f>
        <v>0.29580000000000001</v>
      </c>
      <c r="V278" s="31">
        <f>IF(V11="yes",VLOOKUP($C18,'Other Data'!$C$7:$AK$200,V$4,FALSE),IF(V$8="E",U278,"…"))</f>
        <v>0.29580000000000001</v>
      </c>
      <c r="W278" s="31">
        <f>IF(W11="yes",VLOOKUP($C18,'Other Data'!$C$7:$AK$200,W$4,FALSE),IF(W$8="E",V278,"…"))</f>
        <v>0.29580000000000001</v>
      </c>
      <c r="X278" s="31">
        <f>IF(X11="yes",VLOOKUP($C18,'Other Data'!$C$7:$AK$200,X$4,FALSE),IF(X$8="E",W278,"…"))</f>
        <v>0.29580000000000001</v>
      </c>
      <c r="Y278" s="31">
        <f>IF(Y11="yes",VLOOKUP($C18,'Other Data'!$C$7:$AK$200,Y$4,FALSE),IF(Y$8="E",X278,"…"))</f>
        <v>0.29580000000000001</v>
      </c>
      <c r="Z278" s="31"/>
      <c r="AA278" s="31"/>
      <c r="AD278" s="5"/>
      <c r="AE278" s="5"/>
      <c r="AF278" s="5"/>
      <c r="AG278" s="5"/>
      <c r="AY278" s="31"/>
      <c r="BC278" s="5"/>
      <c r="BD278" s="5"/>
      <c r="BE278" s="5"/>
      <c r="BF278" s="5"/>
      <c r="BG278" s="5"/>
      <c r="BH278" s="5"/>
      <c r="BI278" s="5"/>
      <c r="BJ278" s="5"/>
      <c r="BK278" s="22"/>
      <c r="BL278" s="23"/>
      <c r="BM278" s="22"/>
      <c r="BN278" s="22"/>
      <c r="BO278" s="22"/>
      <c r="BP278" s="22"/>
      <c r="BQ278" s="22"/>
      <c r="BR278" s="24"/>
      <c r="BS278" s="5"/>
      <c r="BT278" s="5"/>
    </row>
    <row r="279" spans="1:72" s="33" customFormat="1" hidden="1" outlineLevel="1">
      <c r="A279" s="5"/>
      <c r="B279" s="5"/>
      <c r="C279" s="5" t="s">
        <v>179</v>
      </c>
      <c r="D279" s="25" t="str">
        <f t="shared" ref="D279:K279" si="258">IFERROR(-D277*D278,"…")</f>
        <v>…</v>
      </c>
      <c r="E279" s="25" t="str">
        <f t="shared" si="258"/>
        <v>…</v>
      </c>
      <c r="F279" s="25">
        <f t="shared" si="258"/>
        <v>-1331.1648</v>
      </c>
      <c r="G279" s="25">
        <f t="shared" si="258"/>
        <v>-2661.4168</v>
      </c>
      <c r="H279" s="25">
        <f t="shared" si="258"/>
        <v>-1868.8683000000001</v>
      </c>
      <c r="I279" s="25">
        <f t="shared" si="258"/>
        <v>-546.11199999999997</v>
      </c>
      <c r="J279" s="25">
        <f t="shared" si="258"/>
        <v>-2100.1681000000003</v>
      </c>
      <c r="K279" s="25">
        <f t="shared" si="258"/>
        <v>-3310.2927</v>
      </c>
      <c r="L279" s="25">
        <f t="shared" ref="L279:R279" si="259">IFERROR(-L277*L278,"…")</f>
        <v>-3389.6104</v>
      </c>
      <c r="M279" s="25">
        <f t="shared" si="259"/>
        <v>-3448.7804999999998</v>
      </c>
      <c r="N279" s="25">
        <f t="shared" si="259"/>
        <v>-3755.7726000000002</v>
      </c>
      <c r="O279" s="25">
        <f t="shared" si="259"/>
        <v>1209.3068000000001</v>
      </c>
      <c r="P279" s="25">
        <f t="shared" si="259"/>
        <v>-2111.0116000000003</v>
      </c>
      <c r="Q279" s="25">
        <f t="shared" si="259"/>
        <v>-4116.3822</v>
      </c>
      <c r="R279" s="25">
        <f t="shared" si="259"/>
        <v>-4176</v>
      </c>
      <c r="S279" s="25">
        <f t="shared" ref="S279:Y279" si="260">IFERROR(-S277*S278,"…")</f>
        <v>-4384.2</v>
      </c>
      <c r="T279" s="25">
        <f t="shared" si="260"/>
        <v>-3063</v>
      </c>
      <c r="U279" s="25">
        <f t="shared" si="260"/>
        <v>-5494.1891999999998</v>
      </c>
      <c r="V279" s="25">
        <f t="shared" si="260"/>
        <v>-6534.4051001999997</v>
      </c>
      <c r="W279" s="25">
        <f t="shared" si="260"/>
        <v>-6572.9718000000003</v>
      </c>
      <c r="X279" s="25">
        <f t="shared" si="260"/>
        <v>-6996.4281353999995</v>
      </c>
      <c r="Y279" s="25">
        <f t="shared" si="260"/>
        <v>-7550.6499600000006</v>
      </c>
      <c r="Z279" s="25"/>
      <c r="AA279" s="25"/>
      <c r="AD279" s="22"/>
      <c r="AE279" s="5"/>
      <c r="AF279" s="5"/>
      <c r="AG279" s="5"/>
      <c r="AY279" s="25"/>
      <c r="BC279" s="5"/>
      <c r="BD279" s="5"/>
      <c r="BE279" s="5"/>
      <c r="BF279" s="5"/>
      <c r="BG279" s="5"/>
      <c r="BH279" s="5"/>
      <c r="BI279" s="5"/>
      <c r="BJ279" s="5"/>
      <c r="BK279" s="22"/>
      <c r="BL279" s="23"/>
      <c r="BM279" s="22"/>
      <c r="BN279" s="22"/>
      <c r="BO279" s="22"/>
      <c r="BP279" s="22"/>
      <c r="BQ279" s="22"/>
      <c r="BR279" s="24"/>
      <c r="BS279" s="5"/>
      <c r="BT279" s="5"/>
    </row>
    <row r="280" spans="1:72" hidden="1" outlineLevel="1">
      <c r="AG280" s="33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Z280" s="5"/>
    </row>
    <row r="281" spans="1:72" ht="13.15" hidden="1" outlineLevel="1">
      <c r="B281" s="9"/>
      <c r="C281" s="13" t="s">
        <v>143</v>
      </c>
      <c r="D281" s="47" t="str">
        <f t="shared" ref="D281:R281" si="261">IF(OR(D$8="A",D$8="E"),IFERROR(D279+D181,"…"),IF(D$8="L","…","…"))</f>
        <v>…</v>
      </c>
      <c r="E281" s="47" t="str">
        <f t="shared" si="261"/>
        <v>…</v>
      </c>
      <c r="F281" s="47">
        <f t="shared" si="261"/>
        <v>5730.8351999999995</v>
      </c>
      <c r="G281" s="47">
        <f t="shared" si="261"/>
        <v>8504.5832000000009</v>
      </c>
      <c r="H281" s="47">
        <f t="shared" si="261"/>
        <v>8245.1316999999999</v>
      </c>
      <c r="I281" s="47">
        <f t="shared" si="261"/>
        <v>5595.8879999999999</v>
      </c>
      <c r="J281" s="58">
        <f t="shared" si="261"/>
        <v>10398.831899999999</v>
      </c>
      <c r="K281" s="58">
        <f t="shared" si="261"/>
        <v>13376.7073</v>
      </c>
      <c r="L281" s="58">
        <f t="shared" si="261"/>
        <v>15253.3896</v>
      </c>
      <c r="M281" s="58">
        <f t="shared" si="261"/>
        <v>16183.219499999999</v>
      </c>
      <c r="N281" s="58">
        <f t="shared" si="261"/>
        <v>18223.2274</v>
      </c>
      <c r="O281" s="58">
        <f t="shared" si="261"/>
        <v>3711.3068000000003</v>
      </c>
      <c r="P281" s="58">
        <f t="shared" si="261"/>
        <v>10416.9884</v>
      </c>
      <c r="Q281" s="58">
        <f t="shared" si="261"/>
        <v>14967.6178</v>
      </c>
      <c r="R281" s="58">
        <f t="shared" si="261"/>
        <v>14961</v>
      </c>
      <c r="S281" s="58">
        <f t="shared" ref="S281:Y281" si="262">IF(OR(S$8="A",S$8="E"),IFERROR(S279+S181,"…"),IF(S$8="L","…","…"))</f>
        <v>14959.8</v>
      </c>
      <c r="T281" s="58">
        <f t="shared" si="262"/>
        <v>12396</v>
      </c>
      <c r="U281" s="58">
        <f t="shared" si="262"/>
        <v>17818.810799999999</v>
      </c>
      <c r="V281" s="58">
        <f t="shared" si="262"/>
        <v>12599.735579121241</v>
      </c>
      <c r="W281" s="58">
        <f t="shared" si="262"/>
        <v>14363.33414454274</v>
      </c>
      <c r="X281" s="58">
        <f t="shared" si="262"/>
        <v>15394.027996594754</v>
      </c>
      <c r="Y281" s="58">
        <f t="shared" si="262"/>
        <v>19613.354634201045</v>
      </c>
      <c r="Z281" s="58"/>
      <c r="AA281" s="58"/>
      <c r="AB281" s="25"/>
      <c r="AC281" s="25"/>
      <c r="AG281" s="33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8"/>
      <c r="AZ281" s="5"/>
      <c r="BJ281" s="22"/>
      <c r="BK281" s="22"/>
      <c r="BL281" s="23"/>
      <c r="BM281" s="22"/>
      <c r="BN281" s="22"/>
      <c r="BO281" s="22"/>
      <c r="BP281" s="22"/>
      <c r="BQ281" s="22"/>
      <c r="BR281" s="24"/>
      <c r="BT281" s="23"/>
    </row>
    <row r="282" spans="1:72" hidden="1" outlineLevel="1">
      <c r="AG282" s="33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Z282" s="5"/>
      <c r="BK282" s="22"/>
      <c r="BL282" s="23"/>
      <c r="BM282" s="22"/>
      <c r="BN282" s="22"/>
      <c r="BO282" s="22"/>
      <c r="BP282" s="22"/>
      <c r="BQ282" s="22"/>
      <c r="BR282" s="24"/>
    </row>
    <row r="283" spans="1:72" ht="13.15" collapsed="1">
      <c r="C283" s="12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2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25"/>
      <c r="AZ283" s="5"/>
      <c r="BJ283" s="24"/>
      <c r="BK283" s="22"/>
      <c r="BL283" s="23"/>
      <c r="BM283" s="22"/>
      <c r="BN283" s="22"/>
      <c r="BO283" s="22"/>
      <c r="BP283" s="22"/>
      <c r="BQ283" s="22"/>
      <c r="BR283" s="24"/>
      <c r="BT283" s="33"/>
    </row>
    <row r="284" spans="1:72" ht="13.15">
      <c r="C284" s="12" t="s">
        <v>203</v>
      </c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25"/>
      <c r="AC284" s="25"/>
      <c r="AD284" s="24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J284" s="24"/>
      <c r="BK284" s="22"/>
      <c r="BL284" s="23"/>
      <c r="BM284" s="22"/>
      <c r="BN284" s="22"/>
      <c r="BO284" s="22"/>
      <c r="BP284" s="22"/>
      <c r="BQ284" s="22"/>
      <c r="BR284" s="24"/>
      <c r="BT284" s="33"/>
    </row>
    <row r="285" spans="1:72" s="33" customFormat="1">
      <c r="A285" s="5"/>
      <c r="AB285" s="25"/>
      <c r="AC285" s="25"/>
      <c r="AD285" s="24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24"/>
      <c r="BK285" s="22"/>
      <c r="BL285" s="23"/>
      <c r="BM285" s="22"/>
      <c r="BN285" s="22"/>
      <c r="BO285" s="22"/>
      <c r="BP285" s="22"/>
      <c r="BQ285" s="22"/>
      <c r="BR285" s="24"/>
      <c r="BS285" s="5"/>
    </row>
    <row r="286" spans="1:72" hidden="1" outlineLevel="1"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Z286" s="5"/>
      <c r="BK286" s="22"/>
      <c r="BL286" s="23"/>
      <c r="BM286" s="22"/>
      <c r="BN286" s="22"/>
      <c r="BO286" s="22"/>
      <c r="BP286" s="22"/>
      <c r="BQ286" s="22"/>
      <c r="BR286" s="24"/>
    </row>
    <row r="287" spans="1:72" hidden="1" outlineLevel="1">
      <c r="C287" s="5" t="s">
        <v>401</v>
      </c>
      <c r="D287" s="25">
        <f t="shared" ref="D287:R287" si="263">IF(ISNUMBER(D288),D288,IF(ISNUMBER(D292),D292,"…"))</f>
        <v>7265</v>
      </c>
      <c r="E287" s="25">
        <f t="shared" si="263"/>
        <v>7430</v>
      </c>
      <c r="F287" s="25">
        <f t="shared" si="263"/>
        <v>6998</v>
      </c>
      <c r="G287" s="25">
        <f t="shared" si="263"/>
        <v>6629</v>
      </c>
      <c r="H287" s="25">
        <f t="shared" si="263"/>
        <v>9520</v>
      </c>
      <c r="I287" s="25">
        <f t="shared" si="263"/>
        <v>9978</v>
      </c>
      <c r="J287" s="25">
        <f t="shared" si="263"/>
        <v>9694</v>
      </c>
      <c r="K287" s="25">
        <f t="shared" si="263"/>
        <v>17842</v>
      </c>
      <c r="L287" s="25">
        <f t="shared" si="263"/>
        <v>35222</v>
      </c>
      <c r="M287" s="48">
        <f t="shared" si="263"/>
        <v>35513</v>
      </c>
      <c r="N287" s="48">
        <f t="shared" si="263"/>
        <v>36358</v>
      </c>
      <c r="O287" s="48">
        <f t="shared" si="263"/>
        <v>37501</v>
      </c>
      <c r="P287" s="48">
        <f t="shared" si="263"/>
        <v>39040</v>
      </c>
      <c r="Q287" s="48">
        <f t="shared" si="263"/>
        <v>39977</v>
      </c>
      <c r="R287" s="48">
        <f t="shared" si="263"/>
        <v>41296</v>
      </c>
      <c r="S287" s="48">
        <f t="shared" ref="S287:Y287" si="264">IF(ISNUMBER(S288),S288,IF(ISNUMBER(S292),S292,"…"))</f>
        <v>42967</v>
      </c>
      <c r="T287" s="48">
        <f t="shared" si="264"/>
        <v>44650</v>
      </c>
      <c r="U287" s="48">
        <f t="shared" si="264"/>
        <v>51515</v>
      </c>
      <c r="V287" s="48" t="str">
        <f t="shared" si="264"/>
        <v>…</v>
      </c>
      <c r="W287" s="48" t="str">
        <f t="shared" si="264"/>
        <v>…</v>
      </c>
      <c r="X287" s="48" t="str">
        <f t="shared" si="264"/>
        <v>…</v>
      </c>
      <c r="Y287" s="48" t="str">
        <f t="shared" si="264"/>
        <v>…</v>
      </c>
      <c r="Z287" s="48"/>
      <c r="AA287" s="48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48"/>
      <c r="AZ287" s="5"/>
      <c r="BK287" s="22"/>
      <c r="BL287" s="23"/>
      <c r="BM287" s="22"/>
      <c r="BN287" s="22"/>
      <c r="BO287" s="22"/>
      <c r="BP287" s="22"/>
      <c r="BQ287" s="22"/>
      <c r="BR287" s="24"/>
    </row>
    <row r="288" spans="1:72" hidden="1" outlineLevel="1">
      <c r="C288" s="44" t="s">
        <v>309</v>
      </c>
      <c r="D288" s="25">
        <f>IF(ISNUMBER(D289),D289,IF(ISNUMBER(D290),D290,"…"))</f>
        <v>7265</v>
      </c>
      <c r="E288" s="25">
        <f t="shared" ref="E288:K288" si="265">IF(ISNUMBER(E289),E289,IF(ISNUMBER(E290),E290,"…"))</f>
        <v>7430</v>
      </c>
      <c r="F288" s="25">
        <f t="shared" si="265"/>
        <v>6998</v>
      </c>
      <c r="G288" s="25">
        <f t="shared" si="265"/>
        <v>6629</v>
      </c>
      <c r="H288" s="25">
        <f t="shared" si="265"/>
        <v>9520</v>
      </c>
      <c r="I288" s="25">
        <f t="shared" si="265"/>
        <v>9978</v>
      </c>
      <c r="J288" s="25">
        <f t="shared" si="265"/>
        <v>9694</v>
      </c>
      <c r="K288" s="25">
        <f t="shared" si="265"/>
        <v>17842</v>
      </c>
      <c r="L288" s="25">
        <f t="shared" ref="L288:R288" si="266">IF(ISNUMBER(L289),L289,IF(ISNUMBER(L290),L290,"…"))</f>
        <v>35222</v>
      </c>
      <c r="M288" s="25">
        <f t="shared" si="266"/>
        <v>35513</v>
      </c>
      <c r="N288" s="25">
        <f t="shared" si="266"/>
        <v>36358</v>
      </c>
      <c r="O288" s="25">
        <f t="shared" si="266"/>
        <v>37501</v>
      </c>
      <c r="P288" s="25">
        <f t="shared" si="266"/>
        <v>39040</v>
      </c>
      <c r="Q288" s="25">
        <f t="shared" si="266"/>
        <v>39977</v>
      </c>
      <c r="R288" s="25">
        <f t="shared" si="266"/>
        <v>41296</v>
      </c>
      <c r="S288" s="25">
        <f t="shared" ref="S288:Y288" si="267">IF(ISNUMBER(S289),S289,IF(ISNUMBER(S290),S290,"…"))</f>
        <v>42967</v>
      </c>
      <c r="T288" s="25">
        <f t="shared" si="267"/>
        <v>44650</v>
      </c>
      <c r="U288" s="25">
        <f t="shared" si="267"/>
        <v>51515</v>
      </c>
      <c r="V288" s="25" t="str">
        <f t="shared" si="267"/>
        <v>…</v>
      </c>
      <c r="W288" s="25" t="str">
        <f t="shared" si="267"/>
        <v>…</v>
      </c>
      <c r="X288" s="25" t="str">
        <f t="shared" si="267"/>
        <v>…</v>
      </c>
      <c r="Y288" s="25" t="str">
        <f t="shared" si="267"/>
        <v>…</v>
      </c>
      <c r="Z288" s="25"/>
      <c r="AA288" s="2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25"/>
      <c r="AZ288" s="5"/>
      <c r="BK288" s="22"/>
      <c r="BL288" s="23"/>
      <c r="BM288" s="22"/>
      <c r="BN288" s="22"/>
      <c r="BO288" s="22"/>
      <c r="BP288" s="22"/>
      <c r="BQ288" s="22"/>
      <c r="BR288" s="24"/>
    </row>
    <row r="289" spans="1:71" hidden="1" outlineLevel="1">
      <c r="C289" s="43" t="s">
        <v>154</v>
      </c>
      <c r="D289" s="25">
        <f t="shared" ref="D289:V289" si="268">IF(D$8="A",IFERROR(D386-D390,"…"),IF(D$8="L","…","…"))</f>
        <v>7265</v>
      </c>
      <c r="E289" s="25">
        <f t="shared" si="268"/>
        <v>7430</v>
      </c>
      <c r="F289" s="25">
        <f t="shared" si="268"/>
        <v>6998</v>
      </c>
      <c r="G289" s="25">
        <f t="shared" si="268"/>
        <v>6629</v>
      </c>
      <c r="H289" s="25">
        <f t="shared" si="268"/>
        <v>9520</v>
      </c>
      <c r="I289" s="25">
        <f t="shared" si="268"/>
        <v>9978</v>
      </c>
      <c r="J289" s="25">
        <f t="shared" si="268"/>
        <v>9694</v>
      </c>
      <c r="K289" s="25">
        <f t="shared" si="268"/>
        <v>17842</v>
      </c>
      <c r="L289" s="25">
        <f t="shared" si="268"/>
        <v>35222</v>
      </c>
      <c r="M289" s="25">
        <f t="shared" si="268"/>
        <v>35513</v>
      </c>
      <c r="N289" s="25">
        <f t="shared" si="268"/>
        <v>36358</v>
      </c>
      <c r="O289" s="25">
        <f t="shared" si="268"/>
        <v>37501</v>
      </c>
      <c r="P289" s="25">
        <f t="shared" si="268"/>
        <v>39040</v>
      </c>
      <c r="Q289" s="25">
        <f t="shared" si="268"/>
        <v>39977</v>
      </c>
      <c r="R289" s="25">
        <f t="shared" si="268"/>
        <v>41296</v>
      </c>
      <c r="S289" s="25">
        <f t="shared" si="268"/>
        <v>42967</v>
      </c>
      <c r="T289" s="25">
        <f t="shared" si="268"/>
        <v>44650</v>
      </c>
      <c r="U289" s="25">
        <f t="shared" si="268"/>
        <v>51515</v>
      </c>
      <c r="V289" s="25" t="str">
        <f t="shared" si="268"/>
        <v>…</v>
      </c>
      <c r="W289" s="25" t="str">
        <f>IF(W$8="A",IFERROR(W386-W390,"…"),IF(W$8="L","…","…"))</f>
        <v>…</v>
      </c>
      <c r="X289" s="25" t="str">
        <f>IF(X$8="A",IFERROR(X386-X390,"…"),IF(X$8="L","…","…"))</f>
        <v>…</v>
      </c>
      <c r="Y289" s="25" t="str">
        <f>IF(Y$8="A",IFERROR(Y386-Y390,"…"),IF(Y$8="L","…","…"))</f>
        <v>…</v>
      </c>
      <c r="Z289" s="25"/>
      <c r="AA289" s="25"/>
      <c r="AB289" s="25"/>
      <c r="AC289" s="2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25"/>
      <c r="AZ289" s="5"/>
      <c r="BK289" s="22"/>
      <c r="BL289" s="23"/>
      <c r="BM289" s="22"/>
      <c r="BN289" s="22"/>
      <c r="BO289" s="22"/>
      <c r="BP289" s="22"/>
      <c r="BQ289" s="22"/>
      <c r="BR289" s="24"/>
    </row>
    <row r="290" spans="1:71" hidden="1" outlineLevel="1">
      <c r="C290" s="43" t="s">
        <v>400</v>
      </c>
      <c r="D290" s="25">
        <f t="shared" ref="D290:P290" si="269">IF(D$8="A",IFERROR(AVERAGE(C291,E291)*(D386),"…"),IF(D$8="L","…","…"))</f>
        <v>7257.5247782994256</v>
      </c>
      <c r="E290" s="25">
        <f t="shared" si="269"/>
        <v>7448.88788387761</v>
      </c>
      <c r="F290" s="25">
        <f t="shared" si="269"/>
        <v>6975.5301824394664</v>
      </c>
      <c r="G290" s="25">
        <f t="shared" si="269"/>
        <v>5967.5103119119003</v>
      </c>
      <c r="H290" s="25">
        <f t="shared" si="269"/>
        <v>10715.538929259788</v>
      </c>
      <c r="I290" s="25">
        <f t="shared" si="269"/>
        <v>9772.6937987957172</v>
      </c>
      <c r="J290" s="25">
        <f t="shared" si="269"/>
        <v>10336.647284419309</v>
      </c>
      <c r="K290" s="25">
        <f t="shared" si="269"/>
        <v>14809.533487844901</v>
      </c>
      <c r="L290" s="25">
        <f t="shared" si="269"/>
        <v>41496.212830708479</v>
      </c>
      <c r="M290" s="25">
        <f t="shared" si="269"/>
        <v>35619.435043967977</v>
      </c>
      <c r="N290" s="25">
        <f t="shared" si="269"/>
        <v>36342.753146728071</v>
      </c>
      <c r="O290" s="25">
        <f t="shared" si="269"/>
        <v>37613.842598529438</v>
      </c>
      <c r="P290" s="25">
        <f t="shared" si="269"/>
        <v>38925.80150902793</v>
      </c>
      <c r="Q290" s="25">
        <f t="shared" ref="Q290:Y290" si="270">IF(Q$8="A",IFERROR(AVERAGE(P291,AC291)*(Q386),"…"),IF(Q$8="L","…","…"))</f>
        <v>39551.39475071487</v>
      </c>
      <c r="R290" s="25">
        <f t="shared" si="270"/>
        <v>40729.653589618254</v>
      </c>
      <c r="S290" s="25">
        <f t="shared" si="270"/>
        <v>42319.244486403666</v>
      </c>
      <c r="T290" s="25">
        <f t="shared" si="270"/>
        <v>44105.190080647597</v>
      </c>
      <c r="U290" s="25">
        <f t="shared" si="270"/>
        <v>51035.985316619583</v>
      </c>
      <c r="V290" s="25" t="str">
        <f t="shared" si="270"/>
        <v>…</v>
      </c>
      <c r="W290" s="25" t="str">
        <f t="shared" si="270"/>
        <v>…</v>
      </c>
      <c r="X290" s="25" t="str">
        <f t="shared" si="270"/>
        <v>…</v>
      </c>
      <c r="Y290" s="25" t="str">
        <f t="shared" si="270"/>
        <v>…</v>
      </c>
      <c r="Z290" s="25"/>
      <c r="AA290" s="25"/>
      <c r="AB290" s="25"/>
      <c r="AC290" s="2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25"/>
      <c r="AZ290" s="5"/>
      <c r="BK290" s="22"/>
      <c r="BL290" s="23"/>
      <c r="BM290" s="22"/>
      <c r="BN290" s="22"/>
      <c r="BO290" s="22"/>
      <c r="BP290" s="22"/>
      <c r="BQ290" s="22"/>
      <c r="BR290" s="24"/>
    </row>
    <row r="291" spans="1:71" hidden="1" outlineLevel="1">
      <c r="C291" s="69" t="s">
        <v>408</v>
      </c>
      <c r="D291" s="70">
        <f t="shared" ref="D291:V291" si="271">IFERROR(IF(D$11="yes",D375/(D390+D375),"…"),"…")</f>
        <v>0.96995994659546059</v>
      </c>
      <c r="E291" s="70">
        <f t="shared" si="271"/>
        <v>0.96896191966614498</v>
      </c>
      <c r="F291" s="70">
        <f t="shared" si="271"/>
        <v>0.97289031002363413</v>
      </c>
      <c r="G291" s="70">
        <f t="shared" si="271"/>
        <v>0.97057101024890191</v>
      </c>
      <c r="H291" s="70">
        <f t="shared" si="271"/>
        <v>0.77455048409405258</v>
      </c>
      <c r="I291" s="70">
        <f t="shared" si="271"/>
        <v>0.77306887735337415</v>
      </c>
      <c r="J291" s="108">
        <f t="shared" si="271"/>
        <v>0.73977411477411481</v>
      </c>
      <c r="K291" s="108">
        <f t="shared" si="271"/>
        <v>0.80456349206349209</v>
      </c>
      <c r="L291" s="108">
        <f t="shared" si="271"/>
        <v>0.59586202229703444</v>
      </c>
      <c r="M291" s="108">
        <f t="shared" si="271"/>
        <v>0.59944634809175767</v>
      </c>
      <c r="N291" s="108">
        <f t="shared" si="271"/>
        <v>0.6066238424960374</v>
      </c>
      <c r="O291" s="108">
        <f t="shared" si="271"/>
        <v>0.61329255727999743</v>
      </c>
      <c r="P291" s="108">
        <f t="shared" si="271"/>
        <v>0.62365213501813133</v>
      </c>
      <c r="Q291" s="108">
        <f t="shared" si="271"/>
        <v>0.63036314038379671</v>
      </c>
      <c r="R291" s="108">
        <f t="shared" si="271"/>
        <v>0.63912834878430036</v>
      </c>
      <c r="S291" s="108">
        <f t="shared" si="271"/>
        <v>0.64891110641254113</v>
      </c>
      <c r="T291" s="108">
        <f t="shared" si="271"/>
        <v>0.6569267890772128</v>
      </c>
      <c r="U291" s="108">
        <f t="shared" si="271"/>
        <v>0.66309258711014429</v>
      </c>
      <c r="V291" s="108" t="str">
        <f t="shared" si="271"/>
        <v>…</v>
      </c>
      <c r="W291" s="108" t="str">
        <f>IFERROR(IF(W$11="yes",W375/(W390+W375),"…"),"…")</f>
        <v>…</v>
      </c>
      <c r="X291" s="108" t="str">
        <f>IFERROR(IF(X$11="yes",X375/(X390+X375),"…"),"…")</f>
        <v>…</v>
      </c>
      <c r="Y291" s="108" t="str">
        <f>IFERROR(IF(Y$11="yes",Y375/(Y390+Y375),"…"),"…")</f>
        <v>…</v>
      </c>
      <c r="Z291" s="108"/>
      <c r="AA291" s="108"/>
      <c r="AB291" s="25"/>
      <c r="AC291" s="2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108"/>
      <c r="AZ291" s="5"/>
      <c r="BK291" s="22"/>
      <c r="BL291" s="23"/>
      <c r="BM291" s="22"/>
      <c r="BN291" s="22"/>
      <c r="BO291" s="22"/>
      <c r="BP291" s="22"/>
      <c r="BQ291" s="22"/>
      <c r="BR291" s="24"/>
    </row>
    <row r="292" spans="1:71" hidden="1" outlineLevel="1">
      <c r="C292" s="44" t="s">
        <v>306</v>
      </c>
      <c r="D292" s="25">
        <f t="shared" ref="D292:K292" si="272">IF(ISNUMBER(D293),D293,IF(ISNUMBER(D294),D294,IF(ISNUMBER(D289),D289,IF(ISNUMBER(D290),D290,"…"))))</f>
        <v>7490</v>
      </c>
      <c r="E292" s="25">
        <f t="shared" si="272"/>
        <v>7430</v>
      </c>
      <c r="F292" s="25">
        <f t="shared" si="272"/>
        <v>6998</v>
      </c>
      <c r="G292" s="25">
        <f t="shared" si="272"/>
        <v>6629</v>
      </c>
      <c r="H292" s="25">
        <f t="shared" si="272"/>
        <v>4317</v>
      </c>
      <c r="I292" s="25">
        <f t="shared" si="272"/>
        <v>925</v>
      </c>
      <c r="J292" s="25">
        <f t="shared" si="272"/>
        <v>2713</v>
      </c>
      <c r="K292" s="25">
        <f t="shared" si="272"/>
        <v>7748</v>
      </c>
      <c r="L292" s="25">
        <f t="shared" ref="L292:R292" si="273">IF(ISNUMBER(L293),L293,IF(ISNUMBER(L294),L294,IF(ISNUMBER(L289),L289,IF(ISNUMBER(L290),L290,"…"))))</f>
        <v>5282</v>
      </c>
      <c r="M292" s="25">
        <f t="shared" si="273"/>
        <v>4282</v>
      </c>
      <c r="N292" s="25">
        <f t="shared" si="273"/>
        <v>3654</v>
      </c>
      <c r="O292" s="25">
        <f t="shared" si="273"/>
        <v>3058</v>
      </c>
      <c r="P292" s="25">
        <f t="shared" si="273"/>
        <v>2527</v>
      </c>
      <c r="Q292" s="25">
        <f t="shared" si="273"/>
        <v>2093</v>
      </c>
      <c r="R292" s="25">
        <f t="shared" si="273"/>
        <v>2004</v>
      </c>
      <c r="S292" s="25">
        <f t="shared" ref="S292:Y292" si="274">IF(ISNUMBER(S293),S293,IF(ISNUMBER(S294),S294,IF(ISNUMBER(S289),S289,IF(ISNUMBER(S290),S290,"…"))))</f>
        <v>2189</v>
      </c>
      <c r="T292" s="25">
        <f t="shared" si="274"/>
        <v>2288</v>
      </c>
      <c r="U292" s="25">
        <f t="shared" si="274"/>
        <v>5059</v>
      </c>
      <c r="V292" s="25" t="str">
        <f t="shared" si="274"/>
        <v>…</v>
      </c>
      <c r="W292" s="25" t="str">
        <f t="shared" si="274"/>
        <v>…</v>
      </c>
      <c r="X292" s="25" t="str">
        <f t="shared" si="274"/>
        <v>…</v>
      </c>
      <c r="Y292" s="25" t="str">
        <f t="shared" si="274"/>
        <v>…</v>
      </c>
      <c r="Z292" s="25"/>
      <c r="AA292" s="25"/>
      <c r="AB292" s="5"/>
      <c r="AC292" s="5"/>
      <c r="AD292" s="25" t="s">
        <v>307</v>
      </c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25"/>
      <c r="AZ292" s="5"/>
      <c r="BK292" s="22"/>
      <c r="BL292" s="23"/>
      <c r="BM292" s="22"/>
      <c r="BN292" s="22"/>
      <c r="BO292" s="22"/>
      <c r="BP292" s="22"/>
      <c r="BQ292" s="22"/>
      <c r="BR292" s="24"/>
    </row>
    <row r="293" spans="1:71" hidden="1" outlineLevel="1">
      <c r="C293" s="43" t="s">
        <v>154</v>
      </c>
      <c r="D293" s="25" t="str">
        <f t="shared" ref="D293:Y293" si="275">IF(D$8="A",D376,IF(D$8="L",C293,"…"))</f>
        <v>…</v>
      </c>
      <c r="E293" s="25" t="str">
        <f t="shared" si="275"/>
        <v>…</v>
      </c>
      <c r="F293" s="25" t="str">
        <f t="shared" si="275"/>
        <v>…</v>
      </c>
      <c r="G293" s="25" t="str">
        <f t="shared" si="275"/>
        <v>…</v>
      </c>
      <c r="H293" s="25" t="str">
        <f t="shared" si="275"/>
        <v>…</v>
      </c>
      <c r="I293" s="25" t="str">
        <f t="shared" si="275"/>
        <v>…</v>
      </c>
      <c r="J293" s="25" t="str">
        <f t="shared" si="275"/>
        <v>…</v>
      </c>
      <c r="K293" s="25" t="str">
        <f t="shared" si="275"/>
        <v>…</v>
      </c>
      <c r="L293" s="25" t="str">
        <f t="shared" si="275"/>
        <v>…</v>
      </c>
      <c r="M293" s="25" t="str">
        <f t="shared" si="275"/>
        <v>…</v>
      </c>
      <c r="N293" s="25" t="str">
        <f t="shared" si="275"/>
        <v>…</v>
      </c>
      <c r="O293" s="25" t="str">
        <f t="shared" si="275"/>
        <v>…</v>
      </c>
      <c r="P293" s="25" t="str">
        <f t="shared" si="275"/>
        <v>…</v>
      </c>
      <c r="Q293" s="25" t="str">
        <f t="shared" si="275"/>
        <v>…</v>
      </c>
      <c r="R293" s="25" t="str">
        <f t="shared" si="275"/>
        <v>…</v>
      </c>
      <c r="S293" s="25" t="str">
        <f t="shared" si="275"/>
        <v>…</v>
      </c>
      <c r="T293" s="25" t="str">
        <f t="shared" si="275"/>
        <v>…</v>
      </c>
      <c r="U293" s="25" t="str">
        <f t="shared" si="275"/>
        <v>…</v>
      </c>
      <c r="V293" s="25" t="str">
        <f t="shared" si="275"/>
        <v>…</v>
      </c>
      <c r="W293" s="25" t="str">
        <f t="shared" si="275"/>
        <v>…</v>
      </c>
      <c r="X293" s="25" t="str">
        <f t="shared" si="275"/>
        <v>…</v>
      </c>
      <c r="Y293" s="25" t="str">
        <f t="shared" si="275"/>
        <v>…</v>
      </c>
      <c r="Z293" s="25"/>
      <c r="AA293" s="25"/>
      <c r="AB293" s="5"/>
      <c r="AC293" s="5"/>
      <c r="AD293" s="25" t="s">
        <v>307</v>
      </c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25"/>
      <c r="AZ293" s="5"/>
      <c r="BK293" s="22"/>
      <c r="BL293" s="23"/>
      <c r="BM293" s="22"/>
      <c r="BN293" s="22"/>
      <c r="BO293" s="22"/>
      <c r="BP293" s="22"/>
      <c r="BQ293" s="22"/>
      <c r="BR293" s="24"/>
    </row>
    <row r="294" spans="1:71" hidden="1" outlineLevel="1">
      <c r="C294" s="43" t="s">
        <v>161</v>
      </c>
      <c r="D294" s="25">
        <f t="shared" ref="D294:V294" si="276">IF(D$8="A",D378,IF(D$8="L","…","…"))</f>
        <v>7490</v>
      </c>
      <c r="E294" s="25" t="str">
        <f t="shared" si="276"/>
        <v>…</v>
      </c>
      <c r="F294" s="25" t="str">
        <f t="shared" si="276"/>
        <v>…</v>
      </c>
      <c r="G294" s="25" t="str">
        <f t="shared" si="276"/>
        <v>…</v>
      </c>
      <c r="H294" s="25">
        <f t="shared" si="276"/>
        <v>4317</v>
      </c>
      <c r="I294" s="25">
        <f t="shared" si="276"/>
        <v>925</v>
      </c>
      <c r="J294" s="25">
        <f t="shared" si="276"/>
        <v>2713</v>
      </c>
      <c r="K294" s="25">
        <f t="shared" si="276"/>
        <v>7748</v>
      </c>
      <c r="L294" s="25">
        <f t="shared" si="276"/>
        <v>5282</v>
      </c>
      <c r="M294" s="25">
        <f t="shared" si="276"/>
        <v>4282</v>
      </c>
      <c r="N294" s="25">
        <f t="shared" si="276"/>
        <v>3654</v>
      </c>
      <c r="O294" s="25">
        <f t="shared" si="276"/>
        <v>3058</v>
      </c>
      <c r="P294" s="25">
        <f t="shared" si="276"/>
        <v>2527</v>
      </c>
      <c r="Q294" s="25">
        <f t="shared" si="276"/>
        <v>2093</v>
      </c>
      <c r="R294" s="25">
        <f t="shared" si="276"/>
        <v>2004</v>
      </c>
      <c r="S294" s="25">
        <f t="shared" si="276"/>
        <v>2189</v>
      </c>
      <c r="T294" s="25">
        <f t="shared" si="276"/>
        <v>2288</v>
      </c>
      <c r="U294" s="25">
        <f t="shared" si="276"/>
        <v>5059</v>
      </c>
      <c r="V294" s="25" t="str">
        <f t="shared" si="276"/>
        <v>…</v>
      </c>
      <c r="W294" s="25" t="str">
        <f>IF(W$8="A",W378,IF(W$8="L","…","…"))</f>
        <v>…</v>
      </c>
      <c r="X294" s="25" t="str">
        <f>IF(X$8="A",X378,IF(X$8="L","…","…"))</f>
        <v>…</v>
      </c>
      <c r="Y294" s="25" t="str">
        <f>IF(Y$8="A",Y378,IF(Y$8="L","…","…"))</f>
        <v>…</v>
      </c>
      <c r="Z294" s="25"/>
      <c r="AA294" s="25"/>
      <c r="AB294" s="5"/>
      <c r="AC294" s="5"/>
      <c r="AD294" s="25" t="s">
        <v>307</v>
      </c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25"/>
      <c r="AZ294" s="5"/>
      <c r="BK294" s="22"/>
      <c r="BL294" s="23"/>
      <c r="BM294" s="22"/>
      <c r="BN294" s="22"/>
      <c r="BO294" s="22"/>
      <c r="BP294" s="22"/>
      <c r="BQ294" s="22"/>
      <c r="BR294" s="24"/>
    </row>
    <row r="295" spans="1:71" hidden="1" outlineLevel="1"/>
    <row r="296" spans="1:71" hidden="1" outlineLevel="1">
      <c r="C296" s="43"/>
      <c r="D296" s="34"/>
      <c r="E296" s="34"/>
      <c r="F296" s="34"/>
      <c r="G296" s="34"/>
      <c r="H296" s="34"/>
      <c r="I296" s="3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25"/>
      <c r="AC296" s="2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4"/>
      <c r="AZ296" s="5"/>
      <c r="BK296" s="22"/>
      <c r="BL296" s="23"/>
      <c r="BM296" s="22"/>
      <c r="BN296" s="22"/>
      <c r="BO296" s="22"/>
      <c r="BP296" s="22"/>
      <c r="BQ296" s="22"/>
      <c r="BR296" s="24"/>
    </row>
    <row r="297" spans="1:71" s="33" customFormat="1" hidden="1" outlineLevel="1">
      <c r="A297" s="5"/>
      <c r="B297" s="5"/>
      <c r="C297" s="5" t="s">
        <v>326</v>
      </c>
      <c r="D297" s="25">
        <f t="shared" ref="D297:Y297" si="277">IF(D$8="A",IF(D11="no","…",SUM(D298:D304)),IF(D$8="L",C297,"…"))</f>
        <v>10134</v>
      </c>
      <c r="E297" s="25">
        <f t="shared" si="277"/>
        <v>11423</v>
      </c>
      <c r="F297" s="25">
        <f t="shared" si="277"/>
        <v>15415</v>
      </c>
      <c r="G297" s="25">
        <f t="shared" si="277"/>
        <v>18067</v>
      </c>
      <c r="H297" s="25">
        <f t="shared" si="277"/>
        <v>14070</v>
      </c>
      <c r="I297" s="25">
        <f t="shared" si="277"/>
        <v>17271</v>
      </c>
      <c r="J297" s="25">
        <f t="shared" si="277"/>
        <v>23917</v>
      </c>
      <c r="K297" s="25">
        <f t="shared" si="277"/>
        <v>25777</v>
      </c>
      <c r="L297" s="25">
        <f t="shared" si="277"/>
        <v>26448</v>
      </c>
      <c r="M297" s="25">
        <f t="shared" si="277"/>
        <v>25989</v>
      </c>
      <c r="N297" s="25">
        <f t="shared" si="277"/>
        <v>30296</v>
      </c>
      <c r="O297" s="25">
        <f t="shared" si="277"/>
        <v>35885</v>
      </c>
      <c r="P297" s="25">
        <f t="shared" si="277"/>
        <v>51076</v>
      </c>
      <c r="Q297" s="25">
        <f t="shared" si="277"/>
        <v>49405</v>
      </c>
      <c r="R297" s="25">
        <f t="shared" si="277"/>
        <v>49704</v>
      </c>
      <c r="S297" s="25">
        <f t="shared" si="277"/>
        <v>51325</v>
      </c>
      <c r="T297" s="25">
        <f t="shared" si="277"/>
        <v>60692</v>
      </c>
      <c r="U297" s="25">
        <f t="shared" si="277"/>
        <v>69237</v>
      </c>
      <c r="V297" s="25" t="str">
        <f t="shared" si="277"/>
        <v>…</v>
      </c>
      <c r="W297" s="25" t="str">
        <f t="shared" si="277"/>
        <v>…</v>
      </c>
      <c r="X297" s="25" t="str">
        <f t="shared" si="277"/>
        <v>…</v>
      </c>
      <c r="Y297" s="25" t="str">
        <f t="shared" si="277"/>
        <v>…</v>
      </c>
      <c r="Z297" s="25"/>
      <c r="AA297" s="25"/>
      <c r="AB297" s="20"/>
      <c r="AC297" s="20"/>
      <c r="AD297" s="5"/>
      <c r="AE297" s="5"/>
      <c r="AF297" s="5"/>
      <c r="AG297" s="5"/>
      <c r="AH297" s="5"/>
      <c r="AI297" s="20"/>
      <c r="AJ297" s="20"/>
      <c r="AK297" s="20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25"/>
      <c r="AZ297" s="5"/>
      <c r="BA297" s="5"/>
      <c r="BB297" s="5"/>
      <c r="BD297" s="5"/>
      <c r="BE297" s="5"/>
      <c r="BF297" s="5"/>
      <c r="BG297" s="5"/>
      <c r="BH297" s="5"/>
      <c r="BI297" s="5"/>
      <c r="BJ297" s="24"/>
      <c r="BK297" s="22"/>
      <c r="BL297" s="23"/>
      <c r="BM297" s="22"/>
      <c r="BN297" s="22"/>
      <c r="BO297" s="22"/>
      <c r="BP297" s="22"/>
      <c r="BQ297" s="22"/>
      <c r="BR297" s="24"/>
      <c r="BS297" s="5"/>
    </row>
    <row r="298" spans="1:71" s="33" customFormat="1" hidden="1" outlineLevel="1">
      <c r="A298" s="5"/>
      <c r="B298" s="5"/>
      <c r="C298" s="40" t="str">
        <f>C428</f>
        <v>Short-term investments</v>
      </c>
      <c r="D298" s="47">
        <f t="shared" ref="D298:Y298" si="278">IF(D$8="A",D428,IF(D$8="L",C298,"…"))</f>
        <v>2933</v>
      </c>
      <c r="E298" s="47">
        <f t="shared" si="278"/>
        <v>4017</v>
      </c>
      <c r="F298" s="47">
        <f t="shared" si="278"/>
        <v>5091</v>
      </c>
      <c r="G298" s="47">
        <f t="shared" si="278"/>
        <v>6615</v>
      </c>
      <c r="H298" s="47">
        <f t="shared" si="278"/>
        <v>3770</v>
      </c>
      <c r="I298" s="47">
        <f t="shared" si="278"/>
        <v>3330</v>
      </c>
      <c r="J298" s="58">
        <f t="shared" si="278"/>
        <v>5501</v>
      </c>
      <c r="K298" s="58">
        <f t="shared" si="278"/>
        <v>6146</v>
      </c>
      <c r="L298" s="58">
        <f t="shared" si="278"/>
        <v>7433</v>
      </c>
      <c r="M298" s="58">
        <f t="shared" si="278"/>
        <v>8492</v>
      </c>
      <c r="N298" s="58">
        <f t="shared" si="278"/>
        <v>10861</v>
      </c>
      <c r="O298" s="58">
        <f t="shared" si="278"/>
        <v>15007</v>
      </c>
      <c r="P298" s="58">
        <f t="shared" si="278"/>
        <v>17520</v>
      </c>
      <c r="Q298" s="58">
        <f t="shared" si="278"/>
        <v>15939</v>
      </c>
      <c r="R298" s="58">
        <f t="shared" si="278"/>
        <v>17080</v>
      </c>
      <c r="S298" s="58">
        <f t="shared" si="278"/>
        <v>16769</v>
      </c>
      <c r="T298" s="58">
        <f t="shared" si="278"/>
        <v>21162</v>
      </c>
      <c r="U298" s="58">
        <f t="shared" si="278"/>
        <v>22532</v>
      </c>
      <c r="V298" s="58" t="str">
        <f t="shared" si="278"/>
        <v>…</v>
      </c>
      <c r="W298" s="58" t="str">
        <f t="shared" si="278"/>
        <v>…</v>
      </c>
      <c r="X298" s="58" t="str">
        <f t="shared" si="278"/>
        <v>…</v>
      </c>
      <c r="Y298" s="58" t="str">
        <f t="shared" si="278"/>
        <v>…</v>
      </c>
      <c r="Z298" s="58"/>
      <c r="AA298" s="58"/>
      <c r="AB298" s="20"/>
      <c r="AC298" s="20"/>
      <c r="AD298" s="5"/>
      <c r="AE298" s="5"/>
      <c r="AF298" s="5"/>
      <c r="AG298" s="5"/>
      <c r="AH298" s="5"/>
      <c r="AI298" s="20"/>
      <c r="AJ298" s="20"/>
      <c r="AK298" s="20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8"/>
      <c r="AZ298" s="5"/>
      <c r="BA298" s="5"/>
      <c r="BB298" s="5"/>
      <c r="BD298" s="5"/>
      <c r="BE298" s="5"/>
      <c r="BF298" s="5"/>
      <c r="BG298" s="5"/>
      <c r="BH298" s="5"/>
      <c r="BI298" s="5"/>
      <c r="BJ298" s="24"/>
      <c r="BK298" s="22"/>
      <c r="BL298" s="23"/>
      <c r="BM298" s="22"/>
      <c r="BN298" s="22"/>
      <c r="BO298" s="22"/>
      <c r="BP298" s="22"/>
      <c r="BQ298" s="22"/>
      <c r="BR298" s="24"/>
      <c r="BS298" s="5"/>
    </row>
    <row r="299" spans="1:71" s="33" customFormat="1" hidden="1" outlineLevel="1">
      <c r="A299" s="5"/>
      <c r="B299" s="5"/>
      <c r="C299" s="40" t="s">
        <v>251</v>
      </c>
      <c r="D299" s="47">
        <f t="shared" ref="D299:Y299" si="279">IF(D$8="A",D433,IF(D$8="L",C299,"…"))</f>
        <v>293</v>
      </c>
      <c r="E299" s="47">
        <f t="shared" si="279"/>
        <v>336</v>
      </c>
      <c r="F299" s="47">
        <f t="shared" si="279"/>
        <v>410</v>
      </c>
      <c r="G299" s="47">
        <f t="shared" si="279"/>
        <v>548</v>
      </c>
      <c r="H299" s="47">
        <f t="shared" si="279"/>
        <v>583</v>
      </c>
      <c r="I299" s="47">
        <f t="shared" si="279"/>
        <v>543</v>
      </c>
      <c r="J299" s="58">
        <f t="shared" si="279"/>
        <v>640</v>
      </c>
      <c r="K299" s="58">
        <f t="shared" si="279"/>
        <v>3049</v>
      </c>
      <c r="L299" s="58">
        <f t="shared" si="279"/>
        <v>3870</v>
      </c>
      <c r="M299" s="58">
        <f t="shared" si="279"/>
        <v>3941</v>
      </c>
      <c r="N299" s="58">
        <f t="shared" si="279"/>
        <v>3683</v>
      </c>
      <c r="O299" s="58">
        <f t="shared" si="279"/>
        <v>1948</v>
      </c>
      <c r="P299" s="58">
        <f t="shared" si="279"/>
        <v>15184</v>
      </c>
      <c r="Q299" s="58">
        <f t="shared" si="279"/>
        <v>15451</v>
      </c>
      <c r="R299" s="58">
        <f t="shared" si="279"/>
        <v>14059</v>
      </c>
      <c r="S299" s="58">
        <f t="shared" si="279"/>
        <v>13281</v>
      </c>
      <c r="T299" s="58">
        <f t="shared" si="279"/>
        <v>15964</v>
      </c>
      <c r="U299" s="58">
        <f t="shared" si="279"/>
        <v>20781</v>
      </c>
      <c r="V299" s="58" t="str">
        <f t="shared" si="279"/>
        <v>…</v>
      </c>
      <c r="W299" s="58" t="str">
        <f t="shared" si="279"/>
        <v>…</v>
      </c>
      <c r="X299" s="58" t="str">
        <f t="shared" si="279"/>
        <v>…</v>
      </c>
      <c r="Y299" s="58" t="str">
        <f t="shared" si="279"/>
        <v>…</v>
      </c>
      <c r="Z299" s="58"/>
      <c r="AA299" s="58"/>
      <c r="AB299" s="20"/>
      <c r="AC299" s="20"/>
      <c r="AD299" s="5"/>
      <c r="AE299" s="5"/>
      <c r="AF299" s="5"/>
      <c r="AG299" s="5"/>
      <c r="AH299" s="5"/>
      <c r="AI299" s="20"/>
      <c r="AJ299" s="20"/>
      <c r="AK299" s="20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8"/>
      <c r="AZ299" s="5"/>
      <c r="BA299" s="5"/>
      <c r="BB299" s="5"/>
      <c r="BD299" s="5"/>
      <c r="BE299" s="5"/>
      <c r="BF299" s="5"/>
      <c r="BG299" s="5"/>
      <c r="BH299" s="5"/>
      <c r="BI299" s="5"/>
      <c r="BJ299" s="24"/>
      <c r="BK299" s="22"/>
      <c r="BL299" s="23"/>
      <c r="BM299" s="22"/>
      <c r="BN299" s="22"/>
      <c r="BO299" s="22"/>
      <c r="BP299" s="22"/>
      <c r="BQ299" s="22"/>
      <c r="BR299" s="24"/>
      <c r="BS299" s="5"/>
    </row>
    <row r="300" spans="1:71" s="33" customFormat="1" hidden="1" outlineLevel="1">
      <c r="A300" s="5"/>
      <c r="B300" s="5"/>
      <c r="C300" s="40" t="s">
        <v>258</v>
      </c>
      <c r="D300" s="47">
        <f t="shared" ref="D300:Y300" si="280">IF(D$8="A",D409,IF(D$8="L",C300,"…"))</f>
        <v>2687</v>
      </c>
      <c r="E300" s="47">
        <f t="shared" si="280"/>
        <v>2872</v>
      </c>
      <c r="F300" s="47">
        <f t="shared" si="280"/>
        <v>3038</v>
      </c>
      <c r="G300" s="47">
        <f t="shared" si="280"/>
        <v>3109</v>
      </c>
      <c r="H300" s="47">
        <f t="shared" si="280"/>
        <v>3344</v>
      </c>
      <c r="I300" s="47">
        <f t="shared" si="280"/>
        <v>3013</v>
      </c>
      <c r="J300" s="58">
        <f t="shared" si="280"/>
        <v>4248</v>
      </c>
      <c r="K300" s="58">
        <f t="shared" si="280"/>
        <v>6333</v>
      </c>
      <c r="L300" s="58">
        <f t="shared" si="280"/>
        <v>7836</v>
      </c>
      <c r="M300" s="58">
        <f t="shared" si="280"/>
        <v>5622</v>
      </c>
      <c r="N300" s="58">
        <f t="shared" si="280"/>
        <v>5878</v>
      </c>
      <c r="O300" s="58">
        <f t="shared" si="280"/>
        <v>8026</v>
      </c>
      <c r="P300" s="58">
        <f t="shared" si="280"/>
        <v>9756</v>
      </c>
      <c r="Q300" s="58">
        <f t="shared" si="280"/>
        <v>9810</v>
      </c>
      <c r="R300" s="58">
        <f t="shared" si="280"/>
        <v>10131</v>
      </c>
      <c r="S300" s="58">
        <f t="shared" si="280"/>
        <v>13106</v>
      </c>
      <c r="T300" s="58">
        <f t="shared" si="280"/>
        <v>13486</v>
      </c>
      <c r="U300" s="58">
        <f t="shared" si="280"/>
        <v>13393</v>
      </c>
      <c r="V300" s="58" t="str">
        <f t="shared" si="280"/>
        <v>…</v>
      </c>
      <c r="W300" s="58" t="str">
        <f t="shared" si="280"/>
        <v>…</v>
      </c>
      <c r="X300" s="58" t="str">
        <f t="shared" si="280"/>
        <v>…</v>
      </c>
      <c r="Y300" s="58" t="str">
        <f t="shared" si="280"/>
        <v>…</v>
      </c>
      <c r="Z300" s="58"/>
      <c r="AA300" s="58"/>
      <c r="AB300" s="20"/>
      <c r="AC300" s="20"/>
      <c r="AD300" s="5"/>
      <c r="AE300" s="5"/>
      <c r="AF300" s="5"/>
      <c r="AG300" s="5"/>
      <c r="AH300" s="5"/>
      <c r="AI300" s="20"/>
      <c r="AJ300" s="20"/>
      <c r="AK300" s="20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8"/>
      <c r="AZ300" s="5"/>
      <c r="BA300" s="5"/>
      <c r="BB300" s="5"/>
      <c r="BD300" s="5"/>
      <c r="BE300" s="5"/>
      <c r="BF300" s="5"/>
      <c r="BG300" s="5"/>
      <c r="BH300" s="5"/>
      <c r="BI300" s="5"/>
      <c r="BJ300" s="24"/>
      <c r="BK300" s="22"/>
      <c r="BL300" s="23"/>
      <c r="BM300" s="22"/>
      <c r="BN300" s="22"/>
      <c r="BO300" s="22"/>
      <c r="BP300" s="22"/>
      <c r="BQ300" s="22"/>
      <c r="BR300" s="24"/>
      <c r="BS300" s="5"/>
    </row>
    <row r="301" spans="1:71" s="33" customFormat="1" hidden="1" outlineLevel="1">
      <c r="A301" s="5"/>
      <c r="B301" s="5"/>
      <c r="C301" s="40" t="s">
        <v>261</v>
      </c>
      <c r="D301" s="47">
        <f t="shared" ref="D301:Y301" si="281">IF(D$8="A",D412,IF(D$8="L",C301,"…"))</f>
        <v>4221</v>
      </c>
      <c r="E301" s="47">
        <f t="shared" si="281"/>
        <v>4198</v>
      </c>
      <c r="F301" s="47">
        <f t="shared" si="281"/>
        <v>6876</v>
      </c>
      <c r="G301" s="47">
        <f t="shared" si="281"/>
        <v>7795</v>
      </c>
      <c r="H301" s="47">
        <f t="shared" si="281"/>
        <v>6373</v>
      </c>
      <c r="I301" s="47">
        <f t="shared" si="281"/>
        <v>10385</v>
      </c>
      <c r="J301" s="58">
        <f t="shared" si="281"/>
        <v>13528</v>
      </c>
      <c r="K301" s="58">
        <f t="shared" si="281"/>
        <v>10249</v>
      </c>
      <c r="L301" s="58">
        <f t="shared" si="281"/>
        <v>7309</v>
      </c>
      <c r="M301" s="58">
        <f t="shared" si="281"/>
        <v>7934</v>
      </c>
      <c r="N301" s="58">
        <f t="shared" si="281"/>
        <v>9874</v>
      </c>
      <c r="O301" s="58">
        <f t="shared" si="281"/>
        <v>10904</v>
      </c>
      <c r="P301" s="58">
        <f t="shared" si="281"/>
        <v>8616</v>
      </c>
      <c r="Q301" s="58">
        <f t="shared" si="281"/>
        <v>8205</v>
      </c>
      <c r="R301" s="58">
        <f t="shared" si="281"/>
        <v>8434</v>
      </c>
      <c r="S301" s="58">
        <f t="shared" si="281"/>
        <v>8169</v>
      </c>
      <c r="T301" s="58">
        <f t="shared" si="281"/>
        <v>10080</v>
      </c>
      <c r="U301" s="58">
        <f t="shared" si="281"/>
        <v>12531</v>
      </c>
      <c r="V301" s="58" t="str">
        <f t="shared" si="281"/>
        <v>…</v>
      </c>
      <c r="W301" s="58" t="str">
        <f t="shared" si="281"/>
        <v>…</v>
      </c>
      <c r="X301" s="58" t="str">
        <f t="shared" si="281"/>
        <v>…</v>
      </c>
      <c r="Y301" s="58" t="str">
        <f t="shared" si="281"/>
        <v>…</v>
      </c>
      <c r="Z301" s="58"/>
      <c r="AA301" s="58"/>
      <c r="AB301" s="20"/>
      <c r="AC301" s="20"/>
      <c r="AD301" s="5"/>
      <c r="AE301" s="5"/>
      <c r="AF301" s="5"/>
      <c r="AG301" s="5"/>
      <c r="AH301" s="5"/>
      <c r="AI301" s="20"/>
      <c r="AJ301" s="20"/>
      <c r="AK301" s="20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8"/>
      <c r="AZ301" s="5"/>
      <c r="BA301" s="5"/>
      <c r="BB301" s="5"/>
      <c r="BD301" s="5"/>
      <c r="BE301" s="5"/>
      <c r="BF301" s="5"/>
      <c r="BG301" s="5"/>
      <c r="BH301" s="5"/>
      <c r="BI301" s="5"/>
      <c r="BJ301" s="24"/>
      <c r="BK301" s="22"/>
      <c r="BL301" s="23"/>
      <c r="BM301" s="22"/>
      <c r="BN301" s="22"/>
      <c r="BO301" s="22"/>
      <c r="BP301" s="22"/>
      <c r="BQ301" s="22"/>
      <c r="BR301" s="24"/>
      <c r="BS301" s="5"/>
    </row>
    <row r="302" spans="1:71" s="33" customFormat="1" hidden="1" outlineLevel="1">
      <c r="A302" s="5"/>
      <c r="B302" s="5"/>
      <c r="C302" s="40" t="str">
        <f>C417</f>
        <v>Assets Held For Sale</v>
      </c>
      <c r="D302" s="47">
        <f t="shared" ref="D302:Y302" si="282">IF(D$8="A",D417,IF(D$8="L",C302,"…"))</f>
        <v>0</v>
      </c>
      <c r="E302" s="47">
        <f t="shared" si="282"/>
        <v>0</v>
      </c>
      <c r="F302" s="47">
        <f t="shared" si="282"/>
        <v>0</v>
      </c>
      <c r="G302" s="47">
        <f t="shared" si="282"/>
        <v>0</v>
      </c>
      <c r="H302" s="47">
        <f t="shared" si="282"/>
        <v>0</v>
      </c>
      <c r="I302" s="47">
        <f t="shared" si="282"/>
        <v>0</v>
      </c>
      <c r="J302" s="58">
        <f t="shared" si="282"/>
        <v>0</v>
      </c>
      <c r="K302" s="58">
        <f t="shared" si="282"/>
        <v>0</v>
      </c>
      <c r="L302" s="58">
        <f t="shared" si="282"/>
        <v>0</v>
      </c>
      <c r="M302" s="58">
        <f t="shared" si="282"/>
        <v>0</v>
      </c>
      <c r="N302" s="58">
        <f t="shared" si="282"/>
        <v>0</v>
      </c>
      <c r="O302" s="58">
        <f t="shared" si="282"/>
        <v>0</v>
      </c>
      <c r="P302" s="58">
        <f t="shared" si="282"/>
        <v>0</v>
      </c>
      <c r="Q302" s="58">
        <f t="shared" si="282"/>
        <v>0</v>
      </c>
      <c r="R302" s="58">
        <f t="shared" si="282"/>
        <v>0</v>
      </c>
      <c r="S302" s="58">
        <f t="shared" si="282"/>
        <v>0</v>
      </c>
      <c r="T302" s="58">
        <f t="shared" si="282"/>
        <v>0</v>
      </c>
      <c r="U302" s="58">
        <f t="shared" si="282"/>
        <v>0</v>
      </c>
      <c r="V302" s="58" t="str">
        <f t="shared" si="282"/>
        <v>…</v>
      </c>
      <c r="W302" s="58" t="str">
        <f t="shared" si="282"/>
        <v>…</v>
      </c>
      <c r="X302" s="58" t="str">
        <f t="shared" si="282"/>
        <v>…</v>
      </c>
      <c r="Y302" s="58" t="str">
        <f t="shared" si="282"/>
        <v>…</v>
      </c>
      <c r="Z302" s="58"/>
      <c r="AA302" s="58"/>
      <c r="AB302" s="20"/>
      <c r="AC302" s="20"/>
      <c r="AD302" s="5"/>
      <c r="AE302" s="5"/>
      <c r="AF302" s="5"/>
      <c r="AG302" s="5"/>
      <c r="AH302" s="5"/>
      <c r="AI302" s="20"/>
      <c r="AJ302" s="20"/>
      <c r="AK302" s="20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8"/>
      <c r="AZ302" s="5"/>
      <c r="BA302" s="5"/>
      <c r="BB302" s="5"/>
      <c r="BD302" s="5"/>
      <c r="BE302" s="5"/>
      <c r="BF302" s="5"/>
      <c r="BG302" s="5"/>
      <c r="BH302" s="5"/>
      <c r="BI302" s="5"/>
      <c r="BJ302" s="24"/>
      <c r="BK302" s="22"/>
      <c r="BL302" s="23"/>
      <c r="BM302" s="22"/>
      <c r="BN302" s="22"/>
      <c r="BO302" s="22"/>
      <c r="BP302" s="22"/>
      <c r="BQ302" s="22"/>
      <c r="BR302" s="24"/>
      <c r="BS302" s="5"/>
    </row>
    <row r="303" spans="1:71" s="33" customFormat="1" hidden="1" outlineLevel="1">
      <c r="A303" s="5"/>
      <c r="B303" s="5"/>
      <c r="C303" s="40" t="s">
        <v>208</v>
      </c>
      <c r="D303" s="47">
        <f t="shared" ref="D303:Y303" si="283">IF(D$8="A",D420,IF(D$8="L",C303,"…"))</f>
        <v>0</v>
      </c>
      <c r="E303" s="47">
        <f t="shared" si="283"/>
        <v>0</v>
      </c>
      <c r="F303" s="47">
        <f t="shared" si="283"/>
        <v>0</v>
      </c>
      <c r="G303" s="47">
        <f t="shared" si="283"/>
        <v>0</v>
      </c>
      <c r="H303" s="47">
        <f t="shared" si="283"/>
        <v>0</v>
      </c>
      <c r="I303" s="47">
        <f t="shared" si="283"/>
        <v>0</v>
      </c>
      <c r="J303" s="58">
        <f t="shared" si="283"/>
        <v>0</v>
      </c>
      <c r="K303" s="58">
        <f t="shared" si="283"/>
        <v>0</v>
      </c>
      <c r="L303" s="58">
        <f t="shared" si="283"/>
        <v>0</v>
      </c>
      <c r="M303" s="58">
        <f t="shared" si="283"/>
        <v>0</v>
      </c>
      <c r="N303" s="58">
        <f t="shared" si="283"/>
        <v>0</v>
      </c>
      <c r="O303" s="58">
        <f t="shared" si="283"/>
        <v>0</v>
      </c>
      <c r="P303" s="58">
        <f t="shared" si="283"/>
        <v>0</v>
      </c>
      <c r="Q303" s="58">
        <f t="shared" si="283"/>
        <v>0</v>
      </c>
      <c r="R303" s="58">
        <f t="shared" si="283"/>
        <v>0</v>
      </c>
      <c r="S303" s="58">
        <f t="shared" si="283"/>
        <v>0</v>
      </c>
      <c r="T303" s="58">
        <f t="shared" si="283"/>
        <v>0</v>
      </c>
      <c r="U303" s="58">
        <f t="shared" si="283"/>
        <v>0</v>
      </c>
      <c r="V303" s="58" t="str">
        <f t="shared" si="283"/>
        <v>…</v>
      </c>
      <c r="W303" s="58" t="str">
        <f t="shared" si="283"/>
        <v>…</v>
      </c>
      <c r="X303" s="58" t="str">
        <f t="shared" si="283"/>
        <v>…</v>
      </c>
      <c r="Y303" s="58" t="str">
        <f t="shared" si="283"/>
        <v>…</v>
      </c>
      <c r="Z303" s="58"/>
      <c r="AA303" s="58"/>
      <c r="AB303" s="20"/>
      <c r="AC303" s="20"/>
      <c r="AD303" s="5"/>
      <c r="AE303" s="5"/>
      <c r="AF303" s="5"/>
      <c r="AG303" s="5"/>
      <c r="AH303" s="5"/>
      <c r="AI303" s="20"/>
      <c r="AJ303" s="20"/>
      <c r="AK303" s="20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8"/>
      <c r="AZ303" s="5"/>
      <c r="BA303" s="5"/>
      <c r="BB303" s="5"/>
      <c r="BD303" s="5"/>
      <c r="BE303" s="5"/>
      <c r="BF303" s="5"/>
      <c r="BG303" s="5"/>
      <c r="BH303" s="5"/>
      <c r="BI303" s="5"/>
      <c r="BJ303" s="24"/>
      <c r="BK303" s="22"/>
      <c r="BL303" s="23"/>
      <c r="BM303" s="22"/>
      <c r="BN303" s="22"/>
      <c r="BO303" s="22"/>
      <c r="BP303" s="22"/>
      <c r="BQ303" s="22"/>
      <c r="BR303" s="24"/>
      <c r="BS303" s="5"/>
    </row>
    <row r="304" spans="1:71" s="33" customFormat="1" hidden="1" outlineLevel="1">
      <c r="A304" s="5"/>
      <c r="B304" s="5"/>
      <c r="C304" s="40" t="s">
        <v>209</v>
      </c>
      <c r="D304" s="47">
        <f t="shared" ref="D304:Y304" si="284">IF(D$8="A",D423,IF(D$8="L",C304,"…"))</f>
        <v>0</v>
      </c>
      <c r="E304" s="47">
        <f t="shared" si="284"/>
        <v>0</v>
      </c>
      <c r="F304" s="47">
        <f t="shared" si="284"/>
        <v>0</v>
      </c>
      <c r="G304" s="47">
        <f t="shared" si="284"/>
        <v>0</v>
      </c>
      <c r="H304" s="47">
        <f t="shared" si="284"/>
        <v>0</v>
      </c>
      <c r="I304" s="47">
        <f t="shared" si="284"/>
        <v>0</v>
      </c>
      <c r="J304" s="58">
        <f t="shared" si="284"/>
        <v>0</v>
      </c>
      <c r="K304" s="58">
        <f t="shared" si="284"/>
        <v>0</v>
      </c>
      <c r="L304" s="58">
        <f t="shared" si="284"/>
        <v>0</v>
      </c>
      <c r="M304" s="58">
        <f t="shared" si="284"/>
        <v>0</v>
      </c>
      <c r="N304" s="58">
        <f t="shared" si="284"/>
        <v>0</v>
      </c>
      <c r="O304" s="58">
        <f t="shared" si="284"/>
        <v>0</v>
      </c>
      <c r="P304" s="58">
        <f t="shared" si="284"/>
        <v>0</v>
      </c>
      <c r="Q304" s="58">
        <f t="shared" si="284"/>
        <v>0</v>
      </c>
      <c r="R304" s="58">
        <f t="shared" si="284"/>
        <v>0</v>
      </c>
      <c r="S304" s="58">
        <f t="shared" si="284"/>
        <v>0</v>
      </c>
      <c r="T304" s="58">
        <f t="shared" si="284"/>
        <v>0</v>
      </c>
      <c r="U304" s="58">
        <f t="shared" si="284"/>
        <v>0</v>
      </c>
      <c r="V304" s="58" t="str">
        <f t="shared" si="284"/>
        <v>…</v>
      </c>
      <c r="W304" s="58" t="str">
        <f t="shared" si="284"/>
        <v>…</v>
      </c>
      <c r="X304" s="58" t="str">
        <f t="shared" si="284"/>
        <v>…</v>
      </c>
      <c r="Y304" s="58" t="str">
        <f t="shared" si="284"/>
        <v>…</v>
      </c>
      <c r="Z304" s="58"/>
      <c r="AA304" s="58"/>
      <c r="AB304" s="20"/>
      <c r="AC304" s="20"/>
      <c r="AD304" s="5"/>
      <c r="AE304" s="5"/>
      <c r="AF304" s="5"/>
      <c r="AG304" s="5"/>
      <c r="AH304" s="5"/>
      <c r="AI304" s="20"/>
      <c r="AJ304" s="20"/>
      <c r="AK304" s="20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8"/>
      <c r="AZ304" s="5"/>
      <c r="BA304" s="5"/>
      <c r="BB304" s="5"/>
      <c r="BD304" s="5"/>
      <c r="BE304" s="5"/>
      <c r="BF304" s="5"/>
      <c r="BG304" s="5"/>
      <c r="BH304" s="5"/>
      <c r="BI304" s="5"/>
      <c r="BJ304" s="24"/>
      <c r="BK304" s="22"/>
      <c r="BL304" s="23"/>
      <c r="BM304" s="22"/>
      <c r="BN304" s="22"/>
      <c r="BO304" s="22"/>
      <c r="BP304" s="22"/>
      <c r="BQ304" s="22"/>
      <c r="BR304" s="24"/>
      <c r="BS304" s="5"/>
    </row>
    <row r="305" spans="1:72" s="33" customFormat="1" hidden="1" outlineLevel="1">
      <c r="A305" s="5"/>
      <c r="B305" s="5"/>
      <c r="C305" s="5"/>
      <c r="D305" s="20"/>
      <c r="E305" s="20"/>
      <c r="F305" s="20"/>
      <c r="G305" s="5"/>
      <c r="H305" s="5"/>
      <c r="I305" s="5"/>
      <c r="J305" s="5"/>
      <c r="K305" s="5"/>
      <c r="L305" s="5"/>
      <c r="M305" s="5"/>
      <c r="N305" s="5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5"/>
      <c r="AE305" s="5"/>
      <c r="AF305" s="5"/>
      <c r="AG305" s="5"/>
      <c r="AH305" s="5"/>
      <c r="AI305" s="20"/>
      <c r="AJ305" s="20"/>
      <c r="AK305" s="20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20"/>
      <c r="AZ305" s="5"/>
      <c r="BA305" s="5"/>
      <c r="BB305" s="5"/>
      <c r="BD305" s="5"/>
      <c r="BE305" s="5"/>
      <c r="BF305" s="5"/>
      <c r="BG305" s="5"/>
      <c r="BH305" s="5"/>
      <c r="BI305" s="5"/>
      <c r="BJ305" s="24"/>
      <c r="BK305" s="22"/>
      <c r="BL305" s="23"/>
      <c r="BM305" s="22"/>
      <c r="BN305" s="22"/>
      <c r="BO305" s="22"/>
      <c r="BP305" s="22"/>
      <c r="BQ305" s="22"/>
      <c r="BR305" s="24"/>
      <c r="BS305" s="5"/>
    </row>
    <row r="306" spans="1:72" hidden="1" outlineLevel="1"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Z306" s="5"/>
      <c r="BK306" s="23"/>
      <c r="BL306" s="23"/>
      <c r="BM306" s="23"/>
      <c r="BN306" s="23"/>
      <c r="BO306" s="23"/>
      <c r="BP306" s="23"/>
      <c r="BQ306" s="23"/>
      <c r="BR306" s="33"/>
    </row>
    <row r="307" spans="1:72" hidden="1" outlineLevel="1">
      <c r="C307" s="5" t="s">
        <v>335</v>
      </c>
      <c r="D307" s="47">
        <f t="shared" ref="D307:V307" si="285">IF(D$8="A",D357,IF(D$8="L","…","…"))</f>
        <v>21872</v>
      </c>
      <c r="E307" s="47">
        <f t="shared" si="285"/>
        <v>24574</v>
      </c>
      <c r="F307" s="47">
        <f t="shared" si="285"/>
        <v>26048</v>
      </c>
      <c r="G307" s="47">
        <f t="shared" si="285"/>
        <v>29666</v>
      </c>
      <c r="H307" s="47">
        <f t="shared" si="285"/>
        <v>28679</v>
      </c>
      <c r="I307" s="47">
        <f t="shared" si="285"/>
        <v>28928</v>
      </c>
      <c r="J307" s="58">
        <f t="shared" si="285"/>
        <v>37047</v>
      </c>
      <c r="K307" s="58">
        <f t="shared" si="285"/>
        <v>52146</v>
      </c>
      <c r="L307" s="58">
        <f t="shared" si="285"/>
        <v>51465</v>
      </c>
      <c r="M307" s="58">
        <f t="shared" si="285"/>
        <v>58639</v>
      </c>
      <c r="N307" s="58">
        <f t="shared" si="285"/>
        <v>65142</v>
      </c>
      <c r="O307" s="58">
        <f t="shared" si="285"/>
        <v>76177</v>
      </c>
      <c r="P307" s="58">
        <f t="shared" si="285"/>
        <v>89053</v>
      </c>
      <c r="Q307" s="58">
        <f t="shared" si="285"/>
        <v>78545</v>
      </c>
      <c r="R307" s="58">
        <f t="shared" si="285"/>
        <v>78211</v>
      </c>
      <c r="S307" s="58">
        <f t="shared" si="285"/>
        <v>80012</v>
      </c>
      <c r="T307" s="58">
        <f t="shared" si="285"/>
        <v>76761</v>
      </c>
      <c r="U307" s="58">
        <f t="shared" si="285"/>
        <v>85809</v>
      </c>
      <c r="V307" s="58" t="str">
        <f t="shared" si="285"/>
        <v>…</v>
      </c>
      <c r="W307" s="58" t="str">
        <f>IF(W$8="A",W357,IF(W$8="L","…","…"))</f>
        <v>…</v>
      </c>
      <c r="X307" s="58" t="str">
        <f>IF(X$8="A",X357,IF(X$8="L","…","…"))</f>
        <v>…</v>
      </c>
      <c r="Y307" s="58" t="str">
        <f>IF(Y$8="A",Y357,IF(Y$8="L","…","…"))</f>
        <v>…</v>
      </c>
      <c r="Z307" s="58"/>
      <c r="AA307" s="58"/>
      <c r="AB307" s="5"/>
      <c r="AC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8"/>
      <c r="AZ307" s="5"/>
    </row>
    <row r="308" spans="1:72" hidden="1" outlineLevel="1">
      <c r="C308" s="44" t="s">
        <v>336</v>
      </c>
      <c r="D308" s="47">
        <f t="shared" ref="D308:V308" si="286">IF(D$8="A",D348,IF(D$8="L","…","…"))</f>
        <v>50757</v>
      </c>
      <c r="E308" s="47">
        <f t="shared" si="286"/>
        <v>55566</v>
      </c>
      <c r="F308" s="47">
        <f t="shared" si="286"/>
        <v>56071</v>
      </c>
      <c r="G308" s="47">
        <f t="shared" si="286"/>
        <v>58343</v>
      </c>
      <c r="H308" s="47">
        <f t="shared" si="286"/>
        <v>69679</v>
      </c>
      <c r="I308" s="47">
        <f t="shared" si="286"/>
        <v>69534</v>
      </c>
      <c r="J308" s="58">
        <f t="shared" si="286"/>
        <v>76900</v>
      </c>
      <c r="K308" s="58">
        <f t="shared" si="286"/>
        <v>101236</v>
      </c>
      <c r="L308" s="58">
        <f t="shared" si="286"/>
        <v>105526</v>
      </c>
      <c r="M308" s="58">
        <f t="shared" si="286"/>
        <v>118625</v>
      </c>
      <c r="N308" s="58">
        <f t="shared" si="286"/>
        <v>130706</v>
      </c>
      <c r="O308" s="58">
        <f t="shared" si="286"/>
        <v>148489</v>
      </c>
      <c r="P308" s="58">
        <f t="shared" si="286"/>
        <v>177515</v>
      </c>
      <c r="Q308" s="58">
        <f t="shared" si="286"/>
        <v>160389</v>
      </c>
      <c r="R308" s="58">
        <f t="shared" si="286"/>
        <v>167968</v>
      </c>
      <c r="S308" s="58">
        <f t="shared" si="286"/>
        <v>167924</v>
      </c>
      <c r="T308" s="58">
        <f t="shared" si="286"/>
        <v>165410</v>
      </c>
      <c r="U308" s="58">
        <f t="shared" si="286"/>
        <v>164393</v>
      </c>
      <c r="V308" s="58" t="str">
        <f t="shared" si="286"/>
        <v>…</v>
      </c>
      <c r="W308" s="58" t="str">
        <f>IF(W$8="A",W348,IF(W$8="L","…","…"))</f>
        <v>…</v>
      </c>
      <c r="X308" s="58" t="str">
        <f>IF(X$8="A",X348,IF(X$8="L","…","…"))</f>
        <v>…</v>
      </c>
      <c r="Y308" s="58" t="str">
        <f>IF(Y$8="A",Y348,IF(Y$8="L","…","…"))</f>
        <v>…</v>
      </c>
      <c r="Z308" s="58"/>
      <c r="AA308" s="58"/>
      <c r="AB308" s="5"/>
      <c r="AC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8"/>
      <c r="AZ308" s="5"/>
    </row>
    <row r="309" spans="1:72" hidden="1" outlineLevel="1">
      <c r="C309" s="44" t="s">
        <v>334</v>
      </c>
      <c r="D309" s="47">
        <f t="shared" ref="D309:V309" si="287">IF(D$8="A",D351,IF(D$8="L","…","…"))</f>
        <v>28885</v>
      </c>
      <c r="E309" s="47">
        <f t="shared" si="287"/>
        <v>30992</v>
      </c>
      <c r="F309" s="47">
        <f t="shared" si="287"/>
        <v>30023</v>
      </c>
      <c r="G309" s="47">
        <f t="shared" si="287"/>
        <v>28677</v>
      </c>
      <c r="H309" s="47">
        <f t="shared" si="287"/>
        <v>41000</v>
      </c>
      <c r="I309" s="47">
        <f t="shared" si="287"/>
        <v>40606</v>
      </c>
      <c r="J309" s="58">
        <f t="shared" si="287"/>
        <v>39853</v>
      </c>
      <c r="K309" s="58">
        <f t="shared" si="287"/>
        <v>49090</v>
      </c>
      <c r="L309" s="58">
        <f t="shared" si="287"/>
        <v>54061</v>
      </c>
      <c r="M309" s="58">
        <f t="shared" si="287"/>
        <v>59986</v>
      </c>
      <c r="N309" s="58">
        <f t="shared" si="287"/>
        <v>65564</v>
      </c>
      <c r="O309" s="58">
        <f t="shared" si="287"/>
        <v>72312</v>
      </c>
      <c r="P309" s="58">
        <f t="shared" si="287"/>
        <v>88462</v>
      </c>
      <c r="Q309" s="58">
        <f t="shared" si="287"/>
        <v>81844</v>
      </c>
      <c r="R309" s="58">
        <f t="shared" si="287"/>
        <v>89757</v>
      </c>
      <c r="S309" s="58">
        <f t="shared" si="287"/>
        <v>87912</v>
      </c>
      <c r="T309" s="58">
        <f t="shared" si="287"/>
        <v>88649</v>
      </c>
      <c r="U309" s="58">
        <f t="shared" si="287"/>
        <v>78584</v>
      </c>
      <c r="V309" s="58" t="str">
        <f t="shared" si="287"/>
        <v>…</v>
      </c>
      <c r="W309" s="58" t="str">
        <f>IF(W$8="A",W351,IF(W$8="L","…","…"))</f>
        <v>…</v>
      </c>
      <c r="X309" s="58" t="str">
        <f>IF(X$8="A",X351,IF(X$8="L","…","…"))</f>
        <v>…</v>
      </c>
      <c r="Y309" s="58" t="str">
        <f>IF(Y$8="A",Y351,IF(Y$8="L","…","…"))</f>
        <v>…</v>
      </c>
      <c r="Z309" s="58"/>
      <c r="AA309" s="58"/>
      <c r="AB309" s="5"/>
      <c r="AC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8"/>
      <c r="AZ309" s="5"/>
    </row>
    <row r="310" spans="1:72" hidden="1" outlineLevel="1"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</row>
    <row r="311" spans="1:72" hidden="1" outlineLevel="1"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</row>
    <row r="312" spans="1:72" collapsed="1"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Z312" s="5"/>
      <c r="BK312" s="22"/>
      <c r="BL312" s="23"/>
      <c r="BM312" s="22"/>
      <c r="BN312" s="22"/>
      <c r="BO312" s="22"/>
      <c r="BP312" s="22"/>
      <c r="BQ312" s="22"/>
      <c r="BR312" s="24"/>
    </row>
    <row r="313" spans="1:72" ht="13.15">
      <c r="C313" s="12" t="s">
        <v>301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22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J313" s="24"/>
      <c r="BK313" s="22"/>
      <c r="BL313" s="23"/>
      <c r="BM313" s="22"/>
      <c r="BN313" s="22"/>
      <c r="BO313" s="22"/>
      <c r="BP313" s="22"/>
      <c r="BQ313" s="22"/>
      <c r="BR313" s="24"/>
      <c r="BT313" s="33"/>
    </row>
    <row r="314" spans="1:72" ht="13.15"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14"/>
      <c r="AC314" s="14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J314" s="24"/>
      <c r="BK314" s="22"/>
      <c r="BL314" s="23"/>
      <c r="BM314" s="22"/>
      <c r="BN314" s="22"/>
      <c r="BO314" s="22"/>
      <c r="BP314" s="22"/>
      <c r="BQ314" s="22"/>
      <c r="BR314" s="24"/>
      <c r="BT314" s="33"/>
    </row>
    <row r="315" spans="1:72" ht="13.15">
      <c r="C315" s="9" t="s">
        <v>299</v>
      </c>
      <c r="D315" s="25">
        <f t="shared" ref="D315:J315" si="288">IF(ISNUMBER(D316),D316,IF(ISNUMBER(D317),D317,IF(ISNUMBER(D318),D318,"…")))</f>
        <v>88963</v>
      </c>
      <c r="E315" s="25">
        <f t="shared" si="288"/>
        <v>95268</v>
      </c>
      <c r="F315" s="25">
        <f t="shared" si="288"/>
        <v>104875</v>
      </c>
      <c r="G315" s="25">
        <f t="shared" si="288"/>
        <v>108897</v>
      </c>
      <c r="H315" s="25">
        <f t="shared" si="288"/>
        <v>113808</v>
      </c>
      <c r="I315" s="25">
        <f t="shared" si="288"/>
        <v>105187</v>
      </c>
      <c r="J315" s="25">
        <f t="shared" si="288"/>
        <v>126875</v>
      </c>
      <c r="K315" s="25">
        <f>IF(ISNUMBER(K316),K316,IF(ISNUMBER(K317),K317,IF(ISNUMBER(K318),K318,"…")))</f>
        <v>159337</v>
      </c>
      <c r="L315" s="25">
        <f t="shared" ref="L315:Q315" si="289">IF(ISNUMBER(L316),L316,IF(ISNUMBER(L317),L317,IF(ISNUMBER(L318),L318,"…")))</f>
        <v>192676</v>
      </c>
      <c r="M315" s="25">
        <f t="shared" si="289"/>
        <v>197007</v>
      </c>
      <c r="N315" s="25">
        <f t="shared" si="289"/>
        <v>202458</v>
      </c>
      <c r="O315" s="25">
        <f t="shared" si="289"/>
        <v>213292</v>
      </c>
      <c r="P315" s="25">
        <f t="shared" si="289"/>
        <v>217267</v>
      </c>
      <c r="Q315" s="25">
        <f t="shared" si="289"/>
        <v>230682</v>
      </c>
      <c r="R315" s="25">
        <f t="shared" ref="R315:Y315" si="290">IF(ISNUMBER(R316),R316,IF(ISNUMBER(R317),R317,IF(ISNUMBER(R318),R318,"…")))</f>
        <v>235849</v>
      </c>
      <c r="S315" s="25">
        <f t="shared" si="290"/>
        <v>252632</v>
      </c>
      <c r="T315" s="25">
        <f t="shared" si="290"/>
        <v>222884</v>
      </c>
      <c r="U315" s="25">
        <f t="shared" si="290"/>
        <v>250200</v>
      </c>
      <c r="V315" s="25" t="str">
        <f t="shared" si="290"/>
        <v>…</v>
      </c>
      <c r="W315" s="25" t="str">
        <f t="shared" si="290"/>
        <v>…</v>
      </c>
      <c r="X315" s="25" t="str">
        <f t="shared" si="290"/>
        <v>…</v>
      </c>
      <c r="Y315" s="25" t="str">
        <f t="shared" si="290"/>
        <v>…</v>
      </c>
      <c r="Z315" s="25"/>
      <c r="AA315" s="25"/>
      <c r="AB315" s="25"/>
      <c r="AC315" s="2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25"/>
      <c r="AZ315" s="5"/>
      <c r="BJ315" s="24"/>
      <c r="BK315" s="22"/>
      <c r="BL315" s="23"/>
      <c r="BM315" s="22"/>
      <c r="BN315" s="22"/>
      <c r="BO315" s="22"/>
      <c r="BP315" s="22"/>
      <c r="BQ315" s="22"/>
      <c r="BR315" s="24"/>
      <c r="BT315" s="33"/>
    </row>
    <row r="316" spans="1:72" hidden="1" outlineLevel="1">
      <c r="B316" s="5" t="s">
        <v>145</v>
      </c>
      <c r="C316" s="38" t="s">
        <v>154</v>
      </c>
      <c r="D316" s="16">
        <v>88963</v>
      </c>
      <c r="E316" s="16">
        <v>95268</v>
      </c>
      <c r="F316" s="16">
        <v>104875</v>
      </c>
      <c r="G316" s="16">
        <v>108897</v>
      </c>
      <c r="H316" s="16">
        <v>113808</v>
      </c>
      <c r="I316" s="16">
        <v>105187</v>
      </c>
      <c r="J316" s="16">
        <v>126875</v>
      </c>
      <c r="K316" s="16">
        <v>159337</v>
      </c>
      <c r="L316" s="16">
        <v>192676</v>
      </c>
      <c r="M316" s="16">
        <v>197007</v>
      </c>
      <c r="N316" s="16">
        <v>202458</v>
      </c>
      <c r="O316" s="16">
        <v>213292</v>
      </c>
      <c r="P316" s="16">
        <v>217267</v>
      </c>
      <c r="Q316" s="16">
        <v>230682</v>
      </c>
      <c r="R316" s="16">
        <v>235849</v>
      </c>
      <c r="S316" s="16">
        <v>252632</v>
      </c>
      <c r="T316" s="16">
        <v>222884</v>
      </c>
      <c r="U316" s="16" t="s">
        <v>289</v>
      </c>
      <c r="V316" s="16" t="s">
        <v>289</v>
      </c>
      <c r="W316" s="16"/>
      <c r="X316" s="16"/>
      <c r="Y316" s="16"/>
      <c r="Z316" s="16"/>
      <c r="AA316" s="16"/>
      <c r="AB316" s="25"/>
      <c r="AC316" s="2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16"/>
      <c r="AZ316" s="5"/>
      <c r="BJ316" s="24"/>
      <c r="BK316" s="22"/>
      <c r="BL316" s="23"/>
      <c r="BM316" s="22"/>
      <c r="BN316" s="22"/>
      <c r="BO316" s="22"/>
      <c r="BP316" s="22"/>
      <c r="BQ316" s="22"/>
      <c r="BR316" s="24"/>
      <c r="BT316" s="33"/>
    </row>
    <row r="317" spans="1:72" hidden="1" outlineLevel="1">
      <c r="B317" s="5" t="s">
        <v>9</v>
      </c>
      <c r="C317" s="38" t="s">
        <v>161</v>
      </c>
      <c r="D317" s="16">
        <v>88963</v>
      </c>
      <c r="E317" s="16">
        <v>93996</v>
      </c>
      <c r="F317" s="16">
        <v>104875</v>
      </c>
      <c r="G317" s="16">
        <v>108897</v>
      </c>
      <c r="H317" s="16">
        <v>113808</v>
      </c>
      <c r="I317" s="16">
        <v>105187</v>
      </c>
      <c r="J317" s="16">
        <v>126876</v>
      </c>
      <c r="K317" s="16">
        <v>159337</v>
      </c>
      <c r="L317" s="16">
        <v>192676</v>
      </c>
      <c r="M317" s="16">
        <v>197007</v>
      </c>
      <c r="N317" s="16">
        <v>202458</v>
      </c>
      <c r="O317" s="16">
        <v>213292</v>
      </c>
      <c r="P317" s="16">
        <v>217267</v>
      </c>
      <c r="Q317" s="16">
        <v>229550</v>
      </c>
      <c r="R317" s="16">
        <v>235849</v>
      </c>
      <c r="S317" s="16">
        <v>252633</v>
      </c>
      <c r="T317" s="16">
        <v>222884</v>
      </c>
      <c r="U317" s="16">
        <v>250200</v>
      </c>
      <c r="V317" s="16" t="s">
        <v>289</v>
      </c>
      <c r="W317" s="16"/>
      <c r="X317" s="16"/>
      <c r="Y317" s="16"/>
      <c r="Z317" s="16"/>
      <c r="AA317" s="16"/>
      <c r="AB317" s="25"/>
      <c r="AC317" s="2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16"/>
      <c r="AZ317" s="5"/>
      <c r="BJ317" s="24"/>
      <c r="BK317" s="22"/>
      <c r="BL317" s="23"/>
      <c r="BM317" s="22"/>
      <c r="BN317" s="22"/>
      <c r="BO317" s="22"/>
      <c r="BP317" s="22"/>
      <c r="BQ317" s="22"/>
      <c r="BR317" s="24"/>
      <c r="BT317" s="33"/>
    </row>
    <row r="318" spans="1:72" hidden="1" outlineLevel="1">
      <c r="B318" s="5" t="s">
        <v>146</v>
      </c>
      <c r="C318" s="38" t="s">
        <v>163</v>
      </c>
      <c r="D318" s="16">
        <v>88963</v>
      </c>
      <c r="E318" s="16">
        <v>93996</v>
      </c>
      <c r="F318" s="16">
        <v>104875</v>
      </c>
      <c r="G318" s="16">
        <v>108897</v>
      </c>
      <c r="H318" s="16">
        <v>113808</v>
      </c>
      <c r="I318" s="16">
        <v>105187</v>
      </c>
      <c r="J318" s="16">
        <v>126875</v>
      </c>
      <c r="K318" s="16">
        <v>159337</v>
      </c>
      <c r="L318" s="16">
        <v>192676</v>
      </c>
      <c r="M318" s="16">
        <v>197007</v>
      </c>
      <c r="N318" s="16">
        <v>202458</v>
      </c>
      <c r="O318" s="16">
        <v>213292</v>
      </c>
      <c r="P318" s="16">
        <v>217267</v>
      </c>
      <c r="Q318" s="16">
        <v>229550</v>
      </c>
      <c r="R318" s="16">
        <v>235849</v>
      </c>
      <c r="S318" s="16">
        <v>252632</v>
      </c>
      <c r="T318" s="16">
        <v>222884</v>
      </c>
      <c r="U318" s="16">
        <v>250200</v>
      </c>
      <c r="V318" s="16" t="s">
        <v>289</v>
      </c>
      <c r="W318" s="16"/>
      <c r="X318" s="16"/>
      <c r="Y318" s="16"/>
      <c r="Z318" s="16"/>
      <c r="AA318" s="16"/>
      <c r="AB318" s="25"/>
      <c r="AC318" s="2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16"/>
      <c r="AZ318" s="5"/>
      <c r="BJ318" s="24"/>
      <c r="BK318" s="22"/>
      <c r="BL318" s="23"/>
      <c r="BM318" s="22"/>
      <c r="BN318" s="22"/>
      <c r="BO318" s="22"/>
      <c r="BP318" s="22"/>
      <c r="BQ318" s="22"/>
      <c r="BR318" s="24"/>
      <c r="BT318" s="33"/>
    </row>
    <row r="319" spans="1:72" ht="13.15" hidden="1" outlineLevel="1">
      <c r="C319" s="9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25"/>
      <c r="AZ319" s="5"/>
      <c r="BJ319" s="24"/>
      <c r="BK319" s="22"/>
      <c r="BL319" s="23"/>
      <c r="BM319" s="22"/>
      <c r="BN319" s="22"/>
      <c r="BO319" s="22"/>
      <c r="BP319" s="22"/>
      <c r="BQ319" s="22"/>
      <c r="BR319" s="24"/>
      <c r="BT319" s="33"/>
    </row>
    <row r="320" spans="1:72" ht="13.15" collapsed="1">
      <c r="C320" s="9" t="s">
        <v>297</v>
      </c>
      <c r="D320" s="25">
        <f t="shared" ref="D320:J320" si="291">IF(ISNUMBER(D321),D321,IF(ISNUMBER(D322),D322,IF(ISNUMBER(D323),D323,"…")))</f>
        <v>1698</v>
      </c>
      <c r="E320" s="25">
        <f t="shared" si="291"/>
        <v>2425</v>
      </c>
      <c r="F320" s="25">
        <f t="shared" si="291"/>
        <v>3472</v>
      </c>
      <c r="G320" s="25">
        <f t="shared" si="291"/>
        <v>6938</v>
      </c>
      <c r="H320" s="25">
        <f t="shared" si="291"/>
        <v>6333</v>
      </c>
      <c r="I320" s="25">
        <f t="shared" si="291"/>
        <v>1855</v>
      </c>
      <c r="J320" s="25">
        <f t="shared" si="291"/>
        <v>7141</v>
      </c>
      <c r="K320" s="25">
        <f>IF(ISNUMBER(K321),K321,IF(ISNUMBER(K322),K322,IF(ISNUMBER(K323),K323,"…")))</f>
        <v>11271</v>
      </c>
      <c r="L320" s="25">
        <f t="shared" ref="L320:Q320" si="292">IF(ISNUMBER(L321),L321,IF(ISNUMBER(L322),L322,IF(ISNUMBER(L323),L323,"…")))</f>
        <v>11498</v>
      </c>
      <c r="M320" s="25">
        <f t="shared" si="292"/>
        <v>11671</v>
      </c>
      <c r="N320" s="25">
        <f t="shared" si="292"/>
        <v>12697</v>
      </c>
      <c r="O320" s="25">
        <f t="shared" si="292"/>
        <v>-4069</v>
      </c>
      <c r="P320" s="25">
        <f t="shared" si="292"/>
        <v>7103</v>
      </c>
      <c r="Q320" s="25">
        <f t="shared" si="292"/>
        <v>13818</v>
      </c>
      <c r="R320" s="25">
        <f t="shared" ref="R320:Y320" si="293">IF(ISNUMBER(R321),R321,IF(ISNUMBER(R322),R322,IF(ISNUMBER(R323),R323,"…")))</f>
        <v>13920</v>
      </c>
      <c r="S320" s="25">
        <f t="shared" si="293"/>
        <v>14614</v>
      </c>
      <c r="T320" s="25">
        <f t="shared" si="293"/>
        <v>10210</v>
      </c>
      <c r="U320" s="25">
        <f t="shared" si="293"/>
        <v>18574</v>
      </c>
      <c r="V320" s="25" t="str">
        <f t="shared" si="293"/>
        <v>…</v>
      </c>
      <c r="W320" s="25" t="str">
        <f t="shared" si="293"/>
        <v>…</v>
      </c>
      <c r="X320" s="25" t="str">
        <f t="shared" si="293"/>
        <v>…</v>
      </c>
      <c r="Y320" s="25" t="str">
        <f t="shared" si="293"/>
        <v>…</v>
      </c>
      <c r="Z320" s="25"/>
      <c r="AA320" s="25"/>
      <c r="AB320" s="25"/>
      <c r="AC320" s="2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25"/>
      <c r="AZ320" s="5"/>
      <c r="BJ320" s="24"/>
      <c r="BK320" s="22"/>
      <c r="BL320" s="23"/>
      <c r="BM320" s="22"/>
      <c r="BN320" s="22"/>
      <c r="BO320" s="22"/>
      <c r="BP320" s="22"/>
      <c r="BQ320" s="22"/>
      <c r="BR320" s="24"/>
      <c r="BT320" s="33"/>
    </row>
    <row r="321" spans="2:70" hidden="1" outlineLevel="1">
      <c r="B321" s="5" t="s">
        <v>6</v>
      </c>
      <c r="C321" s="5" t="s">
        <v>6</v>
      </c>
      <c r="D321" s="16">
        <v>1698</v>
      </c>
      <c r="E321" s="16">
        <v>2425</v>
      </c>
      <c r="F321" s="16">
        <v>3472</v>
      </c>
      <c r="G321" s="16">
        <v>6938</v>
      </c>
      <c r="H321" s="16">
        <v>6333</v>
      </c>
      <c r="I321" s="16">
        <v>1855</v>
      </c>
      <c r="J321" s="16">
        <v>7141</v>
      </c>
      <c r="K321" s="16">
        <v>11271</v>
      </c>
      <c r="L321" s="16">
        <v>11498</v>
      </c>
      <c r="M321" s="16">
        <v>11671</v>
      </c>
      <c r="N321" s="16">
        <v>12697</v>
      </c>
      <c r="O321" s="16">
        <v>-4069</v>
      </c>
      <c r="P321" s="16">
        <v>7103</v>
      </c>
      <c r="Q321" s="16">
        <v>13818</v>
      </c>
      <c r="R321" s="16">
        <v>13920</v>
      </c>
      <c r="S321" s="16">
        <v>14614</v>
      </c>
      <c r="T321" s="16">
        <v>10210</v>
      </c>
      <c r="U321" s="16">
        <v>18574</v>
      </c>
      <c r="V321" s="16" t="s">
        <v>289</v>
      </c>
      <c r="W321" s="16"/>
      <c r="X321" s="16"/>
      <c r="Y321" s="16"/>
      <c r="Z321" s="16"/>
      <c r="AA321" s="16"/>
      <c r="AB321" s="25"/>
      <c r="AC321" s="2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16"/>
      <c r="AZ321" s="5"/>
      <c r="BJ321" s="24"/>
      <c r="BK321" s="22"/>
      <c r="BL321" s="23"/>
      <c r="BM321" s="22"/>
      <c r="BN321" s="22"/>
      <c r="BO321" s="22"/>
      <c r="BP321" s="22"/>
      <c r="BQ321" s="22"/>
      <c r="BR321" s="24"/>
    </row>
    <row r="322" spans="2:70" hidden="1" outlineLevel="1">
      <c r="B322" s="5" t="s">
        <v>149</v>
      </c>
      <c r="C322" s="5" t="s">
        <v>150</v>
      </c>
      <c r="D322" s="16">
        <v>1698</v>
      </c>
      <c r="E322" s="16">
        <v>2425</v>
      </c>
      <c r="F322" s="16">
        <v>3472</v>
      </c>
      <c r="G322" s="16">
        <v>6938</v>
      </c>
      <c r="H322" s="16">
        <v>6333</v>
      </c>
      <c r="I322" s="16">
        <v>1855</v>
      </c>
      <c r="J322" s="16">
        <v>7141</v>
      </c>
      <c r="K322" s="16">
        <v>11271</v>
      </c>
      <c r="L322" s="16">
        <v>11498</v>
      </c>
      <c r="M322" s="16">
        <v>11671</v>
      </c>
      <c r="N322" s="16">
        <v>12697</v>
      </c>
      <c r="O322" s="16">
        <v>-4069</v>
      </c>
      <c r="P322" s="16">
        <v>7103</v>
      </c>
      <c r="Q322" s="16">
        <v>13818</v>
      </c>
      <c r="R322" s="16">
        <v>13920</v>
      </c>
      <c r="S322" s="16">
        <v>14614</v>
      </c>
      <c r="T322" s="16">
        <v>10210</v>
      </c>
      <c r="U322" s="16">
        <v>18574</v>
      </c>
      <c r="V322" s="16" t="s">
        <v>289</v>
      </c>
      <c r="W322" s="16"/>
      <c r="X322" s="16"/>
      <c r="Y322" s="16"/>
      <c r="Z322" s="16"/>
      <c r="AA322" s="16"/>
      <c r="AB322" s="25"/>
      <c r="AC322" s="25"/>
      <c r="AD322" s="24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16"/>
      <c r="AZ322" s="5"/>
      <c r="BJ322" s="24"/>
      <c r="BK322" s="22"/>
      <c r="BL322" s="23"/>
      <c r="BM322" s="22"/>
      <c r="BN322" s="22"/>
      <c r="BO322" s="22"/>
      <c r="BP322" s="22"/>
      <c r="BQ322" s="22"/>
      <c r="BR322" s="24"/>
    </row>
    <row r="323" spans="2:70" hidden="1" outlineLevel="1">
      <c r="C323" s="5" t="s">
        <v>300</v>
      </c>
      <c r="D323" s="25" t="s">
        <v>127</v>
      </c>
      <c r="E323" s="25" t="s">
        <v>127</v>
      </c>
      <c r="F323" s="25" t="s">
        <v>127</v>
      </c>
      <c r="G323" s="25" t="s">
        <v>127</v>
      </c>
      <c r="H323" s="25" t="s">
        <v>127</v>
      </c>
      <c r="I323" s="25" t="s">
        <v>127</v>
      </c>
      <c r="J323" s="25" t="s">
        <v>127</v>
      </c>
      <c r="K323" s="25" t="s">
        <v>127</v>
      </c>
      <c r="L323" s="25" t="s">
        <v>127</v>
      </c>
      <c r="M323" s="25" t="s">
        <v>127</v>
      </c>
      <c r="N323" s="25" t="s">
        <v>127</v>
      </c>
      <c r="O323" s="25" t="s">
        <v>127</v>
      </c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4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25"/>
      <c r="AZ323" s="5"/>
      <c r="BK323" s="22"/>
      <c r="BL323" s="23"/>
      <c r="BM323" s="22"/>
      <c r="BN323" s="22"/>
      <c r="BO323" s="22"/>
      <c r="BP323" s="22"/>
      <c r="BQ323" s="22"/>
      <c r="BR323" s="24"/>
    </row>
    <row r="324" spans="2:70" ht="13.15" hidden="1" outlineLevel="1">
      <c r="C324" s="9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4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25"/>
      <c r="AZ324" s="5"/>
      <c r="BK324" s="22"/>
      <c r="BL324" s="23"/>
      <c r="BM324" s="22"/>
      <c r="BN324" s="22"/>
      <c r="BO324" s="22"/>
      <c r="BP324" s="22"/>
      <c r="BQ324" s="22"/>
      <c r="BR324" s="24"/>
    </row>
    <row r="325" spans="2:70" ht="13.15" collapsed="1">
      <c r="C325" s="9" t="s">
        <v>293</v>
      </c>
      <c r="D325" s="14">
        <f t="shared" ref="D325:P325" si="294">IF(ISNUMBER(D326),D326,IF(ISNUMBER(D328),D328,"…"))</f>
        <v>10000</v>
      </c>
      <c r="E325" s="14">
        <f t="shared" si="294"/>
        <v>11073</v>
      </c>
      <c r="F325" s="14">
        <f t="shared" si="294"/>
        <v>11848</v>
      </c>
      <c r="G325" s="14">
        <f t="shared" si="294"/>
        <v>15996</v>
      </c>
      <c r="H325" s="14">
        <f t="shared" si="294"/>
        <v>14739</v>
      </c>
      <c r="I325" s="14">
        <f t="shared" si="294"/>
        <v>10716</v>
      </c>
      <c r="J325" s="14">
        <f t="shared" si="294"/>
        <v>17230</v>
      </c>
      <c r="K325" s="14">
        <f t="shared" si="294"/>
        <v>21604</v>
      </c>
      <c r="L325" s="14">
        <f t="shared" si="294"/>
        <v>24612</v>
      </c>
      <c r="M325" s="14">
        <f t="shared" si="294"/>
        <v>26321</v>
      </c>
      <c r="N325" s="14">
        <f t="shared" si="294"/>
        <v>29488</v>
      </c>
      <c r="O325" s="14">
        <f t="shared" si="294"/>
        <v>15587</v>
      </c>
      <c r="P325" s="14">
        <f t="shared" si="294"/>
        <v>27896</v>
      </c>
      <c r="Q325" s="14">
        <f t="shared" ref="Q325:V325" si="295">IF(ISNUMBER(Q326),Q326,IF(ISNUMBER(Q328),Q328,"…"))</f>
        <v>35848</v>
      </c>
      <c r="R325" s="14">
        <f t="shared" si="295"/>
        <v>36311</v>
      </c>
      <c r="S325" s="14">
        <f t="shared" si="295"/>
        <v>39020</v>
      </c>
      <c r="T325" s="14">
        <f t="shared" si="295"/>
        <v>35959</v>
      </c>
      <c r="U325" s="14">
        <f t="shared" si="295"/>
        <v>45855</v>
      </c>
      <c r="V325" s="14" t="str">
        <f t="shared" si="295"/>
        <v>…</v>
      </c>
      <c r="W325" s="14">
        <f>IF(ISNUMBER(W326),W326,IF(ISNUMBER(W328),W328,"…"))</f>
        <v>3607</v>
      </c>
      <c r="X325" s="14">
        <f>IF(ISNUMBER(X326),X326,IF(ISNUMBER(X328),X328,"…"))</f>
        <v>3607</v>
      </c>
      <c r="Y325" s="14">
        <f>IF(ISNUMBER(Y326),Y326,IF(ISNUMBER(Y328),Y328,"…"))</f>
        <v>3607</v>
      </c>
      <c r="Z325" s="14"/>
      <c r="AA325" s="14"/>
      <c r="AB325" s="25"/>
      <c r="AC325" s="25"/>
      <c r="AD325" s="24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14"/>
      <c r="AZ325" s="5"/>
      <c r="BK325" s="22"/>
      <c r="BL325" s="23"/>
      <c r="BM325" s="22"/>
      <c r="BN325" s="22"/>
      <c r="BO325" s="22"/>
      <c r="BP325" s="22"/>
      <c r="BQ325" s="22"/>
      <c r="BR325" s="24"/>
    </row>
    <row r="326" spans="2:70" hidden="1" outlineLevel="1">
      <c r="C326" s="5" t="s">
        <v>153</v>
      </c>
      <c r="D326" s="25">
        <f t="shared" ref="D326:Y326" si="296">IFERROR(D327/1,"…")</f>
        <v>10000</v>
      </c>
      <c r="E326" s="25">
        <f t="shared" si="296"/>
        <v>11073</v>
      </c>
      <c r="F326" s="25">
        <f t="shared" si="296"/>
        <v>11848</v>
      </c>
      <c r="G326" s="25">
        <f t="shared" si="296"/>
        <v>15996</v>
      </c>
      <c r="H326" s="25">
        <f t="shared" si="296"/>
        <v>14739</v>
      </c>
      <c r="I326" s="25">
        <f t="shared" si="296"/>
        <v>10716</v>
      </c>
      <c r="J326" s="25">
        <f t="shared" si="296"/>
        <v>17230</v>
      </c>
      <c r="K326" s="25">
        <f t="shared" si="296"/>
        <v>21604</v>
      </c>
      <c r="L326" s="25">
        <f t="shared" si="296"/>
        <v>24612</v>
      </c>
      <c r="M326" s="25">
        <f t="shared" si="296"/>
        <v>26321</v>
      </c>
      <c r="N326" s="25">
        <f t="shared" si="296"/>
        <v>29488</v>
      </c>
      <c r="O326" s="25">
        <f t="shared" si="296"/>
        <v>15587</v>
      </c>
      <c r="P326" s="25">
        <f t="shared" si="296"/>
        <v>27896</v>
      </c>
      <c r="Q326" s="25">
        <f t="shared" si="296"/>
        <v>35848</v>
      </c>
      <c r="R326" s="25">
        <f t="shared" si="296"/>
        <v>36311</v>
      </c>
      <c r="S326" s="25">
        <f t="shared" si="296"/>
        <v>39020</v>
      </c>
      <c r="T326" s="25">
        <f t="shared" si="296"/>
        <v>35959</v>
      </c>
      <c r="U326" s="25">
        <f t="shared" si="296"/>
        <v>45855</v>
      </c>
      <c r="V326" s="25" t="str">
        <f t="shared" si="296"/>
        <v>…</v>
      </c>
      <c r="W326" s="25">
        <f t="shared" si="296"/>
        <v>3607</v>
      </c>
      <c r="X326" s="25">
        <f t="shared" si="296"/>
        <v>3607</v>
      </c>
      <c r="Y326" s="25">
        <f t="shared" si="296"/>
        <v>3607</v>
      </c>
      <c r="Z326" s="25"/>
      <c r="AA326" s="25"/>
      <c r="AB326" s="25"/>
      <c r="AC326" s="25"/>
      <c r="AD326" s="24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25"/>
      <c r="AZ326" s="5"/>
      <c r="BK326" s="22"/>
      <c r="BL326" s="23"/>
      <c r="BM326" s="22"/>
      <c r="BN326" s="22"/>
      <c r="BO326" s="22"/>
      <c r="BP326" s="22"/>
      <c r="BQ326" s="22"/>
      <c r="BR326" s="24"/>
    </row>
    <row r="327" spans="2:70" hidden="1" outlineLevel="1">
      <c r="B327" s="5" t="s">
        <v>7</v>
      </c>
      <c r="C327" s="38" t="s">
        <v>154</v>
      </c>
      <c r="D327" s="16">
        <v>10000</v>
      </c>
      <c r="E327" s="16">
        <v>11073</v>
      </c>
      <c r="F327" s="16">
        <v>11848</v>
      </c>
      <c r="G327" s="16">
        <v>15996</v>
      </c>
      <c r="H327" s="16">
        <v>14739</v>
      </c>
      <c r="I327" s="16">
        <v>10716</v>
      </c>
      <c r="J327" s="16">
        <v>17230</v>
      </c>
      <c r="K327" s="16">
        <v>21604</v>
      </c>
      <c r="L327" s="16">
        <v>24612</v>
      </c>
      <c r="M327" s="16">
        <v>26321</v>
      </c>
      <c r="N327" s="16">
        <v>29488</v>
      </c>
      <c r="O327" s="16">
        <v>15587</v>
      </c>
      <c r="P327" s="16">
        <v>27896</v>
      </c>
      <c r="Q327" s="16">
        <v>35848</v>
      </c>
      <c r="R327" s="16">
        <v>36311</v>
      </c>
      <c r="S327" s="16">
        <v>39020</v>
      </c>
      <c r="T327" s="16">
        <v>35959</v>
      </c>
      <c r="U327" s="16">
        <v>45855</v>
      </c>
      <c r="V327" s="16" t="s">
        <v>289</v>
      </c>
      <c r="W327" s="16">
        <v>3607</v>
      </c>
      <c r="X327" s="16">
        <v>3607</v>
      </c>
      <c r="Y327" s="16">
        <v>3607</v>
      </c>
      <c r="Z327" s="16"/>
      <c r="AA327" s="16"/>
      <c r="AB327" s="25"/>
      <c r="AC327" s="25"/>
      <c r="AD327" s="24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16"/>
      <c r="AZ327" s="5"/>
      <c r="BK327" s="22"/>
      <c r="BL327" s="23"/>
      <c r="BM327" s="22"/>
      <c r="BN327" s="22"/>
      <c r="BO327" s="22"/>
      <c r="BP327" s="22"/>
      <c r="BQ327" s="22"/>
      <c r="BR327" s="24"/>
    </row>
    <row r="328" spans="2:70" hidden="1" outlineLevel="1">
      <c r="C328" s="5" t="s">
        <v>155</v>
      </c>
      <c r="D328" s="25" t="str">
        <f t="shared" ref="D328:Y328" si="297">IFERROR(D329/1,"…")</f>
        <v>…</v>
      </c>
      <c r="E328" s="25" t="str">
        <f t="shared" si="297"/>
        <v>…</v>
      </c>
      <c r="F328" s="25" t="str">
        <f t="shared" si="297"/>
        <v>…</v>
      </c>
      <c r="G328" s="25" t="str">
        <f t="shared" si="297"/>
        <v>…</v>
      </c>
      <c r="H328" s="25" t="str">
        <f t="shared" si="297"/>
        <v>…</v>
      </c>
      <c r="I328" s="25">
        <f t="shared" si="297"/>
        <v>11269</v>
      </c>
      <c r="J328" s="25">
        <f t="shared" si="297"/>
        <v>18521</v>
      </c>
      <c r="K328" s="25">
        <f t="shared" si="297"/>
        <v>22285</v>
      </c>
      <c r="L328" s="25">
        <f t="shared" si="297"/>
        <v>24729</v>
      </c>
      <c r="M328" s="25">
        <f t="shared" si="297"/>
        <v>26585</v>
      </c>
      <c r="N328" s="25">
        <f t="shared" si="297"/>
        <v>29836</v>
      </c>
      <c r="O328" s="25">
        <f t="shared" si="297"/>
        <v>33485</v>
      </c>
      <c r="P328" s="25">
        <f t="shared" si="297"/>
        <v>36721</v>
      </c>
      <c r="Q328" s="25">
        <f t="shared" si="297"/>
        <v>40221</v>
      </c>
      <c r="R328" s="25">
        <f t="shared" si="297"/>
        <v>40474</v>
      </c>
      <c r="S328" s="25">
        <f t="shared" si="297"/>
        <v>39322</v>
      </c>
      <c r="T328" s="25">
        <f t="shared" si="297"/>
        <v>37989</v>
      </c>
      <c r="U328" s="25">
        <f t="shared" si="297"/>
        <v>47194</v>
      </c>
      <c r="V328" s="25" t="str">
        <f t="shared" si="297"/>
        <v>…</v>
      </c>
      <c r="W328" s="25">
        <f t="shared" si="297"/>
        <v>3957</v>
      </c>
      <c r="X328" s="25">
        <f t="shared" si="297"/>
        <v>3957</v>
      </c>
      <c r="Y328" s="25">
        <f t="shared" si="297"/>
        <v>3957</v>
      </c>
      <c r="Z328" s="25"/>
      <c r="AA328" s="25"/>
      <c r="AB328" s="25"/>
      <c r="AC328" s="25"/>
      <c r="AD328" s="24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25"/>
      <c r="AZ328" s="5"/>
      <c r="BK328" s="22"/>
      <c r="BL328" s="23"/>
      <c r="BM328" s="22"/>
      <c r="BN328" s="22"/>
      <c r="BO328" s="22"/>
      <c r="BP328" s="22"/>
      <c r="BQ328" s="22"/>
      <c r="BR328" s="24"/>
    </row>
    <row r="329" spans="2:70" hidden="1" outlineLevel="1">
      <c r="B329" s="5" t="s">
        <v>2190</v>
      </c>
      <c r="C329" s="38" t="s">
        <v>161</v>
      </c>
      <c r="D329" s="25" t="s">
        <v>289</v>
      </c>
      <c r="E329" s="25" t="s">
        <v>289</v>
      </c>
      <c r="F329" s="25" t="s">
        <v>289</v>
      </c>
      <c r="G329" s="25" t="s">
        <v>289</v>
      </c>
      <c r="H329" s="25" t="s">
        <v>289</v>
      </c>
      <c r="I329" s="25">
        <v>11269</v>
      </c>
      <c r="J329" s="25">
        <v>18521</v>
      </c>
      <c r="K329" s="25">
        <v>22285</v>
      </c>
      <c r="L329" s="25">
        <v>24729</v>
      </c>
      <c r="M329" s="25">
        <v>26585</v>
      </c>
      <c r="N329" s="25">
        <v>29836</v>
      </c>
      <c r="O329" s="25">
        <v>33485</v>
      </c>
      <c r="P329" s="25">
        <v>36721</v>
      </c>
      <c r="Q329" s="25">
        <v>40221</v>
      </c>
      <c r="R329" s="25">
        <v>40474</v>
      </c>
      <c r="S329" s="25">
        <v>39322</v>
      </c>
      <c r="T329" s="25">
        <v>37989</v>
      </c>
      <c r="U329" s="25">
        <v>47194</v>
      </c>
      <c r="V329" s="25" t="s">
        <v>289</v>
      </c>
      <c r="W329" s="25">
        <v>3957</v>
      </c>
      <c r="X329" s="25">
        <v>3957</v>
      </c>
      <c r="Y329" s="25">
        <v>3957</v>
      </c>
      <c r="Z329" s="25"/>
      <c r="AA329" s="25"/>
      <c r="AB329" s="25"/>
      <c r="AC329" s="25"/>
      <c r="AD329" s="24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25"/>
      <c r="AZ329" s="5"/>
      <c r="BK329" s="22"/>
      <c r="BL329" s="23"/>
      <c r="BM329" s="22"/>
      <c r="BN329" s="22"/>
      <c r="BO329" s="22"/>
      <c r="BP329" s="22"/>
      <c r="BQ329" s="22"/>
      <c r="BR329" s="24"/>
    </row>
    <row r="330" spans="2:70" ht="13.15" hidden="1" outlineLevel="1">
      <c r="C330" s="12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4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25"/>
      <c r="AZ330" s="5"/>
      <c r="BK330" s="22"/>
      <c r="BL330" s="23"/>
      <c r="BM330" s="22"/>
      <c r="BN330" s="22"/>
      <c r="BO330" s="22"/>
      <c r="BP330" s="22"/>
      <c r="BQ330" s="22"/>
      <c r="BR330" s="24"/>
    </row>
    <row r="331" spans="2:70" ht="13.15" collapsed="1">
      <c r="B331" s="38"/>
      <c r="C331" s="9" t="s">
        <v>291</v>
      </c>
      <c r="D331" s="14">
        <f t="shared" ref="D331:L331" si="298">IF(ISNUMBER(D332),D332,IF(ISNUMBER(D338),D338,"…"))</f>
        <v>4930</v>
      </c>
      <c r="E331" s="14">
        <f t="shared" si="298"/>
        <v>5213</v>
      </c>
      <c r="F331" s="14">
        <f t="shared" si="298"/>
        <v>4786</v>
      </c>
      <c r="G331" s="14">
        <f t="shared" si="298"/>
        <v>4830</v>
      </c>
      <c r="H331" s="14">
        <f t="shared" si="298"/>
        <v>4625</v>
      </c>
      <c r="I331" s="14">
        <f>IF(ISNUMBER(I332),I332,IF(ISNUMBER(I338),I338,"…"))</f>
        <v>4574</v>
      </c>
      <c r="J331" s="14">
        <f t="shared" si="298"/>
        <v>4731</v>
      </c>
      <c r="K331" s="14">
        <f t="shared" si="298"/>
        <v>4917</v>
      </c>
      <c r="L331" s="14">
        <f t="shared" si="298"/>
        <v>5969</v>
      </c>
      <c r="M331" s="14">
        <f t="shared" ref="M331:R331" si="299">IF(ISNUMBER(M332),M332,IF(ISNUMBER(M338),M338,"…"))</f>
        <v>6689</v>
      </c>
      <c r="N331" s="14">
        <f t="shared" si="299"/>
        <v>7509</v>
      </c>
      <c r="O331" s="14">
        <f t="shared" si="299"/>
        <v>13085</v>
      </c>
      <c r="P331" s="14">
        <f t="shared" si="299"/>
        <v>15368</v>
      </c>
      <c r="Q331" s="14">
        <f t="shared" si="299"/>
        <v>16764</v>
      </c>
      <c r="R331" s="14">
        <f t="shared" si="299"/>
        <v>17174</v>
      </c>
      <c r="S331" s="14">
        <f t="shared" ref="S331:Y331" si="300">IF(ISNUMBER(S332),S332,IF(ISNUMBER(S338),S338,"…"))</f>
        <v>19676</v>
      </c>
      <c r="T331" s="14">
        <f t="shared" si="300"/>
        <v>20500</v>
      </c>
      <c r="U331" s="14">
        <f t="shared" si="300"/>
        <v>22542</v>
      </c>
      <c r="V331" s="14" t="str">
        <f t="shared" si="300"/>
        <v>…</v>
      </c>
      <c r="W331" s="14" t="str">
        <f t="shared" si="300"/>
        <v>…</v>
      </c>
      <c r="X331" s="14" t="str">
        <f t="shared" si="300"/>
        <v>…</v>
      </c>
      <c r="Y331" s="14" t="str">
        <f t="shared" si="300"/>
        <v>…</v>
      </c>
      <c r="Z331" s="14"/>
      <c r="AA331" s="14"/>
      <c r="AB331" s="14"/>
      <c r="AC331" s="14"/>
      <c r="AD331" s="24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14"/>
      <c r="AZ331" s="5"/>
      <c r="BK331" s="22"/>
      <c r="BL331" s="23"/>
      <c r="BM331" s="22"/>
      <c r="BN331" s="22"/>
      <c r="BO331" s="22"/>
      <c r="BP331" s="22"/>
      <c r="BQ331" s="22"/>
      <c r="BR331" s="24"/>
    </row>
    <row r="332" spans="2:70" hidden="1" outlineLevel="1">
      <c r="B332" s="38"/>
      <c r="C332" s="5" t="s">
        <v>158</v>
      </c>
      <c r="D332" s="25">
        <f t="shared" ref="D332:L332" si="301">IF(ISNUMBER(D333),D333,IF(ISNUMBER(D334),D334,IF(ISNUMBER(D335),D335,IF(ISNUMBER(D336),D336,"…"))))</f>
        <v>4930</v>
      </c>
      <c r="E332" s="25">
        <f t="shared" si="301"/>
        <v>5213</v>
      </c>
      <c r="F332" s="25">
        <f t="shared" si="301"/>
        <v>4786</v>
      </c>
      <c r="G332" s="25">
        <f t="shared" si="301"/>
        <v>4830</v>
      </c>
      <c r="H332" s="25">
        <f t="shared" si="301"/>
        <v>4625</v>
      </c>
      <c r="I332" s="25">
        <f t="shared" si="301"/>
        <v>4574</v>
      </c>
      <c r="J332" s="25">
        <f t="shared" si="301"/>
        <v>4731</v>
      </c>
      <c r="K332" s="25">
        <f t="shared" si="301"/>
        <v>4917</v>
      </c>
      <c r="L332" s="25">
        <f t="shared" si="301"/>
        <v>5969</v>
      </c>
      <c r="M332" s="25">
        <f t="shared" ref="M332:R332" si="302">IF(ISNUMBER(M333),M333,IF(ISNUMBER(M334),M334,IF(ISNUMBER(M335),M335,IF(ISNUMBER(M336),M336,"…"))))</f>
        <v>6689</v>
      </c>
      <c r="N332" s="25">
        <f t="shared" si="302"/>
        <v>7509</v>
      </c>
      <c r="O332" s="25">
        <f t="shared" si="302"/>
        <v>13085</v>
      </c>
      <c r="P332" s="25">
        <f t="shared" si="302"/>
        <v>15368</v>
      </c>
      <c r="Q332" s="25">
        <f t="shared" si="302"/>
        <v>16764</v>
      </c>
      <c r="R332" s="25">
        <f t="shared" si="302"/>
        <v>17174</v>
      </c>
      <c r="S332" s="25">
        <f t="shared" ref="S332:Y332" si="303">IF(ISNUMBER(S333),S333,IF(ISNUMBER(S334),S334,IF(ISNUMBER(S335),S335,IF(ISNUMBER(S336),S336,"…"))))</f>
        <v>19676</v>
      </c>
      <c r="T332" s="25">
        <f t="shared" si="303"/>
        <v>20500</v>
      </c>
      <c r="U332" s="25">
        <f t="shared" si="303"/>
        <v>22542</v>
      </c>
      <c r="V332" s="25" t="str">
        <f t="shared" si="303"/>
        <v>…</v>
      </c>
      <c r="W332" s="25" t="str">
        <f t="shared" si="303"/>
        <v>…</v>
      </c>
      <c r="X332" s="25" t="str">
        <f t="shared" si="303"/>
        <v>…</v>
      </c>
      <c r="Y332" s="25" t="str">
        <f t="shared" si="303"/>
        <v>…</v>
      </c>
      <c r="Z332" s="25"/>
      <c r="AA332" s="25"/>
      <c r="AB332" s="25"/>
      <c r="AC332" s="25"/>
      <c r="AD332" s="24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25"/>
      <c r="AZ332" s="5"/>
      <c r="BK332" s="22"/>
      <c r="BL332" s="23"/>
      <c r="BM332" s="22"/>
      <c r="BN332" s="22"/>
      <c r="BO332" s="22"/>
      <c r="BP332" s="22"/>
      <c r="BQ332" s="22"/>
      <c r="BR332" s="24"/>
    </row>
    <row r="333" spans="2:70" hidden="1" outlineLevel="1">
      <c r="B333" s="38" t="s">
        <v>1577</v>
      </c>
      <c r="C333" s="38" t="s">
        <v>1577</v>
      </c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25" t="s">
        <v>289</v>
      </c>
      <c r="Q333" s="25" t="s">
        <v>289</v>
      </c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4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25"/>
      <c r="AZ333" s="5"/>
      <c r="BK333" s="22"/>
      <c r="BL333" s="23"/>
      <c r="BM333" s="22"/>
      <c r="BN333" s="22"/>
      <c r="BO333" s="22"/>
      <c r="BP333" s="22"/>
      <c r="BQ333" s="22"/>
      <c r="BR333" s="24"/>
    </row>
    <row r="334" spans="2:70" hidden="1" outlineLevel="1">
      <c r="B334" s="5" t="s">
        <v>159</v>
      </c>
      <c r="C334" s="38" t="s">
        <v>154</v>
      </c>
      <c r="D334" s="16">
        <v>4930</v>
      </c>
      <c r="E334" s="16">
        <v>5213</v>
      </c>
      <c r="F334" s="16">
        <v>4786</v>
      </c>
      <c r="G334" s="16">
        <v>4830</v>
      </c>
      <c r="H334" s="16">
        <v>4625</v>
      </c>
      <c r="I334" s="16">
        <v>4574</v>
      </c>
      <c r="J334" s="16">
        <v>4731</v>
      </c>
      <c r="K334" s="16">
        <v>4917</v>
      </c>
      <c r="L334" s="16">
        <v>5969</v>
      </c>
      <c r="M334" s="16">
        <v>6689</v>
      </c>
      <c r="N334" s="16">
        <v>7509</v>
      </c>
      <c r="O334" s="16">
        <v>13085</v>
      </c>
      <c r="P334" s="16">
        <v>15368</v>
      </c>
      <c r="Q334" s="16">
        <v>16764</v>
      </c>
      <c r="R334" s="16">
        <v>17174</v>
      </c>
      <c r="S334" s="16">
        <v>19676</v>
      </c>
      <c r="T334" s="16">
        <v>20500</v>
      </c>
      <c r="U334" s="16">
        <v>22542</v>
      </c>
      <c r="V334" s="16" t="s">
        <v>289</v>
      </c>
      <c r="W334" s="16"/>
      <c r="X334" s="16"/>
      <c r="Y334" s="16"/>
      <c r="Z334" s="16"/>
      <c r="AA334" s="16"/>
      <c r="AB334" s="25"/>
      <c r="AC334" s="25"/>
      <c r="AD334" s="24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16"/>
      <c r="AZ334" s="5"/>
      <c r="BK334" s="22"/>
      <c r="BL334" s="23"/>
      <c r="BM334" s="22"/>
      <c r="BN334" s="22"/>
      <c r="BO334" s="22"/>
      <c r="BP334" s="22"/>
      <c r="BQ334" s="22"/>
      <c r="BR334" s="24"/>
    </row>
    <row r="335" spans="2:70" hidden="1" outlineLevel="1">
      <c r="B335" s="5" t="s">
        <v>160</v>
      </c>
      <c r="C335" s="38" t="s">
        <v>161</v>
      </c>
      <c r="D335" s="16" t="s">
        <v>289</v>
      </c>
      <c r="E335" s="16" t="s">
        <v>289</v>
      </c>
      <c r="F335" s="16" t="s">
        <v>289</v>
      </c>
      <c r="G335" s="16" t="s">
        <v>289</v>
      </c>
      <c r="H335" s="16" t="s">
        <v>289</v>
      </c>
      <c r="I335" s="16" t="s">
        <v>289</v>
      </c>
      <c r="J335" s="16" t="s">
        <v>289</v>
      </c>
      <c r="K335" s="16" t="s">
        <v>289</v>
      </c>
      <c r="L335" s="16" t="s">
        <v>289</v>
      </c>
      <c r="M335" s="16" t="s">
        <v>289</v>
      </c>
      <c r="N335" s="16" t="s">
        <v>289</v>
      </c>
      <c r="O335" s="16" t="s">
        <v>289</v>
      </c>
      <c r="P335" s="16" t="s">
        <v>289</v>
      </c>
      <c r="Q335" s="16" t="s">
        <v>289</v>
      </c>
      <c r="R335" s="16" t="s">
        <v>289</v>
      </c>
      <c r="S335" s="16" t="s">
        <v>289</v>
      </c>
      <c r="T335" s="16" t="s">
        <v>289</v>
      </c>
      <c r="U335" s="16" t="s">
        <v>289</v>
      </c>
      <c r="V335" s="16" t="s">
        <v>289</v>
      </c>
      <c r="W335" s="16"/>
      <c r="X335" s="16"/>
      <c r="Y335" s="16"/>
      <c r="Z335" s="16"/>
      <c r="AA335" s="16"/>
      <c r="AB335" s="25"/>
      <c r="AC335" s="25"/>
      <c r="AD335" s="24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16"/>
      <c r="AZ335" s="5"/>
      <c r="BK335" s="25"/>
      <c r="BL335" s="25"/>
      <c r="BM335" s="25"/>
      <c r="BN335" s="25"/>
      <c r="BO335" s="25"/>
      <c r="BP335" s="25"/>
      <c r="BQ335" s="25"/>
      <c r="BR335" s="27"/>
    </row>
    <row r="336" spans="2:70" hidden="1" outlineLevel="1">
      <c r="B336" s="5" t="s">
        <v>162</v>
      </c>
      <c r="C336" s="38" t="s">
        <v>163</v>
      </c>
      <c r="D336" s="16" t="s">
        <v>289</v>
      </c>
      <c r="E336" s="16" t="s">
        <v>289</v>
      </c>
      <c r="F336" s="16" t="s">
        <v>289</v>
      </c>
      <c r="G336" s="16" t="s">
        <v>289</v>
      </c>
      <c r="H336" s="16" t="s">
        <v>289</v>
      </c>
      <c r="I336" s="16" t="s">
        <v>289</v>
      </c>
      <c r="J336" s="16" t="s">
        <v>289</v>
      </c>
      <c r="K336" s="16" t="s">
        <v>289</v>
      </c>
      <c r="L336" s="16" t="s">
        <v>289</v>
      </c>
      <c r="M336" s="16" t="s">
        <v>289</v>
      </c>
      <c r="N336" s="16" t="s">
        <v>289</v>
      </c>
      <c r="O336" s="16" t="s">
        <v>289</v>
      </c>
      <c r="P336" s="16" t="s">
        <v>289</v>
      </c>
      <c r="Q336" s="16" t="s">
        <v>289</v>
      </c>
      <c r="R336" s="16" t="s">
        <v>289</v>
      </c>
      <c r="S336" s="16" t="s">
        <v>289</v>
      </c>
      <c r="T336" s="16" t="s">
        <v>289</v>
      </c>
      <c r="U336" s="16" t="s">
        <v>289</v>
      </c>
      <c r="V336" s="16" t="s">
        <v>289</v>
      </c>
      <c r="W336" s="16"/>
      <c r="X336" s="16"/>
      <c r="Y336" s="16"/>
      <c r="Z336" s="16"/>
      <c r="AA336" s="16"/>
      <c r="AB336" s="25"/>
      <c r="AC336" s="2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16"/>
      <c r="AZ336" s="5"/>
      <c r="BK336" s="25"/>
      <c r="BL336" s="25"/>
      <c r="BM336" s="25"/>
      <c r="BN336" s="25"/>
      <c r="BO336" s="25"/>
      <c r="BP336" s="25"/>
      <c r="BQ336" s="25"/>
      <c r="BR336" s="27"/>
    </row>
    <row r="337" spans="1:72" s="33" customFormat="1" hidden="1" outlineLevel="1">
      <c r="A337" s="5"/>
      <c r="B337" s="5" t="s">
        <v>164</v>
      </c>
      <c r="C337" s="38" t="s">
        <v>165</v>
      </c>
      <c r="D337" s="16" t="s">
        <v>289</v>
      </c>
      <c r="E337" s="16" t="s">
        <v>289</v>
      </c>
      <c r="F337" s="16" t="s">
        <v>289</v>
      </c>
      <c r="G337" s="16" t="s">
        <v>289</v>
      </c>
      <c r="H337" s="16" t="s">
        <v>289</v>
      </c>
      <c r="I337" s="16" t="s">
        <v>289</v>
      </c>
      <c r="J337" s="16" t="s">
        <v>289</v>
      </c>
      <c r="K337" s="16" t="s">
        <v>289</v>
      </c>
      <c r="L337" s="16" t="s">
        <v>289</v>
      </c>
      <c r="M337" s="16" t="s">
        <v>289</v>
      </c>
      <c r="N337" s="16" t="s">
        <v>289</v>
      </c>
      <c r="O337" s="16" t="s">
        <v>289</v>
      </c>
      <c r="P337" s="16" t="s">
        <v>289</v>
      </c>
      <c r="Q337" s="16" t="s">
        <v>289</v>
      </c>
      <c r="R337" s="16" t="s">
        <v>289</v>
      </c>
      <c r="S337" s="16" t="s">
        <v>289</v>
      </c>
      <c r="T337" s="16" t="s">
        <v>289</v>
      </c>
      <c r="U337" s="16" t="s">
        <v>289</v>
      </c>
      <c r="V337" s="16" t="s">
        <v>289</v>
      </c>
      <c r="W337" s="16"/>
      <c r="X337" s="16"/>
      <c r="Y337" s="16"/>
      <c r="Z337" s="16"/>
      <c r="AA337" s="16"/>
      <c r="AB337" s="25"/>
      <c r="AC337" s="2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16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25"/>
      <c r="BL337" s="25"/>
      <c r="BM337" s="25"/>
      <c r="BN337" s="25"/>
      <c r="BO337" s="25"/>
      <c r="BP337" s="25"/>
      <c r="BQ337" s="25"/>
      <c r="BR337" s="27"/>
      <c r="BS337" s="5"/>
      <c r="BT337" s="5"/>
    </row>
    <row r="338" spans="1:72" s="33" customFormat="1" hidden="1" outlineLevel="1">
      <c r="A338" s="5"/>
      <c r="B338" s="5"/>
      <c r="C338" s="5" t="s">
        <v>166</v>
      </c>
      <c r="D338" s="25">
        <f t="shared" ref="D338:Y338" si="304">IF(D11="no","…",IFERROR(D339-D211,"…"))</f>
        <v>8269</v>
      </c>
      <c r="E338" s="25">
        <f t="shared" si="304"/>
        <v>7160</v>
      </c>
      <c r="F338" s="25">
        <f t="shared" si="304"/>
        <v>6834</v>
      </c>
      <c r="G338" s="25">
        <f t="shared" si="304"/>
        <v>7469</v>
      </c>
      <c r="H338" s="25">
        <f t="shared" si="304"/>
        <v>6817</v>
      </c>
      <c r="I338" s="25">
        <f t="shared" si="304"/>
        <v>7121</v>
      </c>
      <c r="J338" s="25">
        <f t="shared" si="304"/>
        <v>8190</v>
      </c>
      <c r="K338" s="25">
        <f t="shared" si="304"/>
        <v>8169</v>
      </c>
      <c r="L338" s="25">
        <f t="shared" si="304"/>
        <v>9597</v>
      </c>
      <c r="M338" s="25">
        <f t="shared" si="304"/>
        <v>11061</v>
      </c>
      <c r="N338" s="25">
        <f t="shared" si="304"/>
        <v>12782</v>
      </c>
      <c r="O338" s="25">
        <f t="shared" si="304"/>
        <v>15565</v>
      </c>
      <c r="P338" s="25">
        <f t="shared" si="304"/>
        <v>16606</v>
      </c>
      <c r="Q338" s="25">
        <f t="shared" si="304"/>
        <v>17852</v>
      </c>
      <c r="R338" s="25">
        <f t="shared" si="304"/>
        <v>18054</v>
      </c>
      <c r="S338" s="25">
        <f t="shared" si="304"/>
        <v>19675</v>
      </c>
      <c r="T338" s="25">
        <f t="shared" si="304"/>
        <v>20500</v>
      </c>
      <c r="U338" s="25">
        <f t="shared" si="304"/>
        <v>21452</v>
      </c>
      <c r="V338" s="25" t="str">
        <f t="shared" si="304"/>
        <v>…</v>
      </c>
      <c r="W338" s="25" t="str">
        <f t="shared" si="304"/>
        <v>…</v>
      </c>
      <c r="X338" s="25" t="str">
        <f t="shared" si="304"/>
        <v>…</v>
      </c>
      <c r="Y338" s="25" t="str">
        <f t="shared" si="304"/>
        <v>…</v>
      </c>
      <c r="Z338" s="25"/>
      <c r="AA338" s="25"/>
      <c r="AB338" s="25"/>
      <c r="AC338" s="2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2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22"/>
      <c r="BL338" s="23"/>
      <c r="BM338" s="22"/>
      <c r="BN338" s="22"/>
      <c r="BO338" s="22"/>
      <c r="BP338" s="22"/>
      <c r="BQ338" s="22"/>
      <c r="BR338" s="24"/>
      <c r="BS338" s="5"/>
      <c r="BT338" s="5"/>
    </row>
    <row r="339" spans="1:72" s="33" customFormat="1" ht="13.15" hidden="1" outlineLevel="1">
      <c r="A339" s="5"/>
      <c r="B339" s="5"/>
      <c r="C339" s="5" t="s">
        <v>167</v>
      </c>
      <c r="D339" s="25">
        <f t="shared" ref="D339:M339" si="305">IF(ISNUMBER(D340),D340,IF(ISNUMBER(D341),D341,IF(ISNUMBER(D342),D342,"…")))</f>
        <v>8302</v>
      </c>
      <c r="E339" s="25">
        <f t="shared" si="305"/>
        <v>8648</v>
      </c>
      <c r="F339" s="25">
        <f t="shared" si="305"/>
        <v>8376</v>
      </c>
      <c r="G339" s="25">
        <f t="shared" si="305"/>
        <v>9058</v>
      </c>
      <c r="H339" s="25">
        <f t="shared" si="305"/>
        <v>8406</v>
      </c>
      <c r="I339" s="25">
        <f t="shared" si="305"/>
        <v>8861</v>
      </c>
      <c r="J339" s="25">
        <f t="shared" si="305"/>
        <v>10089</v>
      </c>
      <c r="K339" s="25">
        <f t="shared" si="305"/>
        <v>10333</v>
      </c>
      <c r="L339" s="25">
        <f t="shared" si="305"/>
        <v>13114</v>
      </c>
      <c r="M339" s="25">
        <f t="shared" si="305"/>
        <v>14650</v>
      </c>
      <c r="N339" s="25">
        <f t="shared" ref="N339:T339" si="306">IF(ISNUMBER(N340),N340,IF(ISNUMBER(N341),N341,IF(ISNUMBER(N342),N342,"…")))</f>
        <v>16791</v>
      </c>
      <c r="O339" s="25">
        <f t="shared" si="306"/>
        <v>19656</v>
      </c>
      <c r="P339" s="25">
        <f t="shared" si="306"/>
        <v>20793</v>
      </c>
      <c r="Q339" s="25">
        <f t="shared" si="306"/>
        <v>22030</v>
      </c>
      <c r="R339" s="25">
        <f t="shared" si="306"/>
        <v>22391</v>
      </c>
      <c r="S339" s="25">
        <f t="shared" si="306"/>
        <v>24406</v>
      </c>
      <c r="T339" s="25">
        <f t="shared" si="306"/>
        <v>25749</v>
      </c>
      <c r="U339" s="25">
        <f>IF(ISNUMBER(U340),U340,IF(ISNUMBER(U341),U341,IF(ISNUMBER(U342),U342,"…")))</f>
        <v>27281</v>
      </c>
      <c r="V339" s="25" t="str">
        <f>IF(ISNUMBER(V340),V340,IF(ISNUMBER(V341),V341,IF(ISNUMBER(V342),V342,"…")))</f>
        <v>…</v>
      </c>
      <c r="W339" s="25" t="str">
        <f>IF(ISNUMBER(W340),W340,IF(ISNUMBER(W341),W341,IF(ISNUMBER(W342),W342,"…")))</f>
        <v>…</v>
      </c>
      <c r="X339" s="25" t="str">
        <f>IF(ISNUMBER(X340),X340,IF(ISNUMBER(X341),X341,IF(ISNUMBER(X342),X342,"…")))</f>
        <v>…</v>
      </c>
      <c r="Y339" s="25" t="str">
        <f>IF(ISNUMBER(Y340),Y340,IF(ISNUMBER(Y341),Y341,IF(ISNUMBER(Y342),Y342,"…")))</f>
        <v>…</v>
      </c>
      <c r="Z339" s="25"/>
      <c r="AA339" s="25"/>
      <c r="AB339" s="5"/>
      <c r="AC339" s="5"/>
      <c r="AD339" s="5"/>
      <c r="AE339" s="5" t="s">
        <v>1576</v>
      </c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2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14"/>
      <c r="BL339" s="14"/>
      <c r="BM339" s="14"/>
      <c r="BN339" s="14"/>
      <c r="BO339" s="14"/>
      <c r="BP339" s="14"/>
      <c r="BQ339" s="14"/>
      <c r="BR339" s="17"/>
      <c r="BS339" s="5"/>
      <c r="BT339" s="5"/>
    </row>
    <row r="340" spans="1:72" s="33" customFormat="1" hidden="1" outlineLevel="1">
      <c r="A340" s="5"/>
      <c r="B340" s="5" t="s">
        <v>168</v>
      </c>
      <c r="C340" s="38" t="s">
        <v>154</v>
      </c>
      <c r="D340" s="16" t="s">
        <v>289</v>
      </c>
      <c r="E340" s="16" t="s">
        <v>289</v>
      </c>
      <c r="F340" s="16" t="s">
        <v>289</v>
      </c>
      <c r="G340" s="16" t="s">
        <v>289</v>
      </c>
      <c r="H340" s="16" t="s">
        <v>289</v>
      </c>
      <c r="I340" s="16" t="s">
        <v>289</v>
      </c>
      <c r="J340" s="16" t="s">
        <v>289</v>
      </c>
      <c r="K340" s="16" t="s">
        <v>289</v>
      </c>
      <c r="L340" s="16" t="s">
        <v>289</v>
      </c>
      <c r="M340" s="16" t="s">
        <v>289</v>
      </c>
      <c r="N340" s="16" t="s">
        <v>289</v>
      </c>
      <c r="O340" s="16" t="s">
        <v>289</v>
      </c>
      <c r="P340" s="16" t="s">
        <v>289</v>
      </c>
      <c r="Q340" s="16" t="s">
        <v>289</v>
      </c>
      <c r="R340" s="16" t="s">
        <v>289</v>
      </c>
      <c r="S340" s="16" t="s">
        <v>289</v>
      </c>
      <c r="T340" s="16" t="s">
        <v>289</v>
      </c>
      <c r="U340" s="16" t="s">
        <v>289</v>
      </c>
      <c r="V340" s="16" t="s">
        <v>289</v>
      </c>
      <c r="W340" s="16"/>
      <c r="X340" s="16"/>
      <c r="Y340" s="16"/>
      <c r="Z340" s="16"/>
      <c r="AA340" s="16"/>
      <c r="AB340" s="25"/>
      <c r="AC340" s="2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16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22"/>
      <c r="BL340" s="23"/>
      <c r="BM340" s="22"/>
      <c r="BN340" s="22"/>
      <c r="BO340" s="22"/>
      <c r="BP340" s="22"/>
      <c r="BQ340" s="22"/>
      <c r="BR340" s="24"/>
      <c r="BS340" s="5"/>
      <c r="BT340" s="5"/>
    </row>
    <row r="341" spans="1:72" s="33" customFormat="1" hidden="1" outlineLevel="1">
      <c r="A341" s="5"/>
      <c r="B341" s="5" t="s">
        <v>170</v>
      </c>
      <c r="C341" s="38" t="s">
        <v>161</v>
      </c>
      <c r="D341" s="16">
        <v>8302</v>
      </c>
      <c r="E341" s="16">
        <v>8648</v>
      </c>
      <c r="F341" s="16">
        <v>8376</v>
      </c>
      <c r="G341" s="16">
        <v>9058</v>
      </c>
      <c r="H341" s="16">
        <v>8406</v>
      </c>
      <c r="I341" s="16">
        <v>8861</v>
      </c>
      <c r="J341" s="16">
        <v>10089</v>
      </c>
      <c r="K341" s="16">
        <v>10333</v>
      </c>
      <c r="L341" s="16">
        <v>13114</v>
      </c>
      <c r="M341" s="16">
        <v>14650</v>
      </c>
      <c r="N341" s="16">
        <v>16791</v>
      </c>
      <c r="O341" s="16">
        <v>19656</v>
      </c>
      <c r="P341" s="16">
        <v>20793</v>
      </c>
      <c r="Q341" s="16">
        <v>22030</v>
      </c>
      <c r="R341" s="16">
        <v>22391</v>
      </c>
      <c r="S341" s="16">
        <v>24406</v>
      </c>
      <c r="T341" s="16">
        <v>25749</v>
      </c>
      <c r="U341" s="16">
        <v>27281</v>
      </c>
      <c r="V341" s="16" t="s">
        <v>289</v>
      </c>
      <c r="W341" s="16"/>
      <c r="X341" s="16"/>
      <c r="Y341" s="16"/>
      <c r="Z341" s="16"/>
      <c r="AA341" s="16"/>
      <c r="AB341" s="25"/>
      <c r="AC341" s="2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16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25"/>
      <c r="BL341" s="25"/>
      <c r="BM341" s="25"/>
      <c r="BN341" s="25"/>
      <c r="BO341" s="25"/>
      <c r="BP341" s="25"/>
      <c r="BQ341" s="25"/>
      <c r="BR341" s="27"/>
      <c r="BS341" s="5"/>
      <c r="BT341" s="5"/>
    </row>
    <row r="342" spans="1:72" s="33" customFormat="1" hidden="1" outlineLevel="1">
      <c r="A342" s="5"/>
      <c r="B342" s="5" t="s">
        <v>169</v>
      </c>
      <c r="C342" s="38" t="s">
        <v>163</v>
      </c>
      <c r="D342" s="16" t="s">
        <v>289</v>
      </c>
      <c r="E342" s="16" t="s">
        <v>289</v>
      </c>
      <c r="F342" s="16" t="s">
        <v>289</v>
      </c>
      <c r="G342" s="16" t="s">
        <v>289</v>
      </c>
      <c r="H342" s="16" t="s">
        <v>289</v>
      </c>
      <c r="I342" s="16" t="s">
        <v>289</v>
      </c>
      <c r="J342" s="16" t="s">
        <v>289</v>
      </c>
      <c r="K342" s="16" t="s">
        <v>289</v>
      </c>
      <c r="L342" s="16" t="s">
        <v>289</v>
      </c>
      <c r="M342" s="16" t="s">
        <v>289</v>
      </c>
      <c r="N342" s="16" t="s">
        <v>289</v>
      </c>
      <c r="O342" s="16" t="s">
        <v>289</v>
      </c>
      <c r="P342" s="16" t="s">
        <v>289</v>
      </c>
      <c r="Q342" s="16" t="s">
        <v>289</v>
      </c>
      <c r="R342" s="16" t="s">
        <v>289</v>
      </c>
      <c r="S342" s="16" t="s">
        <v>289</v>
      </c>
      <c r="T342" s="16" t="s">
        <v>289</v>
      </c>
      <c r="U342" s="16" t="s">
        <v>289</v>
      </c>
      <c r="V342" s="16" t="s">
        <v>289</v>
      </c>
      <c r="W342" s="16"/>
      <c r="X342" s="16"/>
      <c r="Y342" s="16"/>
      <c r="Z342" s="16"/>
      <c r="AA342" s="16"/>
      <c r="AB342" s="25"/>
      <c r="AC342" s="2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16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25"/>
      <c r="BL342" s="25"/>
      <c r="BM342" s="25"/>
      <c r="BN342" s="25"/>
      <c r="BO342" s="25"/>
      <c r="BP342" s="25"/>
      <c r="BQ342" s="25"/>
      <c r="BR342" s="27"/>
      <c r="BS342" s="5"/>
      <c r="BT342" s="5"/>
    </row>
    <row r="343" spans="1:72" s="33" customFormat="1" hidden="1" outlineLevel="1">
      <c r="A343" s="5"/>
      <c r="B343" s="5"/>
      <c r="C343" s="38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2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25"/>
      <c r="BL343" s="25"/>
      <c r="BM343" s="25"/>
      <c r="BN343" s="25"/>
      <c r="BO343" s="25"/>
      <c r="BP343" s="25"/>
      <c r="BQ343" s="25"/>
      <c r="BR343" s="27"/>
      <c r="BS343" s="5"/>
      <c r="BT343" s="5"/>
    </row>
    <row r="344" spans="1:72" s="33" customFormat="1" collapsed="1">
      <c r="A344" s="5"/>
      <c r="B344" s="5"/>
      <c r="C344" s="38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2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25"/>
      <c r="BL344" s="25"/>
      <c r="BM344" s="25"/>
      <c r="BN344" s="25"/>
      <c r="BO344" s="25"/>
      <c r="BP344" s="25"/>
      <c r="BQ344" s="25"/>
      <c r="BR344" s="27"/>
      <c r="BS344" s="5"/>
      <c r="BT344" s="5"/>
    </row>
    <row r="345" spans="1:72" s="33" customFormat="1">
      <c r="A345" s="5"/>
      <c r="B345" s="5"/>
      <c r="C345" s="38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2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25"/>
      <c r="BL345" s="25"/>
      <c r="BM345" s="25"/>
      <c r="BN345" s="25"/>
      <c r="BO345" s="25"/>
      <c r="BP345" s="25"/>
      <c r="BQ345" s="25"/>
      <c r="BR345" s="27"/>
      <c r="BS345" s="5"/>
      <c r="BT345" s="5"/>
    </row>
    <row r="346" spans="1:72" s="33" customFormat="1" ht="13.15">
      <c r="A346" s="5"/>
      <c r="B346" s="5"/>
      <c r="C346" s="12" t="s">
        <v>2489</v>
      </c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2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25"/>
      <c r="BL346" s="25"/>
      <c r="BM346" s="25"/>
      <c r="BN346" s="25"/>
      <c r="BO346" s="25"/>
      <c r="BP346" s="25"/>
      <c r="BQ346" s="25"/>
      <c r="BR346" s="27"/>
      <c r="BS346" s="5"/>
      <c r="BT346" s="5"/>
    </row>
    <row r="347" spans="1:72" s="33" customFormat="1" ht="13.15">
      <c r="A347" s="5"/>
      <c r="B347" s="5"/>
      <c r="C347" s="9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24"/>
      <c r="AE347" s="5"/>
      <c r="AF347" s="5"/>
      <c r="AG347" s="5"/>
      <c r="AY347" s="14"/>
      <c r="BD347" s="5"/>
      <c r="BE347" s="5"/>
      <c r="BF347" s="5"/>
      <c r="BG347" s="5"/>
      <c r="BH347" s="5"/>
      <c r="BI347" s="5"/>
      <c r="BJ347" s="24"/>
      <c r="BK347" s="22"/>
      <c r="BL347" s="23"/>
      <c r="BM347" s="22"/>
      <c r="BN347" s="22"/>
      <c r="BO347" s="22"/>
      <c r="BP347" s="22"/>
      <c r="BQ347" s="22"/>
      <c r="BR347" s="24"/>
      <c r="BS347" s="5"/>
    </row>
    <row r="348" spans="1:72" s="33" customFormat="1" ht="13.15">
      <c r="A348" s="5"/>
      <c r="B348" s="5"/>
      <c r="C348" s="9" t="s">
        <v>212</v>
      </c>
      <c r="D348" s="14">
        <f t="shared" ref="D348:Q348" si="307">IF(ISNUMBER(D349),D349,IF(ISNUMBER(D350),D350,"…"))</f>
        <v>50757</v>
      </c>
      <c r="E348" s="14">
        <f t="shared" si="307"/>
        <v>55566</v>
      </c>
      <c r="F348" s="14">
        <f t="shared" si="307"/>
        <v>56071</v>
      </c>
      <c r="G348" s="14">
        <f t="shared" si="307"/>
        <v>58343</v>
      </c>
      <c r="H348" s="14">
        <f t="shared" si="307"/>
        <v>69679</v>
      </c>
      <c r="I348" s="14">
        <f t="shared" si="307"/>
        <v>69534</v>
      </c>
      <c r="J348" s="14">
        <f t="shared" si="307"/>
        <v>76900</v>
      </c>
      <c r="K348" s="14">
        <f t="shared" si="307"/>
        <v>101236</v>
      </c>
      <c r="L348" s="14">
        <f t="shared" si="307"/>
        <v>105526</v>
      </c>
      <c r="M348" s="14">
        <f t="shared" si="307"/>
        <v>118625</v>
      </c>
      <c r="N348" s="14">
        <f t="shared" si="307"/>
        <v>130706</v>
      </c>
      <c r="O348" s="14">
        <f t="shared" si="307"/>
        <v>148489</v>
      </c>
      <c r="P348" s="14">
        <f t="shared" si="307"/>
        <v>177515</v>
      </c>
      <c r="Q348" s="14">
        <f t="shared" si="307"/>
        <v>160389</v>
      </c>
      <c r="R348" s="14">
        <f t="shared" ref="R348:Y348" si="308">IF(ISNUMBER(R349),R349,IF(ISNUMBER(R350),R350,"…"))</f>
        <v>167968</v>
      </c>
      <c r="S348" s="14">
        <f t="shared" si="308"/>
        <v>167924</v>
      </c>
      <c r="T348" s="14">
        <f t="shared" si="308"/>
        <v>165410</v>
      </c>
      <c r="U348" s="14">
        <f t="shared" si="308"/>
        <v>164393</v>
      </c>
      <c r="V348" s="14" t="str">
        <f t="shared" si="308"/>
        <v>…</v>
      </c>
      <c r="W348" s="14" t="str">
        <f t="shared" si="308"/>
        <v>…</v>
      </c>
      <c r="X348" s="14" t="str">
        <f t="shared" si="308"/>
        <v>…</v>
      </c>
      <c r="Y348" s="14" t="str">
        <f t="shared" si="308"/>
        <v>…</v>
      </c>
      <c r="Z348" s="14"/>
      <c r="AA348" s="14"/>
      <c r="AB348" s="14"/>
      <c r="AC348" s="14"/>
      <c r="AD348" s="5"/>
      <c r="AE348" s="5"/>
      <c r="AF348" s="5"/>
      <c r="AG348" s="5"/>
      <c r="AY348" s="14"/>
      <c r="BD348" s="5"/>
      <c r="BE348" s="5"/>
      <c r="BF348" s="5"/>
      <c r="BG348" s="5"/>
      <c r="BH348" s="5"/>
      <c r="BI348" s="5"/>
      <c r="BJ348" s="24"/>
      <c r="BK348" s="22"/>
      <c r="BL348" s="23"/>
      <c r="BM348" s="22"/>
      <c r="BN348" s="22"/>
      <c r="BO348" s="22"/>
      <c r="BP348" s="22"/>
      <c r="BQ348" s="22"/>
      <c r="BR348" s="24"/>
      <c r="BS348" s="5"/>
    </row>
    <row r="349" spans="1:72" s="33" customFormat="1" hidden="1" outlineLevel="1">
      <c r="A349" s="5"/>
      <c r="B349" s="5" t="s">
        <v>213</v>
      </c>
      <c r="C349" s="38" t="s">
        <v>154</v>
      </c>
      <c r="D349" s="16">
        <v>50757</v>
      </c>
      <c r="E349" s="16">
        <v>55566</v>
      </c>
      <c r="F349" s="16">
        <v>56071</v>
      </c>
      <c r="G349" s="16">
        <v>58343</v>
      </c>
      <c r="H349" s="16">
        <v>69679</v>
      </c>
      <c r="I349" s="16">
        <v>69534</v>
      </c>
      <c r="J349" s="16">
        <v>76900</v>
      </c>
      <c r="K349" s="16">
        <v>101236</v>
      </c>
      <c r="L349" s="16">
        <v>105526</v>
      </c>
      <c r="M349" s="16">
        <v>118625</v>
      </c>
      <c r="N349" s="16">
        <v>130706</v>
      </c>
      <c r="O349" s="16">
        <v>148489</v>
      </c>
      <c r="P349" s="16">
        <v>177515</v>
      </c>
      <c r="Q349" s="16">
        <v>160389</v>
      </c>
      <c r="R349" s="16">
        <v>167968</v>
      </c>
      <c r="S349" s="16">
        <v>167924</v>
      </c>
      <c r="T349" s="16">
        <v>165410</v>
      </c>
      <c r="U349" s="16">
        <v>164393</v>
      </c>
      <c r="V349" s="16" t="s">
        <v>289</v>
      </c>
      <c r="W349" s="16"/>
      <c r="X349" s="16"/>
      <c r="Y349" s="16"/>
      <c r="Z349" s="16"/>
      <c r="AA349" s="16"/>
      <c r="AB349" s="25"/>
      <c r="AC349" s="25"/>
      <c r="AD349" s="5"/>
      <c r="AE349" s="5"/>
      <c r="AF349" s="5"/>
      <c r="AG349" s="5"/>
      <c r="AY349" s="16"/>
      <c r="BD349" s="5"/>
      <c r="BE349" s="5"/>
      <c r="BF349" s="5"/>
      <c r="BG349" s="5"/>
      <c r="BH349" s="5"/>
      <c r="BI349" s="5"/>
      <c r="BJ349" s="24"/>
      <c r="BK349" s="22"/>
      <c r="BL349" s="23"/>
      <c r="BM349" s="22"/>
      <c r="BN349" s="22"/>
      <c r="BO349" s="22"/>
      <c r="BP349" s="22"/>
      <c r="BQ349" s="22"/>
      <c r="BR349" s="24"/>
      <c r="BS349" s="5"/>
    </row>
    <row r="350" spans="1:72" s="33" customFormat="1" hidden="1" outlineLevel="1">
      <c r="A350" s="5"/>
      <c r="B350" s="5" t="s">
        <v>214</v>
      </c>
      <c r="C350" s="38" t="s">
        <v>161</v>
      </c>
      <c r="D350" s="16">
        <v>48692</v>
      </c>
      <c r="E350" s="16">
        <v>53309</v>
      </c>
      <c r="F350" s="16">
        <v>53485</v>
      </c>
      <c r="G350" s="16">
        <v>56068</v>
      </c>
      <c r="H350" s="16">
        <v>64802</v>
      </c>
      <c r="I350" s="16">
        <v>69534</v>
      </c>
      <c r="J350" s="16">
        <v>76900</v>
      </c>
      <c r="K350" s="16">
        <v>101236</v>
      </c>
      <c r="L350" s="16">
        <v>105526</v>
      </c>
      <c r="M350" s="16">
        <v>118625</v>
      </c>
      <c r="N350" s="16">
        <v>130706</v>
      </c>
      <c r="O350" s="16">
        <v>148489</v>
      </c>
      <c r="P350" s="16">
        <v>177515</v>
      </c>
      <c r="Q350" s="16">
        <v>160389</v>
      </c>
      <c r="R350" s="16">
        <v>167968</v>
      </c>
      <c r="S350" s="16">
        <v>167924</v>
      </c>
      <c r="T350" s="16">
        <v>165410</v>
      </c>
      <c r="U350" s="16">
        <v>164393</v>
      </c>
      <c r="V350" s="16" t="s">
        <v>289</v>
      </c>
      <c r="W350" s="16"/>
      <c r="X350" s="16"/>
      <c r="Y350" s="16"/>
      <c r="Z350" s="16"/>
      <c r="AA350" s="16"/>
      <c r="AB350" s="25"/>
      <c r="AC350" s="25"/>
      <c r="AD350" s="5"/>
      <c r="AE350" s="5"/>
      <c r="AF350" s="5"/>
      <c r="AG350" s="5"/>
      <c r="AY350" s="16"/>
      <c r="BD350" s="5"/>
      <c r="BE350" s="5"/>
      <c r="BF350" s="5"/>
      <c r="BG350" s="5"/>
      <c r="BH350" s="5"/>
      <c r="BI350" s="5"/>
      <c r="BJ350" s="24"/>
      <c r="BK350" s="22"/>
      <c r="BL350" s="23"/>
      <c r="BM350" s="22"/>
      <c r="BN350" s="22"/>
      <c r="BO350" s="22"/>
      <c r="BP350" s="22"/>
      <c r="BQ350" s="22"/>
      <c r="BR350" s="24"/>
      <c r="BS350" s="5"/>
    </row>
    <row r="351" spans="1:72" s="33" customFormat="1" ht="13.15" collapsed="1">
      <c r="A351" s="5"/>
      <c r="B351" s="5"/>
      <c r="C351" s="9" t="s">
        <v>215</v>
      </c>
      <c r="D351" s="14">
        <f t="shared" ref="D351:J351" si="309">IF(ISNUMBER(D352),D352,IF(ISNUMBER(D354/D353),D354+D353,"…"))</f>
        <v>28885</v>
      </c>
      <c r="E351" s="14">
        <f t="shared" si="309"/>
        <v>30992</v>
      </c>
      <c r="F351" s="14">
        <f t="shared" si="309"/>
        <v>30023</v>
      </c>
      <c r="G351" s="14">
        <f t="shared" si="309"/>
        <v>28677</v>
      </c>
      <c r="H351" s="14">
        <f t="shared" si="309"/>
        <v>41000</v>
      </c>
      <c r="I351" s="14">
        <f t="shared" si="309"/>
        <v>40606</v>
      </c>
      <c r="J351" s="14">
        <f t="shared" si="309"/>
        <v>39853</v>
      </c>
      <c r="K351" s="14">
        <f t="shared" ref="K351:Q351" si="310">IF(ISNUMBER(K352),K352,IF(ISNUMBER(K354/K353),K354+K353,"…"))</f>
        <v>49090</v>
      </c>
      <c r="L351" s="14">
        <f t="shared" si="310"/>
        <v>54061</v>
      </c>
      <c r="M351" s="14">
        <f t="shared" si="310"/>
        <v>59986</v>
      </c>
      <c r="N351" s="14">
        <f t="shared" si="310"/>
        <v>65564</v>
      </c>
      <c r="O351" s="14">
        <f t="shared" si="310"/>
        <v>72312</v>
      </c>
      <c r="P351" s="14">
        <f t="shared" si="310"/>
        <v>88462</v>
      </c>
      <c r="Q351" s="14">
        <f t="shared" si="310"/>
        <v>81844</v>
      </c>
      <c r="R351" s="14">
        <f t="shared" ref="R351:Y351" si="311">IF(ISNUMBER(R352),R352,IF(ISNUMBER(R354/R353),R354+R353,"…"))</f>
        <v>89757</v>
      </c>
      <c r="S351" s="14">
        <f t="shared" si="311"/>
        <v>87912</v>
      </c>
      <c r="T351" s="14">
        <f t="shared" si="311"/>
        <v>88649</v>
      </c>
      <c r="U351" s="14">
        <f t="shared" si="311"/>
        <v>78584</v>
      </c>
      <c r="V351" s="14" t="str">
        <f t="shared" si="311"/>
        <v>…</v>
      </c>
      <c r="W351" s="14" t="str">
        <f t="shared" si="311"/>
        <v>…</v>
      </c>
      <c r="X351" s="14" t="str">
        <f t="shared" si="311"/>
        <v>…</v>
      </c>
      <c r="Y351" s="14" t="str">
        <f t="shared" si="311"/>
        <v>…</v>
      </c>
      <c r="Z351" s="14"/>
      <c r="AA351" s="14"/>
      <c r="AB351" s="14"/>
      <c r="AC351" s="14"/>
      <c r="AD351" s="5"/>
      <c r="AE351" s="5"/>
      <c r="AF351" s="5"/>
      <c r="AG351" s="5"/>
      <c r="AY351" s="14"/>
      <c r="BD351" s="5"/>
      <c r="BE351" s="5"/>
      <c r="BF351" s="5"/>
      <c r="BG351" s="5"/>
      <c r="BH351" s="5"/>
      <c r="BI351" s="5"/>
      <c r="BJ351" s="24"/>
      <c r="BK351" s="22"/>
      <c r="BL351" s="23"/>
      <c r="BM351" s="22"/>
      <c r="BN351" s="22"/>
      <c r="BO351" s="22"/>
      <c r="BP351" s="22"/>
      <c r="BQ351" s="22"/>
      <c r="BR351" s="24"/>
      <c r="BS351" s="5"/>
    </row>
    <row r="352" spans="1:72" s="33" customFormat="1" hidden="1" outlineLevel="1">
      <c r="A352" s="5"/>
      <c r="B352" s="5" t="s">
        <v>216</v>
      </c>
      <c r="C352" s="38" t="s">
        <v>154</v>
      </c>
      <c r="D352" s="16">
        <v>28885</v>
      </c>
      <c r="E352" s="16">
        <v>30992</v>
      </c>
      <c r="F352" s="16">
        <v>30023</v>
      </c>
      <c r="G352" s="16">
        <v>28677</v>
      </c>
      <c r="H352" s="16">
        <v>41000</v>
      </c>
      <c r="I352" s="16">
        <v>40606</v>
      </c>
      <c r="J352" s="16">
        <v>39853</v>
      </c>
      <c r="K352" s="16">
        <v>49090</v>
      </c>
      <c r="L352" s="16">
        <v>54061</v>
      </c>
      <c r="M352" s="16">
        <v>59986</v>
      </c>
      <c r="N352" s="16">
        <v>65564</v>
      </c>
      <c r="O352" s="16">
        <v>72312</v>
      </c>
      <c r="P352" s="16">
        <v>88462</v>
      </c>
      <c r="Q352" s="16">
        <v>81844</v>
      </c>
      <c r="R352" s="16">
        <v>89757</v>
      </c>
      <c r="S352" s="16">
        <v>87912</v>
      </c>
      <c r="T352" s="16">
        <v>88649</v>
      </c>
      <c r="U352" s="16">
        <v>78584</v>
      </c>
      <c r="V352" s="16" t="s">
        <v>289</v>
      </c>
      <c r="W352" s="16"/>
      <c r="X352" s="16"/>
      <c r="Y352" s="16"/>
      <c r="Z352" s="16"/>
      <c r="AA352" s="16"/>
      <c r="AB352" s="25"/>
      <c r="AC352" s="25"/>
      <c r="AD352" s="5"/>
      <c r="AE352" s="5"/>
      <c r="AF352" s="5"/>
      <c r="AG352" s="5"/>
      <c r="AY352" s="16"/>
      <c r="BD352" s="5"/>
      <c r="BE352" s="5"/>
      <c r="BF352" s="5"/>
      <c r="BG352" s="5"/>
      <c r="BH352" s="5"/>
      <c r="BI352" s="5"/>
      <c r="BJ352" s="24"/>
      <c r="BK352" s="22"/>
      <c r="BL352" s="23"/>
      <c r="BM352" s="22"/>
      <c r="BN352" s="22"/>
      <c r="BO352" s="22"/>
      <c r="BP352" s="22"/>
      <c r="BQ352" s="22"/>
      <c r="BR352" s="24"/>
      <c r="BS352" s="5"/>
    </row>
    <row r="353" spans="1:71" s="33" customFormat="1" hidden="1" outlineLevel="1">
      <c r="A353" s="5"/>
      <c r="B353" s="5" t="s">
        <v>217</v>
      </c>
      <c r="C353" s="38" t="s">
        <v>161</v>
      </c>
      <c r="D353" s="16" t="s">
        <v>289</v>
      </c>
      <c r="E353" s="16" t="s">
        <v>289</v>
      </c>
      <c r="F353" s="16" t="s">
        <v>289</v>
      </c>
      <c r="G353" s="16" t="s">
        <v>289</v>
      </c>
      <c r="H353" s="16" t="s">
        <v>289</v>
      </c>
      <c r="I353" s="16" t="s">
        <v>289</v>
      </c>
      <c r="J353" s="16" t="s">
        <v>289</v>
      </c>
      <c r="K353" s="16" t="s">
        <v>289</v>
      </c>
      <c r="L353" s="16" t="s">
        <v>289</v>
      </c>
      <c r="M353" s="16" t="s">
        <v>289</v>
      </c>
      <c r="N353" s="16" t="s">
        <v>289</v>
      </c>
      <c r="O353" s="16" t="s">
        <v>289</v>
      </c>
      <c r="P353" s="16" t="s">
        <v>289</v>
      </c>
      <c r="Q353" s="16" t="s">
        <v>289</v>
      </c>
      <c r="R353" s="16" t="s">
        <v>289</v>
      </c>
      <c r="S353" s="16" t="s">
        <v>289</v>
      </c>
      <c r="T353" s="16" t="s">
        <v>289</v>
      </c>
      <c r="U353" s="16" t="s">
        <v>289</v>
      </c>
      <c r="V353" s="16" t="s">
        <v>289</v>
      </c>
      <c r="W353" s="16"/>
      <c r="X353" s="16"/>
      <c r="Y353" s="16"/>
      <c r="Z353" s="16"/>
      <c r="AA353" s="16"/>
      <c r="AB353" s="25"/>
      <c r="AC353" s="25"/>
      <c r="AD353" s="5"/>
      <c r="AE353" s="5"/>
      <c r="AF353" s="5"/>
      <c r="AG353" s="5"/>
      <c r="AY353" s="16"/>
      <c r="BD353" s="5"/>
      <c r="BE353" s="5"/>
      <c r="BF353" s="5"/>
      <c r="BG353" s="5"/>
      <c r="BH353" s="5"/>
      <c r="BI353" s="5"/>
      <c r="BJ353" s="24"/>
      <c r="BK353" s="22"/>
      <c r="BL353" s="23"/>
      <c r="BM353" s="22"/>
      <c r="BN353" s="22"/>
      <c r="BO353" s="22"/>
      <c r="BP353" s="22"/>
      <c r="BQ353" s="22"/>
      <c r="BR353" s="24"/>
      <c r="BS353" s="5"/>
    </row>
    <row r="354" spans="1:71" s="33" customFormat="1" hidden="1" outlineLevel="1">
      <c r="A354" s="5"/>
      <c r="B354" s="5" t="s">
        <v>218</v>
      </c>
      <c r="C354" s="38" t="s">
        <v>161</v>
      </c>
      <c r="D354" s="16">
        <v>28885</v>
      </c>
      <c r="E354" s="16">
        <v>30992</v>
      </c>
      <c r="F354" s="16">
        <v>30023</v>
      </c>
      <c r="G354" s="16">
        <v>28677</v>
      </c>
      <c r="H354" s="16">
        <v>36123</v>
      </c>
      <c r="I354" s="16">
        <v>40606</v>
      </c>
      <c r="J354" s="16">
        <v>39852</v>
      </c>
      <c r="K354" s="16">
        <v>49090</v>
      </c>
      <c r="L354" s="16">
        <v>54060</v>
      </c>
      <c r="M354" s="16">
        <v>59987</v>
      </c>
      <c r="N354" s="16">
        <v>65564</v>
      </c>
      <c r="O354" s="16">
        <v>72313</v>
      </c>
      <c r="P354" s="16">
        <v>88461</v>
      </c>
      <c r="Q354" s="16">
        <v>81844</v>
      </c>
      <c r="R354" s="16">
        <v>89757</v>
      </c>
      <c r="S354" s="16">
        <v>87912</v>
      </c>
      <c r="T354" s="16">
        <v>88648</v>
      </c>
      <c r="U354" s="16">
        <v>78584</v>
      </c>
      <c r="V354" s="16" t="s">
        <v>289</v>
      </c>
      <c r="W354" s="16"/>
      <c r="X354" s="16"/>
      <c r="Y354" s="16"/>
      <c r="Z354" s="16"/>
      <c r="AA354" s="16"/>
      <c r="AB354" s="25"/>
      <c r="AC354" s="25"/>
      <c r="AD354" s="24"/>
      <c r="AE354" s="5"/>
      <c r="AF354" s="5"/>
      <c r="AG354" s="5"/>
      <c r="AY354" s="16"/>
      <c r="BD354" s="5"/>
      <c r="BE354" s="5"/>
      <c r="BF354" s="5"/>
      <c r="BG354" s="5"/>
      <c r="BH354" s="5"/>
      <c r="BI354" s="5"/>
      <c r="BJ354" s="24"/>
      <c r="BK354" s="22"/>
      <c r="BL354" s="23"/>
      <c r="BM354" s="22"/>
      <c r="BN354" s="22"/>
      <c r="BO354" s="22"/>
      <c r="BP354" s="22"/>
      <c r="BQ354" s="22"/>
      <c r="BR354" s="24"/>
      <c r="BS354" s="5"/>
    </row>
    <row r="355" spans="1:71" s="33" customFormat="1" hidden="1" outlineLevel="1">
      <c r="A355" s="5"/>
      <c r="B355" s="5" t="s">
        <v>219</v>
      </c>
      <c r="C355" s="38" t="s">
        <v>163</v>
      </c>
      <c r="D355" s="16" t="s">
        <v>289</v>
      </c>
      <c r="E355" s="16" t="s">
        <v>289</v>
      </c>
      <c r="F355" s="16" t="s">
        <v>289</v>
      </c>
      <c r="G355" s="16" t="s">
        <v>289</v>
      </c>
      <c r="H355" s="16" t="s">
        <v>289</v>
      </c>
      <c r="I355" s="16">
        <v>40583</v>
      </c>
      <c r="J355" s="16">
        <v>39827</v>
      </c>
      <c r="K355" s="16">
        <v>49046</v>
      </c>
      <c r="L355" s="16">
        <v>54028</v>
      </c>
      <c r="M355" s="16">
        <v>59936</v>
      </c>
      <c r="N355" s="16">
        <v>65530</v>
      </c>
      <c r="O355" s="16">
        <v>72272</v>
      </c>
      <c r="P355" s="16">
        <v>88409</v>
      </c>
      <c r="Q355" s="16">
        <v>81793</v>
      </c>
      <c r="R355" s="16">
        <v>89707</v>
      </c>
      <c r="S355" s="16">
        <v>86910</v>
      </c>
      <c r="T355" s="16">
        <v>87644</v>
      </c>
      <c r="U355" s="16">
        <v>77476</v>
      </c>
      <c r="V355" s="16" t="s">
        <v>289</v>
      </c>
      <c r="W355" s="16"/>
      <c r="X355" s="16"/>
      <c r="Y355" s="16"/>
      <c r="Z355" s="16"/>
      <c r="AA355" s="16"/>
      <c r="AB355" s="25"/>
      <c r="AC355" s="25"/>
      <c r="AD355" s="24"/>
      <c r="AE355" s="5"/>
      <c r="AF355" s="5"/>
      <c r="AG355" s="5"/>
      <c r="AY355" s="16"/>
      <c r="BD355" s="5"/>
      <c r="BE355" s="5"/>
      <c r="BF355" s="5"/>
      <c r="BG355" s="5"/>
      <c r="BH355" s="5"/>
      <c r="BI355" s="5"/>
      <c r="BJ355" s="24"/>
      <c r="BK355" s="22"/>
      <c r="BL355" s="23"/>
      <c r="BM355" s="22"/>
      <c r="BN355" s="22"/>
      <c r="BO355" s="22"/>
      <c r="BP355" s="22"/>
      <c r="BQ355" s="22"/>
      <c r="BR355" s="24"/>
      <c r="BS355" s="5"/>
    </row>
    <row r="356" spans="1:71" s="33" customFormat="1" hidden="1" outlineLevel="1">
      <c r="A356" s="5"/>
      <c r="B356" s="5"/>
      <c r="C356" s="38" t="s">
        <v>127</v>
      </c>
      <c r="D356" s="25" t="s">
        <v>127</v>
      </c>
      <c r="E356" s="25" t="s">
        <v>127</v>
      </c>
      <c r="F356" s="25" t="s">
        <v>127</v>
      </c>
      <c r="G356" s="25" t="s">
        <v>127</v>
      </c>
      <c r="H356" s="25" t="s">
        <v>127</v>
      </c>
      <c r="I356" s="25" t="s">
        <v>127</v>
      </c>
      <c r="J356" s="25" t="s">
        <v>127</v>
      </c>
      <c r="K356" s="25" t="s">
        <v>127</v>
      </c>
      <c r="L356" s="25" t="s">
        <v>127</v>
      </c>
      <c r="M356" s="25" t="s">
        <v>127</v>
      </c>
      <c r="N356" s="25" t="s">
        <v>127</v>
      </c>
      <c r="O356" s="25" t="s">
        <v>127</v>
      </c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4"/>
      <c r="AE356" s="5"/>
      <c r="AF356" s="5"/>
      <c r="AG356" s="5"/>
      <c r="AY356" s="25"/>
      <c r="BD356" s="5"/>
      <c r="BE356" s="5"/>
      <c r="BF356" s="5"/>
      <c r="BG356" s="5"/>
      <c r="BH356" s="5"/>
      <c r="BI356" s="5"/>
      <c r="BJ356" s="24"/>
      <c r="BK356" s="22"/>
      <c r="BL356" s="23"/>
      <c r="BM356" s="22"/>
      <c r="BN356" s="22"/>
      <c r="BO356" s="22"/>
      <c r="BP356" s="22"/>
      <c r="BQ356" s="22"/>
      <c r="BR356" s="24"/>
      <c r="BS356" s="5"/>
    </row>
    <row r="357" spans="1:71" s="33" customFormat="1" ht="13.15" collapsed="1">
      <c r="A357" s="5"/>
      <c r="B357" s="5"/>
      <c r="C357" s="9" t="s">
        <v>205</v>
      </c>
      <c r="D357" s="14">
        <f>IFERROR(SUM(D348)-SUM(D351),"…")</f>
        <v>21872</v>
      </c>
      <c r="E357" s="14">
        <f t="shared" ref="E357:Q357" si="312">IFERROR(SUM(E348)-SUM(E351),"…")</f>
        <v>24574</v>
      </c>
      <c r="F357" s="14">
        <f t="shared" si="312"/>
        <v>26048</v>
      </c>
      <c r="G357" s="14">
        <f t="shared" si="312"/>
        <v>29666</v>
      </c>
      <c r="H357" s="14">
        <f t="shared" si="312"/>
        <v>28679</v>
      </c>
      <c r="I357" s="14">
        <f t="shared" si="312"/>
        <v>28928</v>
      </c>
      <c r="J357" s="14">
        <f t="shared" si="312"/>
        <v>37047</v>
      </c>
      <c r="K357" s="14">
        <f t="shared" si="312"/>
        <v>52146</v>
      </c>
      <c r="L357" s="14">
        <f t="shared" si="312"/>
        <v>51465</v>
      </c>
      <c r="M357" s="14">
        <f t="shared" si="312"/>
        <v>58639</v>
      </c>
      <c r="N357" s="14">
        <f t="shared" si="312"/>
        <v>65142</v>
      </c>
      <c r="O357" s="14">
        <f t="shared" si="312"/>
        <v>76177</v>
      </c>
      <c r="P357" s="14">
        <f t="shared" si="312"/>
        <v>89053</v>
      </c>
      <c r="Q357" s="14">
        <f t="shared" si="312"/>
        <v>78545</v>
      </c>
      <c r="R357" s="14">
        <f t="shared" ref="R357:Y357" si="313">IFERROR(SUM(R348)-SUM(R351),"…")</f>
        <v>78211</v>
      </c>
      <c r="S357" s="14">
        <f t="shared" si="313"/>
        <v>80012</v>
      </c>
      <c r="T357" s="14">
        <f t="shared" si="313"/>
        <v>76761</v>
      </c>
      <c r="U357" s="14">
        <f t="shared" si="313"/>
        <v>85809</v>
      </c>
      <c r="V357" s="14">
        <f t="shared" si="313"/>
        <v>0</v>
      </c>
      <c r="W357" s="14">
        <f t="shared" si="313"/>
        <v>0</v>
      </c>
      <c r="X357" s="14">
        <f t="shared" si="313"/>
        <v>0</v>
      </c>
      <c r="Y357" s="14">
        <f t="shared" si="313"/>
        <v>0</v>
      </c>
      <c r="Z357" s="14"/>
      <c r="AA357" s="14"/>
      <c r="AB357" s="14"/>
      <c r="AC357" s="14"/>
      <c r="AD357" s="24"/>
      <c r="AE357" s="5"/>
      <c r="AF357" s="5"/>
      <c r="AG357" s="5"/>
      <c r="AY357" s="14"/>
      <c r="BD357" s="5"/>
      <c r="BE357" s="5"/>
      <c r="BF357" s="5"/>
      <c r="BG357" s="5"/>
      <c r="BH357" s="5"/>
      <c r="BI357" s="5"/>
      <c r="BJ357" s="24"/>
      <c r="BK357" s="22"/>
      <c r="BL357" s="23"/>
      <c r="BM357" s="22"/>
      <c r="BN357" s="22"/>
      <c r="BO357" s="22"/>
      <c r="BP357" s="22"/>
      <c r="BQ357" s="22"/>
      <c r="BR357" s="24"/>
      <c r="BS357" s="5"/>
    </row>
    <row r="358" spans="1:71" s="33" customFormat="1" ht="13.15">
      <c r="A358" s="5"/>
      <c r="B358" s="5"/>
      <c r="C358" s="9" t="s">
        <v>220</v>
      </c>
      <c r="D358" s="14">
        <f t="shared" ref="D358:Q358" si="314">IF(ISNUMBER(D359),D359,IF(ISNUMBER(D360),D360,"…"))</f>
        <v>127603</v>
      </c>
      <c r="E358" s="14">
        <f t="shared" si="314"/>
        <v>133081</v>
      </c>
      <c r="F358" s="14">
        <f t="shared" si="314"/>
        <v>136603</v>
      </c>
      <c r="G358" s="14">
        <f t="shared" si="314"/>
        <v>145357</v>
      </c>
      <c r="H358" s="14">
        <f t="shared" si="314"/>
        <v>167919</v>
      </c>
      <c r="I358" s="14">
        <f t="shared" si="314"/>
        <v>177179</v>
      </c>
      <c r="J358" s="14">
        <f t="shared" si="314"/>
        <v>199393</v>
      </c>
      <c r="K358" s="14">
        <f t="shared" si="314"/>
        <v>253769</v>
      </c>
      <c r="L358" s="14">
        <f t="shared" si="314"/>
        <v>309518</v>
      </c>
      <c r="M358" s="14">
        <f t="shared" si="314"/>
        <v>324333</v>
      </c>
      <c r="N358" s="14">
        <f t="shared" si="314"/>
        <v>351209</v>
      </c>
      <c r="O358" s="14">
        <f t="shared" si="314"/>
        <v>381935</v>
      </c>
      <c r="P358" s="14">
        <f t="shared" si="314"/>
        <v>409732</v>
      </c>
      <c r="Q358" s="14">
        <f t="shared" si="314"/>
        <v>422193</v>
      </c>
      <c r="R358" s="14">
        <f t="shared" ref="R358:Y358" si="315">IF(ISNUMBER(R359),R359,IF(ISNUMBER(R360),R360,"…"))</f>
        <v>458156</v>
      </c>
      <c r="S358" s="14">
        <f t="shared" si="315"/>
        <v>488071</v>
      </c>
      <c r="T358" s="14">
        <f t="shared" si="315"/>
        <v>497114</v>
      </c>
      <c r="U358" s="14">
        <f t="shared" si="315"/>
        <v>528609</v>
      </c>
      <c r="V358" s="14" t="str">
        <f t="shared" si="315"/>
        <v>…</v>
      </c>
      <c r="W358" s="14" t="str">
        <f t="shared" si="315"/>
        <v>…</v>
      </c>
      <c r="X358" s="14" t="str">
        <f t="shared" si="315"/>
        <v>…</v>
      </c>
      <c r="Y358" s="14" t="str">
        <f t="shared" si="315"/>
        <v>…</v>
      </c>
      <c r="Z358" s="14"/>
      <c r="AA358" s="14"/>
      <c r="AB358" s="14"/>
      <c r="AC358" s="14"/>
      <c r="AD358" s="5"/>
      <c r="AE358" s="5"/>
      <c r="AF358" s="5"/>
      <c r="AG358" s="5"/>
      <c r="AY358" s="14"/>
      <c r="BD358" s="5"/>
      <c r="BE358" s="5"/>
      <c r="BF358" s="5"/>
      <c r="BG358" s="5"/>
      <c r="BH358" s="5"/>
      <c r="BI358" s="5"/>
      <c r="BJ358" s="24"/>
      <c r="BK358" s="22"/>
      <c r="BL358" s="23"/>
      <c r="BM358" s="22"/>
      <c r="BN358" s="22"/>
      <c r="BO358" s="22"/>
      <c r="BP358" s="22"/>
      <c r="BQ358" s="22"/>
      <c r="BR358" s="24"/>
      <c r="BS358" s="5"/>
    </row>
    <row r="359" spans="1:71" s="33" customFormat="1" hidden="1" outlineLevel="1">
      <c r="A359" s="5"/>
      <c r="B359" s="5" t="s">
        <v>221</v>
      </c>
      <c r="C359" s="38" t="s">
        <v>154</v>
      </c>
      <c r="D359" s="16">
        <v>127603</v>
      </c>
      <c r="E359" s="16">
        <v>133081</v>
      </c>
      <c r="F359" s="16">
        <v>136603</v>
      </c>
      <c r="G359" s="16">
        <v>145357</v>
      </c>
      <c r="H359" s="16">
        <v>167919</v>
      </c>
      <c r="I359" s="16">
        <v>177179</v>
      </c>
      <c r="J359" s="16">
        <v>199393</v>
      </c>
      <c r="K359" s="16">
        <v>253769</v>
      </c>
      <c r="L359" s="16">
        <v>309518</v>
      </c>
      <c r="M359" s="16">
        <v>324333</v>
      </c>
      <c r="N359" s="16">
        <v>351209</v>
      </c>
      <c r="O359" s="16">
        <v>381935</v>
      </c>
      <c r="P359" s="16">
        <v>409732</v>
      </c>
      <c r="Q359" s="16">
        <v>422193</v>
      </c>
      <c r="R359" s="16">
        <v>458156</v>
      </c>
      <c r="S359" s="16">
        <v>488071</v>
      </c>
      <c r="T359" s="16">
        <v>497114</v>
      </c>
      <c r="U359" s="16">
        <v>528609</v>
      </c>
      <c r="V359" s="16" t="s">
        <v>289</v>
      </c>
      <c r="W359" s="16"/>
      <c r="X359" s="16"/>
      <c r="Y359" s="16"/>
      <c r="Z359" s="16"/>
      <c r="AA359" s="16"/>
      <c r="AB359" s="25"/>
      <c r="AC359" s="25"/>
      <c r="AD359" s="5"/>
      <c r="AE359" s="5"/>
      <c r="AF359" s="5"/>
      <c r="AG359" s="5"/>
      <c r="AY359" s="16"/>
      <c r="BD359" s="5"/>
      <c r="BE359" s="5"/>
      <c r="BF359" s="5"/>
      <c r="BG359" s="5"/>
      <c r="BH359" s="5"/>
      <c r="BI359" s="5"/>
      <c r="BJ359" s="24"/>
      <c r="BK359" s="22"/>
      <c r="BL359" s="23"/>
      <c r="BM359" s="22"/>
      <c r="BN359" s="22"/>
      <c r="BO359" s="22"/>
      <c r="BP359" s="22"/>
      <c r="BQ359" s="22"/>
      <c r="BR359" s="24"/>
      <c r="BS359" s="5"/>
    </row>
    <row r="360" spans="1:71" s="33" customFormat="1" hidden="1" outlineLevel="1">
      <c r="A360" s="5"/>
      <c r="B360" s="5" t="s">
        <v>222</v>
      </c>
      <c r="C360" s="38" t="s">
        <v>161</v>
      </c>
      <c r="D360" s="16">
        <v>127603</v>
      </c>
      <c r="E360" s="16">
        <v>133081</v>
      </c>
      <c r="F360" s="16">
        <v>136603</v>
      </c>
      <c r="G360" s="16">
        <v>145357</v>
      </c>
      <c r="H360" s="16">
        <v>167919</v>
      </c>
      <c r="I360" s="16">
        <v>177179</v>
      </c>
      <c r="J360" s="16">
        <v>199393</v>
      </c>
      <c r="K360" s="16">
        <v>253769</v>
      </c>
      <c r="L360" s="16">
        <v>309518</v>
      </c>
      <c r="M360" s="16">
        <v>324333</v>
      </c>
      <c r="N360" s="16">
        <v>351209</v>
      </c>
      <c r="O360" s="16">
        <v>381935</v>
      </c>
      <c r="P360" s="16">
        <v>409732</v>
      </c>
      <c r="Q360" s="16">
        <v>422193</v>
      </c>
      <c r="R360" s="16">
        <v>458156</v>
      </c>
      <c r="S360" s="16">
        <v>488071</v>
      </c>
      <c r="T360" s="16">
        <v>497114</v>
      </c>
      <c r="U360" s="16">
        <v>528609</v>
      </c>
      <c r="V360" s="16" t="s">
        <v>289</v>
      </c>
      <c r="W360" s="16"/>
      <c r="X360" s="16"/>
      <c r="Y360" s="16"/>
      <c r="Z360" s="16"/>
      <c r="AA360" s="16"/>
      <c r="AB360" s="25"/>
      <c r="AC360" s="25"/>
      <c r="AD360" s="5"/>
      <c r="AE360" s="5"/>
      <c r="AF360" s="5"/>
      <c r="AG360" s="5"/>
      <c r="AY360" s="16"/>
      <c r="BD360" s="5"/>
      <c r="BE360" s="5"/>
      <c r="BF360" s="5"/>
      <c r="BG360" s="5"/>
      <c r="BH360" s="5"/>
      <c r="BI360" s="5"/>
      <c r="BJ360" s="24"/>
      <c r="BK360" s="22"/>
      <c r="BL360" s="23"/>
      <c r="BM360" s="22"/>
      <c r="BN360" s="22"/>
      <c r="BO360" s="22"/>
      <c r="BP360" s="22"/>
      <c r="BQ360" s="22"/>
      <c r="BR360" s="24"/>
      <c r="BS360" s="5"/>
    </row>
    <row r="361" spans="1:71" s="33" customFormat="1" hidden="1" outlineLevel="1">
      <c r="A361" s="5"/>
      <c r="B361" s="5"/>
      <c r="C361" s="38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5"/>
      <c r="AE361" s="5"/>
      <c r="AF361" s="5"/>
      <c r="AG361" s="5"/>
      <c r="AY361" s="25"/>
      <c r="BD361" s="5"/>
      <c r="BE361" s="5"/>
      <c r="BF361" s="5"/>
      <c r="BG361" s="5"/>
      <c r="BH361" s="5"/>
      <c r="BI361" s="5"/>
      <c r="BJ361" s="24"/>
      <c r="BK361" s="22"/>
      <c r="BL361" s="23"/>
      <c r="BM361" s="22"/>
      <c r="BN361" s="22"/>
      <c r="BO361" s="22"/>
      <c r="BP361" s="22"/>
      <c r="BQ361" s="22"/>
      <c r="BR361" s="24"/>
      <c r="BS361" s="5"/>
    </row>
    <row r="362" spans="1:71" s="33" customFormat="1" ht="13.15" collapsed="1">
      <c r="A362" s="5"/>
      <c r="B362" s="5"/>
      <c r="C362" s="9" t="s">
        <v>223</v>
      </c>
      <c r="D362" s="14">
        <f t="shared" ref="D362:Y362" si="316">IF(D11="no","…",SUM(D363)-SUM(D394)-SUM(D428))</f>
        <v>42237</v>
      </c>
      <c r="E362" s="14">
        <f t="shared" si="316"/>
        <v>45866</v>
      </c>
      <c r="F362" s="14">
        <f t="shared" si="316"/>
        <v>46771</v>
      </c>
      <c r="G362" s="14">
        <f t="shared" si="316"/>
        <v>51789</v>
      </c>
      <c r="H362" s="14">
        <f t="shared" si="316"/>
        <v>62919</v>
      </c>
      <c r="I362" s="14">
        <f t="shared" si="316"/>
        <v>53908</v>
      </c>
      <c r="J362" s="14">
        <f t="shared" si="316"/>
        <v>61765</v>
      </c>
      <c r="K362" s="14">
        <f t="shared" si="316"/>
        <v>81203</v>
      </c>
      <c r="L362" s="14">
        <f t="shared" si="316"/>
        <v>87140</v>
      </c>
      <c r="M362" s="14">
        <f t="shared" si="316"/>
        <v>90522</v>
      </c>
      <c r="N362" s="14">
        <f t="shared" si="316"/>
        <v>101119</v>
      </c>
      <c r="O362" s="14">
        <f t="shared" si="316"/>
        <v>109508</v>
      </c>
      <c r="P362" s="14">
        <f t="shared" si="316"/>
        <v>118937</v>
      </c>
      <c r="Q362" s="14">
        <f t="shared" si="316"/>
        <v>125716</v>
      </c>
      <c r="R362" s="14">
        <f t="shared" si="316"/>
        <v>137518</v>
      </c>
      <c r="S362" s="14">
        <f t="shared" si="316"/>
        <v>144771</v>
      </c>
      <c r="T362" s="14">
        <f t="shared" si="316"/>
        <v>139873</v>
      </c>
      <c r="U362" s="14">
        <f t="shared" si="316"/>
        <v>138092</v>
      </c>
      <c r="V362" s="14" t="str">
        <f t="shared" si="316"/>
        <v>…</v>
      </c>
      <c r="W362" s="14" t="str">
        <f t="shared" si="316"/>
        <v>…</v>
      </c>
      <c r="X362" s="14" t="str">
        <f t="shared" si="316"/>
        <v>…</v>
      </c>
      <c r="Y362" s="14" t="str">
        <f t="shared" si="316"/>
        <v>…</v>
      </c>
      <c r="Z362" s="14"/>
      <c r="AA362" s="14"/>
      <c r="AB362" s="14"/>
      <c r="AC362" s="14"/>
      <c r="AD362" s="5"/>
      <c r="AE362" s="5"/>
      <c r="AF362" s="5"/>
      <c r="AG362" s="5"/>
      <c r="AY362" s="14"/>
      <c r="BD362" s="5"/>
      <c r="BE362" s="5"/>
      <c r="BF362" s="5"/>
      <c r="BG362" s="5"/>
      <c r="BH362" s="5"/>
      <c r="BI362" s="5"/>
      <c r="BJ362" s="24"/>
      <c r="BK362" s="22"/>
      <c r="BL362" s="23"/>
      <c r="BM362" s="22"/>
      <c r="BN362" s="22"/>
      <c r="BO362" s="22"/>
      <c r="BP362" s="22"/>
      <c r="BQ362" s="22"/>
      <c r="BR362" s="24"/>
      <c r="BS362" s="5"/>
    </row>
    <row r="363" spans="1:71" s="33" customFormat="1" ht="13.15">
      <c r="A363" s="5"/>
      <c r="B363" s="5"/>
      <c r="C363" s="9" t="s">
        <v>318</v>
      </c>
      <c r="D363" s="14">
        <f t="shared" ref="D363:M363" si="317">IF(ISNUMBER(D364),D364,IF(ISNUMBER(D365),D365,"…"))</f>
        <v>55391</v>
      </c>
      <c r="E363" s="14">
        <f t="shared" si="317"/>
        <v>57846</v>
      </c>
      <c r="F363" s="14">
        <f t="shared" si="317"/>
        <v>61229</v>
      </c>
      <c r="G363" s="14">
        <f t="shared" si="317"/>
        <v>68516</v>
      </c>
      <c r="H363" s="14">
        <f t="shared" si="317"/>
        <v>76163</v>
      </c>
      <c r="I363" s="14">
        <f t="shared" si="317"/>
        <v>77777</v>
      </c>
      <c r="J363" s="14">
        <f t="shared" si="317"/>
        <v>85936</v>
      </c>
      <c r="K363" s="14">
        <f t="shared" si="317"/>
        <v>105640</v>
      </c>
      <c r="L363" s="14">
        <f t="shared" si="317"/>
        <v>113061</v>
      </c>
      <c r="M363" s="14">
        <f t="shared" si="317"/>
        <v>122192</v>
      </c>
      <c r="N363" s="14">
        <f t="shared" ref="N363:T363" si="318">IF(ISNUMBER(N364),N364,IF(ISNUMBER(N365),N365,"…"))</f>
        <v>131103</v>
      </c>
      <c r="O363" s="14">
        <f t="shared" si="318"/>
        <v>145387</v>
      </c>
      <c r="P363" s="14">
        <f t="shared" si="318"/>
        <v>155722</v>
      </c>
      <c r="Q363" s="14">
        <f t="shared" si="318"/>
        <v>160112</v>
      </c>
      <c r="R363" s="14">
        <f t="shared" si="318"/>
        <v>183536</v>
      </c>
      <c r="S363" s="14">
        <f t="shared" si="318"/>
        <v>187463</v>
      </c>
      <c r="T363" s="14">
        <f t="shared" si="318"/>
        <v>194944</v>
      </c>
      <c r="U363" s="14">
        <f>IF(ISNUMBER(U364),U364,IF(ISNUMBER(U365),U365,"…"))</f>
        <v>200347</v>
      </c>
      <c r="V363" s="14" t="str">
        <f>IF(ISNUMBER(V364),V364,IF(ISNUMBER(V365),V365,"…"))</f>
        <v>…</v>
      </c>
      <c r="W363" s="14" t="str">
        <f>IF(ISNUMBER(W364),W364,IF(ISNUMBER(W365),W365,"…"))</f>
        <v>…</v>
      </c>
      <c r="X363" s="14" t="str">
        <f>IF(ISNUMBER(X364),X364,IF(ISNUMBER(X365),X365,"…"))</f>
        <v>…</v>
      </c>
      <c r="Y363" s="14" t="str">
        <f>IF(ISNUMBER(Y364),Y364,IF(ISNUMBER(Y365),Y365,"…"))</f>
        <v>…</v>
      </c>
      <c r="Z363" s="14"/>
      <c r="AA363" s="14"/>
      <c r="AB363" s="14"/>
      <c r="AC363" s="14"/>
      <c r="AD363" s="5"/>
      <c r="AE363" s="5"/>
      <c r="AF363" s="5"/>
      <c r="AG363" s="5"/>
      <c r="AY363" s="14"/>
      <c r="BD363" s="5"/>
      <c r="BE363" s="5"/>
      <c r="BF363" s="5"/>
      <c r="BG363" s="5"/>
      <c r="BH363" s="5"/>
      <c r="BI363" s="5"/>
      <c r="BJ363" s="24"/>
      <c r="BK363" s="22"/>
      <c r="BL363" s="23"/>
      <c r="BM363" s="22"/>
      <c r="BN363" s="22"/>
      <c r="BO363" s="22"/>
      <c r="BP363" s="22"/>
      <c r="BQ363" s="22"/>
      <c r="BR363" s="24"/>
      <c r="BS363" s="5"/>
    </row>
    <row r="364" spans="1:71" s="33" customFormat="1" hidden="1" outlineLevel="1">
      <c r="A364" s="5"/>
      <c r="B364" s="5" t="s">
        <v>224</v>
      </c>
      <c r="C364" s="38" t="s">
        <v>154</v>
      </c>
      <c r="D364" s="16">
        <v>55391</v>
      </c>
      <c r="E364" s="16">
        <v>57846</v>
      </c>
      <c r="F364" s="16">
        <v>61229</v>
      </c>
      <c r="G364" s="16">
        <v>68516</v>
      </c>
      <c r="H364" s="16">
        <v>76163</v>
      </c>
      <c r="I364" s="16">
        <v>77777</v>
      </c>
      <c r="J364" s="16">
        <v>85936</v>
      </c>
      <c r="K364" s="16">
        <v>105640</v>
      </c>
      <c r="L364" s="16">
        <v>113061</v>
      </c>
      <c r="M364" s="16">
        <v>122192</v>
      </c>
      <c r="N364" s="16">
        <v>131103</v>
      </c>
      <c r="O364" s="16">
        <v>145387</v>
      </c>
      <c r="P364" s="16">
        <v>155722</v>
      </c>
      <c r="Q364" s="16">
        <v>160112</v>
      </c>
      <c r="R364" s="16">
        <v>183536</v>
      </c>
      <c r="S364" s="16">
        <v>187463</v>
      </c>
      <c r="T364" s="16">
        <v>194944</v>
      </c>
      <c r="U364" s="16">
        <v>200347</v>
      </c>
      <c r="V364" s="16" t="s">
        <v>289</v>
      </c>
      <c r="W364" s="16"/>
      <c r="X364" s="16"/>
      <c r="Y364" s="16"/>
      <c r="Z364" s="16"/>
      <c r="AA364" s="16"/>
      <c r="AB364" s="25"/>
      <c r="AC364" s="25"/>
      <c r="AD364" s="5"/>
      <c r="AE364" s="5"/>
      <c r="AF364" s="5"/>
      <c r="AG364" s="5"/>
      <c r="AY364" s="16"/>
      <c r="BD364" s="5"/>
      <c r="BE364" s="5"/>
      <c r="BF364" s="5"/>
      <c r="BG364" s="5"/>
      <c r="BH364" s="5"/>
      <c r="BI364" s="5"/>
      <c r="BJ364" s="24"/>
      <c r="BK364" s="22"/>
      <c r="BL364" s="23"/>
      <c r="BM364" s="22"/>
      <c r="BN364" s="22"/>
      <c r="BO364" s="22"/>
      <c r="BP364" s="22"/>
      <c r="BQ364" s="22"/>
      <c r="BR364" s="24"/>
      <c r="BS364" s="5"/>
    </row>
    <row r="365" spans="1:71" s="33" customFormat="1" hidden="1" outlineLevel="1">
      <c r="A365" s="5"/>
      <c r="B365" s="5" t="s">
        <v>225</v>
      </c>
      <c r="C365" s="38" t="s">
        <v>161</v>
      </c>
      <c r="D365" s="16">
        <v>55391</v>
      </c>
      <c r="E365" s="16">
        <v>57846</v>
      </c>
      <c r="F365" s="16">
        <v>61229</v>
      </c>
      <c r="G365" s="16">
        <v>68516</v>
      </c>
      <c r="H365" s="16">
        <v>76163</v>
      </c>
      <c r="I365" s="16">
        <v>77777</v>
      </c>
      <c r="J365" s="16">
        <v>85936</v>
      </c>
      <c r="K365" s="16">
        <v>105640</v>
      </c>
      <c r="L365" s="16">
        <v>113061</v>
      </c>
      <c r="M365" s="16">
        <v>122192</v>
      </c>
      <c r="N365" s="16">
        <v>131103</v>
      </c>
      <c r="O365" s="16">
        <v>145387</v>
      </c>
      <c r="P365" s="16">
        <v>155722</v>
      </c>
      <c r="Q365" s="16">
        <v>160112</v>
      </c>
      <c r="R365" s="16">
        <v>183536</v>
      </c>
      <c r="S365" s="16">
        <v>187463</v>
      </c>
      <c r="T365" s="16">
        <v>194944</v>
      </c>
      <c r="U365" s="16">
        <v>200347</v>
      </c>
      <c r="V365" s="16" t="s">
        <v>289</v>
      </c>
      <c r="W365" s="16"/>
      <c r="X365" s="16"/>
      <c r="Y365" s="16"/>
      <c r="Z365" s="16"/>
      <c r="AA365" s="16"/>
      <c r="AB365" s="25"/>
      <c r="AC365" s="25"/>
      <c r="AD365" s="5"/>
      <c r="AE365" s="5"/>
      <c r="AF365" s="5"/>
      <c r="AG365" s="5"/>
      <c r="AY365" s="16"/>
      <c r="BD365" s="5"/>
      <c r="BE365" s="5"/>
      <c r="BF365" s="5"/>
      <c r="BG365" s="5"/>
      <c r="BH365" s="5"/>
      <c r="BI365" s="5"/>
      <c r="BJ365" s="24"/>
      <c r="BK365" s="22"/>
      <c r="BL365" s="23"/>
      <c r="BM365" s="22"/>
      <c r="BN365" s="22"/>
      <c r="BO365" s="22"/>
      <c r="BP365" s="22"/>
      <c r="BQ365" s="22"/>
      <c r="BR365" s="24"/>
      <c r="BS365" s="5"/>
    </row>
    <row r="366" spans="1:71" s="33" customFormat="1" hidden="1" outlineLevel="1">
      <c r="A366" s="5"/>
      <c r="B366" s="5"/>
      <c r="C366" s="5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20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24"/>
      <c r="BK366" s="22"/>
      <c r="BL366" s="23"/>
      <c r="BM366" s="22"/>
      <c r="BN366" s="22"/>
      <c r="BO366" s="22"/>
      <c r="BP366" s="22"/>
      <c r="BQ366" s="22"/>
      <c r="BR366" s="24"/>
      <c r="BS366" s="5"/>
    </row>
    <row r="367" spans="1:71" s="33" customFormat="1" ht="13.15" collapsed="1">
      <c r="A367" s="5"/>
      <c r="B367" s="5"/>
      <c r="C367" s="9" t="s">
        <v>226</v>
      </c>
      <c r="D367" s="14">
        <f t="shared" ref="D367:Y367" si="319">IF(D11="no","…",IF(ISNUMBER(D368),D368,IF(ISNUMBER(D371),D371,"…")))</f>
        <v>32461</v>
      </c>
      <c r="E367" s="14">
        <f t="shared" si="319"/>
        <v>32933</v>
      </c>
      <c r="F367" s="14">
        <f t="shared" si="319"/>
        <v>28379</v>
      </c>
      <c r="G367" s="14">
        <f t="shared" si="319"/>
        <v>27669</v>
      </c>
      <c r="H367" s="14">
        <f t="shared" si="319"/>
        <v>33160</v>
      </c>
      <c r="I367" s="14">
        <f t="shared" si="319"/>
        <v>24444</v>
      </c>
      <c r="J367" s="14">
        <f t="shared" si="319"/>
        <v>25847</v>
      </c>
      <c r="K367" s="14">
        <f t="shared" si="319"/>
        <v>31876</v>
      </c>
      <c r="L367" s="14">
        <f t="shared" si="319"/>
        <v>39424</v>
      </c>
      <c r="M367" s="14">
        <f t="shared" si="319"/>
        <v>42388</v>
      </c>
      <c r="N367" s="14">
        <f t="shared" si="319"/>
        <v>46169</v>
      </c>
      <c r="O367" s="14">
        <f t="shared" si="319"/>
        <v>83344</v>
      </c>
      <c r="P367" s="14">
        <f t="shared" si="319"/>
        <v>92472</v>
      </c>
      <c r="Q367" s="14">
        <f t="shared" si="319"/>
        <v>94965</v>
      </c>
      <c r="R367" s="14">
        <f t="shared" si="319"/>
        <v>101672</v>
      </c>
      <c r="S367" s="14">
        <f t="shared" si="319"/>
        <v>115090</v>
      </c>
      <c r="T367" s="14">
        <f t="shared" si="319"/>
        <v>114571</v>
      </c>
      <c r="U367" s="14">
        <f t="shared" si="319"/>
        <v>123393</v>
      </c>
      <c r="V367" s="14" t="str">
        <f t="shared" si="319"/>
        <v>…</v>
      </c>
      <c r="W367" s="14" t="str">
        <f t="shared" si="319"/>
        <v>…</v>
      </c>
      <c r="X367" s="14" t="str">
        <f t="shared" si="319"/>
        <v>…</v>
      </c>
      <c r="Y367" s="14" t="str">
        <f t="shared" si="319"/>
        <v>…</v>
      </c>
      <c r="Z367" s="14"/>
      <c r="AA367" s="14"/>
      <c r="AB367" s="14"/>
      <c r="AC367" s="14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14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24"/>
      <c r="BK367" s="22"/>
      <c r="BL367" s="23"/>
      <c r="BM367" s="22"/>
      <c r="BN367" s="22"/>
      <c r="BO367" s="22"/>
      <c r="BP367" s="22"/>
      <c r="BQ367" s="22"/>
      <c r="BR367" s="24"/>
      <c r="BS367" s="5"/>
    </row>
    <row r="368" spans="1:71" s="33" customFormat="1" ht="13.15" hidden="1" outlineLevel="1">
      <c r="A368" s="5"/>
      <c r="B368" s="5"/>
      <c r="C368" s="5" t="s">
        <v>227</v>
      </c>
      <c r="D368" s="25">
        <f t="shared" ref="D368:M368" si="320">IF(ISNUMBER(D369),D369,IF(ISNUMBER(D370),D370,"…"))</f>
        <v>32461</v>
      </c>
      <c r="E368" s="25">
        <f t="shared" si="320"/>
        <v>32933</v>
      </c>
      <c r="F368" s="25">
        <f t="shared" si="320"/>
        <v>28379</v>
      </c>
      <c r="G368" s="25">
        <f t="shared" si="320"/>
        <v>27669</v>
      </c>
      <c r="H368" s="25">
        <f t="shared" si="320"/>
        <v>33160</v>
      </c>
      <c r="I368" s="25">
        <f t="shared" si="320"/>
        <v>24444</v>
      </c>
      <c r="J368" s="25">
        <f t="shared" si="320"/>
        <v>25847</v>
      </c>
      <c r="K368" s="25">
        <f t="shared" si="320"/>
        <v>31876</v>
      </c>
      <c r="L368" s="25">
        <f>IF(ISNUMBER(L369),L369,IF(ISNUMBER(L370),L370,"…"))</f>
        <v>39424</v>
      </c>
      <c r="M368" s="25">
        <f t="shared" si="320"/>
        <v>42388</v>
      </c>
      <c r="N368" s="25">
        <f t="shared" ref="N368:T368" si="321">IF(ISNUMBER(N369),N369,IF(ISNUMBER(N370),N370,"…"))</f>
        <v>46169</v>
      </c>
      <c r="O368" s="25">
        <f t="shared" si="321"/>
        <v>83344</v>
      </c>
      <c r="P368" s="25">
        <f t="shared" si="321"/>
        <v>92472</v>
      </c>
      <c r="Q368" s="25">
        <f t="shared" si="321"/>
        <v>94965</v>
      </c>
      <c r="R368" s="25">
        <f t="shared" si="321"/>
        <v>101672</v>
      </c>
      <c r="S368" s="25">
        <f t="shared" si="321"/>
        <v>115090</v>
      </c>
      <c r="T368" s="25">
        <f t="shared" si="321"/>
        <v>114571</v>
      </c>
      <c r="U368" s="25">
        <f>IF(ISNUMBER(U369),U369,IF(ISNUMBER(U370),U370,"…"))</f>
        <v>123393</v>
      </c>
      <c r="V368" s="25" t="str">
        <f>IF(ISNUMBER(V369),V369,IF(ISNUMBER(V370),V370,"…"))</f>
        <v>…</v>
      </c>
      <c r="W368" s="25" t="str">
        <f>IF(ISNUMBER(W369),W369,IF(ISNUMBER(W370),W370,"…"))</f>
        <v>…</v>
      </c>
      <c r="X368" s="25" t="str">
        <f>IF(ISNUMBER(X369),X369,IF(ISNUMBER(X370),X370,"…"))</f>
        <v>…</v>
      </c>
      <c r="Y368" s="25" t="str">
        <f>IF(ISNUMBER(Y369),Y369,IF(ISNUMBER(Y370),Y370,"…"))</f>
        <v>…</v>
      </c>
      <c r="Z368" s="25"/>
      <c r="AA368" s="25"/>
      <c r="AB368" s="14"/>
      <c r="AC368" s="14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2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24"/>
      <c r="BK368" s="22"/>
      <c r="BL368" s="23"/>
      <c r="BM368" s="22"/>
      <c r="BN368" s="22"/>
      <c r="BO368" s="22"/>
      <c r="BP368" s="22"/>
      <c r="BQ368" s="22"/>
      <c r="BR368" s="24"/>
      <c r="BS368" s="5"/>
    </row>
    <row r="369" spans="1:71" s="33" customFormat="1" hidden="1" outlineLevel="1">
      <c r="A369" s="5"/>
      <c r="B369" s="5" t="s">
        <v>228</v>
      </c>
      <c r="C369" s="38" t="s">
        <v>154</v>
      </c>
      <c r="D369" s="16">
        <v>32461</v>
      </c>
      <c r="E369" s="16">
        <v>32933</v>
      </c>
      <c r="F369" s="16">
        <v>28379</v>
      </c>
      <c r="G369" s="16">
        <v>27669</v>
      </c>
      <c r="H369" s="16">
        <v>33160</v>
      </c>
      <c r="I369" s="16">
        <v>24444</v>
      </c>
      <c r="J369" s="16">
        <v>25847</v>
      </c>
      <c r="K369" s="16">
        <v>31876</v>
      </c>
      <c r="L369" s="16">
        <v>39424</v>
      </c>
      <c r="M369" s="16">
        <v>42388</v>
      </c>
      <c r="N369" s="16">
        <v>46169</v>
      </c>
      <c r="O369" s="16">
        <v>83344</v>
      </c>
      <c r="P369" s="16">
        <v>92472</v>
      </c>
      <c r="Q369" s="16">
        <v>94965</v>
      </c>
      <c r="R369" s="16">
        <v>101672</v>
      </c>
      <c r="S369" s="16">
        <v>115090</v>
      </c>
      <c r="T369" s="16">
        <v>114571</v>
      </c>
      <c r="U369" s="16">
        <v>123393</v>
      </c>
      <c r="V369" s="16" t="s">
        <v>289</v>
      </c>
      <c r="W369" s="16"/>
      <c r="X369" s="16"/>
      <c r="Y369" s="16"/>
      <c r="Z369" s="16"/>
      <c r="AA369" s="16"/>
      <c r="AB369" s="25"/>
      <c r="AC369" s="2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16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24"/>
      <c r="BK369" s="22"/>
      <c r="BL369" s="23"/>
      <c r="BM369" s="22"/>
      <c r="BN369" s="22"/>
      <c r="BO369" s="22"/>
      <c r="BP369" s="22"/>
      <c r="BQ369" s="22"/>
      <c r="BR369" s="24"/>
      <c r="BS369" s="5"/>
    </row>
    <row r="370" spans="1:71" s="33" customFormat="1" hidden="1" outlineLevel="1">
      <c r="A370" s="5"/>
      <c r="B370" s="5" t="s">
        <v>229</v>
      </c>
      <c r="C370" s="38" t="s">
        <v>161</v>
      </c>
      <c r="D370" s="16" t="s">
        <v>289</v>
      </c>
      <c r="E370" s="16" t="s">
        <v>289</v>
      </c>
      <c r="F370" s="16" t="s">
        <v>289</v>
      </c>
      <c r="G370" s="16" t="s">
        <v>289</v>
      </c>
      <c r="H370" s="16" t="s">
        <v>289</v>
      </c>
      <c r="I370" s="16" t="s">
        <v>289</v>
      </c>
      <c r="J370" s="16" t="s">
        <v>289</v>
      </c>
      <c r="K370" s="16" t="s">
        <v>289</v>
      </c>
      <c r="L370" s="16" t="s">
        <v>289</v>
      </c>
      <c r="M370" s="16" t="s">
        <v>289</v>
      </c>
      <c r="N370" s="16" t="s">
        <v>289</v>
      </c>
      <c r="O370" s="16" t="s">
        <v>289</v>
      </c>
      <c r="P370" s="16" t="s">
        <v>289</v>
      </c>
      <c r="Q370" s="16" t="s">
        <v>289</v>
      </c>
      <c r="R370" s="16" t="s">
        <v>289</v>
      </c>
      <c r="S370" s="16" t="s">
        <v>289</v>
      </c>
      <c r="T370" s="16" t="s">
        <v>289</v>
      </c>
      <c r="U370" s="16" t="s">
        <v>289</v>
      </c>
      <c r="V370" s="16" t="s">
        <v>289</v>
      </c>
      <c r="W370" s="16"/>
      <c r="X370" s="16"/>
      <c r="Y370" s="16"/>
      <c r="Z370" s="16"/>
      <c r="AA370" s="16"/>
      <c r="AB370" s="25"/>
      <c r="AC370" s="2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16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24"/>
      <c r="BK370" s="22"/>
      <c r="BL370" s="23"/>
      <c r="BM370" s="22"/>
      <c r="BN370" s="22"/>
      <c r="BO370" s="22"/>
      <c r="BP370" s="22"/>
      <c r="BQ370" s="22"/>
      <c r="BR370" s="24"/>
      <c r="BS370" s="5"/>
    </row>
    <row r="371" spans="1:71" s="33" customFormat="1" ht="13.15" hidden="1" outlineLevel="1">
      <c r="A371" s="5"/>
      <c r="B371" s="5"/>
      <c r="C371" s="5" t="s">
        <v>230</v>
      </c>
      <c r="D371" s="25">
        <f t="shared" ref="D371:Q371" si="322">IF(ISNUMBER(D372),D372,IF(ISNUMBER(D373),D373,"…"))</f>
        <v>23977</v>
      </c>
      <c r="E371" s="25">
        <f t="shared" si="322"/>
        <v>23051</v>
      </c>
      <c r="F371" s="25">
        <f t="shared" si="322"/>
        <v>20493</v>
      </c>
      <c r="G371" s="25">
        <f t="shared" si="322"/>
        <v>19490</v>
      </c>
      <c r="H371" s="25">
        <f t="shared" si="322"/>
        <v>23121</v>
      </c>
      <c r="I371" s="25">
        <f t="shared" si="322"/>
        <v>24444</v>
      </c>
      <c r="J371" s="25">
        <f t="shared" si="322"/>
        <v>25847</v>
      </c>
      <c r="K371" s="25">
        <f t="shared" si="322"/>
        <v>31876</v>
      </c>
      <c r="L371" s="25">
        <f t="shared" si="322"/>
        <v>39424</v>
      </c>
      <c r="M371" s="25">
        <f t="shared" si="322"/>
        <v>42389</v>
      </c>
      <c r="N371" s="25">
        <f t="shared" si="322"/>
        <v>46169</v>
      </c>
      <c r="O371" s="25">
        <f t="shared" si="322"/>
        <v>83344</v>
      </c>
      <c r="P371" s="25">
        <f t="shared" si="322"/>
        <v>92472</v>
      </c>
      <c r="Q371" s="25">
        <f t="shared" si="322"/>
        <v>94497</v>
      </c>
      <c r="R371" s="25">
        <f t="shared" ref="R371:Y371" si="323">IF(ISNUMBER(R372),R372,IF(ISNUMBER(R373),R373,"…"))</f>
        <v>101175</v>
      </c>
      <c r="S371" s="25">
        <f t="shared" si="323"/>
        <v>115090</v>
      </c>
      <c r="T371" s="25">
        <f t="shared" si="323"/>
        <v>114570</v>
      </c>
      <c r="U371" s="25">
        <f t="shared" si="323"/>
        <v>123394</v>
      </c>
      <c r="V371" s="25" t="str">
        <f t="shared" si="323"/>
        <v>…</v>
      </c>
      <c r="W371" s="25" t="str">
        <f t="shared" si="323"/>
        <v>…</v>
      </c>
      <c r="X371" s="25" t="str">
        <f t="shared" si="323"/>
        <v>…</v>
      </c>
      <c r="Y371" s="25" t="str">
        <f t="shared" si="323"/>
        <v>…</v>
      </c>
      <c r="Z371" s="25"/>
      <c r="AA371" s="25"/>
      <c r="AB371" s="14"/>
      <c r="AC371" s="14"/>
      <c r="AD371" s="24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2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24"/>
      <c r="BK371" s="22"/>
      <c r="BL371" s="23"/>
      <c r="BM371" s="22"/>
      <c r="BN371" s="22"/>
      <c r="BO371" s="22"/>
      <c r="BP371" s="22"/>
      <c r="BQ371" s="22"/>
      <c r="BR371" s="24"/>
      <c r="BS371" s="5"/>
    </row>
    <row r="372" spans="1:71" s="33" customFormat="1" hidden="1" outlineLevel="1" collapsed="1">
      <c r="A372" s="5"/>
      <c r="B372" s="5" t="s">
        <v>231</v>
      </c>
      <c r="C372" s="38" t="s">
        <v>154</v>
      </c>
      <c r="D372" s="16">
        <v>23977</v>
      </c>
      <c r="E372" s="16">
        <v>23051</v>
      </c>
      <c r="F372" s="16">
        <v>20493</v>
      </c>
      <c r="G372" s="16">
        <v>19490</v>
      </c>
      <c r="H372" s="16">
        <v>23121</v>
      </c>
      <c r="I372" s="16">
        <v>24444</v>
      </c>
      <c r="J372" s="16">
        <v>25847</v>
      </c>
      <c r="K372" s="16">
        <v>31876</v>
      </c>
      <c r="L372" s="16">
        <v>39424</v>
      </c>
      <c r="M372" s="16">
        <v>42389</v>
      </c>
      <c r="N372" s="16">
        <v>46169</v>
      </c>
      <c r="O372" s="16">
        <v>83344</v>
      </c>
      <c r="P372" s="16">
        <v>92472</v>
      </c>
      <c r="Q372" s="16">
        <v>94497</v>
      </c>
      <c r="R372" s="16">
        <v>101175</v>
      </c>
      <c r="S372" s="16">
        <v>115090</v>
      </c>
      <c r="T372" s="16">
        <v>114570</v>
      </c>
      <c r="U372" s="16">
        <v>123394</v>
      </c>
      <c r="V372" s="16" t="s">
        <v>289</v>
      </c>
      <c r="W372" s="16"/>
      <c r="X372" s="16"/>
      <c r="Y372" s="16"/>
      <c r="Z372" s="16"/>
      <c r="AA372" s="16"/>
      <c r="AB372" s="25"/>
      <c r="AC372" s="25"/>
      <c r="AD372" s="24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16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24"/>
      <c r="BK372" s="22"/>
      <c r="BL372" s="23"/>
      <c r="BM372" s="22"/>
      <c r="BN372" s="22"/>
      <c r="BO372" s="22"/>
      <c r="BP372" s="22"/>
      <c r="BQ372" s="22"/>
      <c r="BR372" s="24"/>
      <c r="BS372" s="5"/>
    </row>
    <row r="373" spans="1:71" s="33" customFormat="1" hidden="1" outlineLevel="1">
      <c r="A373" s="5"/>
      <c r="B373" s="5" t="s">
        <v>232</v>
      </c>
      <c r="C373" s="38" t="s">
        <v>161</v>
      </c>
      <c r="D373" s="16">
        <v>32461</v>
      </c>
      <c r="E373" s="16">
        <v>32933</v>
      </c>
      <c r="F373" s="16">
        <v>28379</v>
      </c>
      <c r="G373" s="16">
        <v>27669</v>
      </c>
      <c r="H373" s="16">
        <v>33160</v>
      </c>
      <c r="I373" s="16">
        <v>24444</v>
      </c>
      <c r="J373" s="16">
        <v>25847</v>
      </c>
      <c r="K373" s="16">
        <v>31876</v>
      </c>
      <c r="L373" s="16">
        <v>39424</v>
      </c>
      <c r="M373" s="16">
        <v>42389</v>
      </c>
      <c r="N373" s="16">
        <v>46169</v>
      </c>
      <c r="O373" s="16">
        <v>83344</v>
      </c>
      <c r="P373" s="16">
        <v>92472</v>
      </c>
      <c r="Q373" s="16">
        <v>94965</v>
      </c>
      <c r="R373" s="16">
        <v>101672</v>
      </c>
      <c r="S373" s="16">
        <v>115090</v>
      </c>
      <c r="T373" s="16">
        <v>114570</v>
      </c>
      <c r="U373" s="16">
        <v>123394</v>
      </c>
      <c r="V373" s="16" t="s">
        <v>289</v>
      </c>
      <c r="W373" s="16"/>
      <c r="X373" s="16"/>
      <c r="Y373" s="16"/>
      <c r="Z373" s="16"/>
      <c r="AA373" s="16"/>
      <c r="AB373" s="25"/>
      <c r="AC373" s="25"/>
      <c r="AD373" s="24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16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24"/>
      <c r="BK373" s="22"/>
      <c r="BL373" s="23"/>
      <c r="BM373" s="22"/>
      <c r="BN373" s="22"/>
      <c r="BO373" s="22"/>
      <c r="BP373" s="22"/>
      <c r="BQ373" s="22"/>
      <c r="BR373" s="24"/>
      <c r="BS373" s="5"/>
    </row>
    <row r="374" spans="1:71" s="33" customFormat="1" hidden="1" outlineLevel="1">
      <c r="A374" s="5"/>
      <c r="B374" s="5"/>
      <c r="C374" s="38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25"/>
      <c r="AC374" s="25"/>
      <c r="AD374" s="24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16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24"/>
      <c r="BK374" s="22"/>
      <c r="BL374" s="23"/>
      <c r="BM374" s="22"/>
      <c r="BN374" s="22"/>
      <c r="BO374" s="22"/>
      <c r="BP374" s="22"/>
      <c r="BQ374" s="22"/>
      <c r="BR374" s="24"/>
      <c r="BS374" s="5"/>
    </row>
    <row r="375" spans="1:71" s="33" customFormat="1" ht="13.15" collapsed="1">
      <c r="A375" s="5"/>
      <c r="B375" s="5"/>
      <c r="C375" s="9" t="s">
        <v>306</v>
      </c>
      <c r="D375" s="14">
        <f t="shared" ref="D375:Y375" si="324">IF(D11="no","…",IF(ISNUMBER(D385),D385,IF(ISNUMBER(D376),D376,IF(ISNUMBER(D378),D378,"…"))))</f>
        <v>7265</v>
      </c>
      <c r="E375" s="14">
        <f t="shared" si="324"/>
        <v>7430</v>
      </c>
      <c r="F375" s="14">
        <f t="shared" si="324"/>
        <v>6998</v>
      </c>
      <c r="G375" s="14">
        <f t="shared" si="324"/>
        <v>6629</v>
      </c>
      <c r="H375" s="14">
        <f t="shared" si="324"/>
        <v>9520</v>
      </c>
      <c r="I375" s="14">
        <f t="shared" si="324"/>
        <v>9978</v>
      </c>
      <c r="J375" s="14">
        <f t="shared" si="324"/>
        <v>9694</v>
      </c>
      <c r="K375" s="14">
        <f t="shared" si="324"/>
        <v>17842</v>
      </c>
      <c r="L375" s="14">
        <f t="shared" si="324"/>
        <v>35222</v>
      </c>
      <c r="M375" s="14">
        <f t="shared" si="324"/>
        <v>35513</v>
      </c>
      <c r="N375" s="14">
        <f t="shared" si="324"/>
        <v>36358</v>
      </c>
      <c r="O375" s="14">
        <f t="shared" si="324"/>
        <v>37501</v>
      </c>
      <c r="P375" s="14">
        <f t="shared" si="324"/>
        <v>39040</v>
      </c>
      <c r="Q375" s="14">
        <f t="shared" si="324"/>
        <v>39977</v>
      </c>
      <c r="R375" s="14">
        <f t="shared" si="324"/>
        <v>41296</v>
      </c>
      <c r="S375" s="14">
        <f t="shared" si="324"/>
        <v>42967</v>
      </c>
      <c r="T375" s="14">
        <f t="shared" si="324"/>
        <v>44650</v>
      </c>
      <c r="U375" s="14">
        <f t="shared" si="324"/>
        <v>51515</v>
      </c>
      <c r="V375" s="14" t="str">
        <f t="shared" si="324"/>
        <v>…</v>
      </c>
      <c r="W375" s="14" t="str">
        <f t="shared" si="324"/>
        <v>…</v>
      </c>
      <c r="X375" s="14" t="str">
        <f t="shared" si="324"/>
        <v>…</v>
      </c>
      <c r="Y375" s="14" t="str">
        <f t="shared" si="324"/>
        <v>…</v>
      </c>
      <c r="Z375" s="14"/>
      <c r="AA375" s="14"/>
      <c r="AB375" s="14"/>
      <c r="AC375" s="14"/>
      <c r="AD375" s="24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14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24"/>
      <c r="BK375" s="22"/>
      <c r="BL375" s="23"/>
      <c r="BM375" s="22"/>
      <c r="BN375" s="22"/>
      <c r="BO375" s="22"/>
      <c r="BP375" s="22"/>
      <c r="BQ375" s="22"/>
      <c r="BR375" s="24"/>
      <c r="BS375" s="5"/>
    </row>
    <row r="376" spans="1:71" s="33" customFormat="1" ht="13.15" hidden="1" outlineLevel="1">
      <c r="A376" s="5"/>
      <c r="B376" s="5"/>
      <c r="C376" s="5" t="s">
        <v>233</v>
      </c>
      <c r="D376" s="25" t="str">
        <f>IF(ISNUMBER(D377),D377,"…")</f>
        <v>…</v>
      </c>
      <c r="E376" s="25" t="str">
        <f t="shared" ref="E376:Y376" si="325">IF(ISNUMBER(E377),E377,"…")</f>
        <v>…</v>
      </c>
      <c r="F376" s="25" t="str">
        <f t="shared" si="325"/>
        <v>…</v>
      </c>
      <c r="G376" s="25" t="str">
        <f t="shared" si="325"/>
        <v>…</v>
      </c>
      <c r="H376" s="25" t="str">
        <f t="shared" si="325"/>
        <v>…</v>
      </c>
      <c r="I376" s="25" t="str">
        <f t="shared" si="325"/>
        <v>…</v>
      </c>
      <c r="J376" s="25" t="str">
        <f t="shared" si="325"/>
        <v>…</v>
      </c>
      <c r="K376" s="25" t="str">
        <f t="shared" si="325"/>
        <v>…</v>
      </c>
      <c r="L376" s="25" t="str">
        <f t="shared" si="325"/>
        <v>…</v>
      </c>
      <c r="M376" s="25" t="str">
        <f t="shared" si="325"/>
        <v>…</v>
      </c>
      <c r="N376" s="25" t="str">
        <f t="shared" si="325"/>
        <v>…</v>
      </c>
      <c r="O376" s="25" t="str">
        <f t="shared" si="325"/>
        <v>…</v>
      </c>
      <c r="P376" s="25" t="str">
        <f t="shared" si="325"/>
        <v>…</v>
      </c>
      <c r="Q376" s="25" t="str">
        <f t="shared" si="325"/>
        <v>…</v>
      </c>
      <c r="R376" s="25" t="str">
        <f t="shared" si="325"/>
        <v>…</v>
      </c>
      <c r="S376" s="25" t="str">
        <f t="shared" si="325"/>
        <v>…</v>
      </c>
      <c r="T376" s="25" t="str">
        <f t="shared" si="325"/>
        <v>…</v>
      </c>
      <c r="U376" s="25" t="str">
        <f t="shared" si="325"/>
        <v>…</v>
      </c>
      <c r="V376" s="25" t="str">
        <f t="shared" si="325"/>
        <v>…</v>
      </c>
      <c r="W376" s="25" t="str">
        <f t="shared" si="325"/>
        <v>…</v>
      </c>
      <c r="X376" s="25" t="str">
        <f t="shared" si="325"/>
        <v>…</v>
      </c>
      <c r="Y376" s="25" t="str">
        <f t="shared" si="325"/>
        <v>…</v>
      </c>
      <c r="Z376" s="25"/>
      <c r="AA376" s="25"/>
      <c r="AB376" s="14"/>
      <c r="AC376" s="14"/>
      <c r="AD376" s="24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2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24"/>
      <c r="BK376" s="22"/>
      <c r="BL376" s="23"/>
      <c r="BM376" s="22"/>
      <c r="BN376" s="22"/>
      <c r="BO376" s="22"/>
      <c r="BP376" s="22"/>
      <c r="BQ376" s="22"/>
      <c r="BR376" s="24"/>
      <c r="BS376" s="5"/>
    </row>
    <row r="377" spans="1:71" s="33" customFormat="1" hidden="1" outlineLevel="1">
      <c r="A377" s="5"/>
      <c r="B377" s="5" t="s">
        <v>238</v>
      </c>
      <c r="C377" s="38" t="s">
        <v>154</v>
      </c>
      <c r="D377" s="16" t="s">
        <v>289</v>
      </c>
      <c r="E377" s="16" t="s">
        <v>289</v>
      </c>
      <c r="F377" s="16" t="s">
        <v>289</v>
      </c>
      <c r="G377" s="16" t="s">
        <v>289</v>
      </c>
      <c r="H377" s="16" t="s">
        <v>289</v>
      </c>
      <c r="I377" s="16" t="s">
        <v>289</v>
      </c>
      <c r="J377" s="16" t="s">
        <v>289</v>
      </c>
      <c r="K377" s="16" t="s">
        <v>289</v>
      </c>
      <c r="L377" s="16" t="s">
        <v>289</v>
      </c>
      <c r="M377" s="16" t="s">
        <v>289</v>
      </c>
      <c r="N377" s="16" t="s">
        <v>289</v>
      </c>
      <c r="O377" s="16" t="s">
        <v>289</v>
      </c>
      <c r="P377" s="16" t="s">
        <v>289</v>
      </c>
      <c r="Q377" s="16" t="s">
        <v>289</v>
      </c>
      <c r="R377" s="16" t="s">
        <v>289</v>
      </c>
      <c r="S377" s="16" t="s">
        <v>289</v>
      </c>
      <c r="T377" s="16" t="s">
        <v>289</v>
      </c>
      <c r="U377" s="16" t="s">
        <v>289</v>
      </c>
      <c r="V377" s="16" t="s">
        <v>289</v>
      </c>
      <c r="W377" s="16"/>
      <c r="X377" s="16"/>
      <c r="Y377" s="16"/>
      <c r="Z377" s="16"/>
      <c r="AA377" s="16"/>
      <c r="AB377" s="25"/>
      <c r="AC377" s="25"/>
      <c r="AD377" s="24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16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24"/>
      <c r="BK377" s="22"/>
      <c r="BL377" s="23"/>
      <c r="BM377" s="22"/>
      <c r="BN377" s="22"/>
      <c r="BO377" s="22"/>
      <c r="BP377" s="22"/>
      <c r="BQ377" s="22"/>
      <c r="BR377" s="24"/>
      <c r="BS377" s="5"/>
    </row>
    <row r="378" spans="1:71" s="33" customFormat="1" hidden="1" outlineLevel="1">
      <c r="A378" s="5"/>
      <c r="B378" s="5"/>
      <c r="C378" s="5" t="s">
        <v>235</v>
      </c>
      <c r="D378" s="25">
        <f>IFERROR(D379+SUM(D383),"…")</f>
        <v>7490</v>
      </c>
      <c r="E378" s="25" t="str">
        <f t="shared" ref="E378:M378" si="326">IFERROR(E379+SUM(E383),"…")</f>
        <v>…</v>
      </c>
      <c r="F378" s="25" t="str">
        <f t="shared" si="326"/>
        <v>…</v>
      </c>
      <c r="G378" s="25" t="str">
        <f t="shared" si="326"/>
        <v>…</v>
      </c>
      <c r="H378" s="25">
        <f t="shared" si="326"/>
        <v>4317</v>
      </c>
      <c r="I378" s="25">
        <f t="shared" si="326"/>
        <v>925</v>
      </c>
      <c r="J378" s="25">
        <f t="shared" si="326"/>
        <v>2713</v>
      </c>
      <c r="K378" s="25">
        <f t="shared" si="326"/>
        <v>7748</v>
      </c>
      <c r="L378" s="25">
        <f t="shared" si="326"/>
        <v>5282</v>
      </c>
      <c r="M378" s="25">
        <f t="shared" si="326"/>
        <v>4282</v>
      </c>
      <c r="N378" s="25">
        <f t="shared" ref="N378:T378" si="327">IFERROR(N379+SUM(N383),"…")</f>
        <v>3654</v>
      </c>
      <c r="O378" s="25">
        <f t="shared" si="327"/>
        <v>3058</v>
      </c>
      <c r="P378" s="25">
        <f t="shared" si="327"/>
        <v>2527</v>
      </c>
      <c r="Q378" s="25">
        <f t="shared" si="327"/>
        <v>2093</v>
      </c>
      <c r="R378" s="25">
        <f t="shared" si="327"/>
        <v>2004</v>
      </c>
      <c r="S378" s="25">
        <f t="shared" si="327"/>
        <v>2189</v>
      </c>
      <c r="T378" s="25">
        <f t="shared" si="327"/>
        <v>2288</v>
      </c>
      <c r="U378" s="25">
        <f>IFERROR(U379+SUM(U383),"…")</f>
        <v>5059</v>
      </c>
      <c r="V378" s="25" t="str">
        <f>IFERROR(V379+SUM(V383),"…")</f>
        <v>…</v>
      </c>
      <c r="W378" s="25" t="str">
        <f>IFERROR(W379+SUM(W383),"…")</f>
        <v>…</v>
      </c>
      <c r="X378" s="25" t="str">
        <f>IFERROR(X379+SUM(X383),"…")</f>
        <v>…</v>
      </c>
      <c r="Y378" s="25" t="str">
        <f>IFERROR(Y379+SUM(Y383),"…")</f>
        <v>…</v>
      </c>
      <c r="Z378" s="25"/>
      <c r="AA378" s="25"/>
      <c r="AD378" s="25" t="s">
        <v>307</v>
      </c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2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24"/>
      <c r="BK378" s="22"/>
      <c r="BL378" s="23"/>
      <c r="BM378" s="22"/>
      <c r="BN378" s="22"/>
      <c r="BO378" s="22"/>
      <c r="BP378" s="22"/>
      <c r="BQ378" s="22"/>
      <c r="BR378" s="24"/>
      <c r="BS378" s="5"/>
    </row>
    <row r="379" spans="1:71" s="33" customFormat="1" ht="13.15" hidden="1" outlineLevel="1">
      <c r="A379" s="5"/>
      <c r="B379" s="5"/>
      <c r="C379" s="38" t="s">
        <v>239</v>
      </c>
      <c r="D379" s="25">
        <f>IF(ISNUMBER(D380),D380,IF(ISNUMBER(D381),D381,IF(ISNUMBER(D382),D382,"…")))</f>
        <v>7490</v>
      </c>
      <c r="E379" s="25" t="str">
        <f t="shared" ref="E379:M379" si="328">IF(ISNUMBER(E380),E380,IF(ISNUMBER(E381),E381,IF(ISNUMBER(E382),E382,"…")))</f>
        <v>…</v>
      </c>
      <c r="F379" s="25" t="str">
        <f t="shared" si="328"/>
        <v>…</v>
      </c>
      <c r="G379" s="25" t="str">
        <f t="shared" si="328"/>
        <v>…</v>
      </c>
      <c r="H379" s="25">
        <f t="shared" si="328"/>
        <v>4317</v>
      </c>
      <c r="I379" s="25">
        <f t="shared" si="328"/>
        <v>925</v>
      </c>
      <c r="J379" s="25">
        <f t="shared" si="328"/>
        <v>2713</v>
      </c>
      <c r="K379" s="25">
        <f t="shared" si="328"/>
        <v>7748</v>
      </c>
      <c r="L379" s="25">
        <f t="shared" si="328"/>
        <v>5282</v>
      </c>
      <c r="M379" s="25">
        <f t="shared" si="328"/>
        <v>4282</v>
      </c>
      <c r="N379" s="25">
        <f t="shared" ref="N379:T379" si="329">IF(ISNUMBER(N380),N380,IF(ISNUMBER(N381),N381,IF(ISNUMBER(N382),N382,"…")))</f>
        <v>3654</v>
      </c>
      <c r="O379" s="25">
        <f t="shared" si="329"/>
        <v>3058</v>
      </c>
      <c r="P379" s="25">
        <f t="shared" si="329"/>
        <v>2527</v>
      </c>
      <c r="Q379" s="25">
        <f t="shared" si="329"/>
        <v>2093</v>
      </c>
      <c r="R379" s="25">
        <f t="shared" si="329"/>
        <v>2004</v>
      </c>
      <c r="S379" s="25">
        <f t="shared" si="329"/>
        <v>2189</v>
      </c>
      <c r="T379" s="25">
        <f t="shared" si="329"/>
        <v>2288</v>
      </c>
      <c r="U379" s="25">
        <f>IF(ISNUMBER(U380),U380,IF(ISNUMBER(U381),U381,IF(ISNUMBER(U382),U382,"…")))</f>
        <v>5059</v>
      </c>
      <c r="V379" s="25" t="str">
        <f>IF(ISNUMBER(V380),V380,IF(ISNUMBER(V381),V381,IF(ISNUMBER(V382),V382,"…")))</f>
        <v>…</v>
      </c>
      <c r="W379" s="25" t="str">
        <f>IF(ISNUMBER(W380),W380,IF(ISNUMBER(W381),W381,IF(ISNUMBER(W382),W382,"…")))</f>
        <v>…</v>
      </c>
      <c r="X379" s="25" t="str">
        <f>IF(ISNUMBER(X380),X380,IF(ISNUMBER(X381),X381,IF(ISNUMBER(X382),X382,"…")))</f>
        <v>…</v>
      </c>
      <c r="Y379" s="25" t="str">
        <f>IF(ISNUMBER(Y380),Y380,IF(ISNUMBER(Y381),Y381,IF(ISNUMBER(Y382),Y382,"…")))</f>
        <v>…</v>
      </c>
      <c r="Z379" s="25"/>
      <c r="AA379" s="25"/>
      <c r="AB379" s="14"/>
      <c r="AC379" s="14"/>
      <c r="AD379" s="24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2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24"/>
      <c r="BK379" s="22"/>
      <c r="BL379" s="23"/>
      <c r="BM379" s="22"/>
      <c r="BN379" s="22"/>
      <c r="BO379" s="22"/>
      <c r="BP379" s="22"/>
      <c r="BQ379" s="22"/>
      <c r="BR379" s="24"/>
      <c r="BS379" s="5"/>
    </row>
    <row r="380" spans="1:71" s="33" customFormat="1" hidden="1" outlineLevel="1">
      <c r="A380" s="5"/>
      <c r="B380" s="5" t="s">
        <v>240</v>
      </c>
      <c r="C380" s="43" t="s">
        <v>154</v>
      </c>
      <c r="D380" s="16">
        <v>7490</v>
      </c>
      <c r="E380" s="16" t="s">
        <v>289</v>
      </c>
      <c r="F380" s="16" t="s">
        <v>289</v>
      </c>
      <c r="G380" s="16" t="s">
        <v>289</v>
      </c>
      <c r="H380" s="16" t="s">
        <v>289</v>
      </c>
      <c r="I380" s="16" t="s">
        <v>289</v>
      </c>
      <c r="J380" s="16" t="s">
        <v>289</v>
      </c>
      <c r="K380" s="16" t="s">
        <v>289</v>
      </c>
      <c r="L380" s="16" t="s">
        <v>289</v>
      </c>
      <c r="M380" s="16" t="s">
        <v>289</v>
      </c>
      <c r="N380" s="16" t="s">
        <v>289</v>
      </c>
      <c r="O380" s="16" t="s">
        <v>289</v>
      </c>
      <c r="P380" s="16" t="s">
        <v>289</v>
      </c>
      <c r="Q380" s="16" t="s">
        <v>289</v>
      </c>
      <c r="R380" s="16" t="s">
        <v>289</v>
      </c>
      <c r="S380" s="16" t="s">
        <v>289</v>
      </c>
      <c r="T380" s="16" t="s">
        <v>289</v>
      </c>
      <c r="U380" s="16" t="s">
        <v>289</v>
      </c>
      <c r="V380" s="16" t="s">
        <v>289</v>
      </c>
      <c r="W380" s="16"/>
      <c r="X380" s="16"/>
      <c r="Y380" s="16"/>
      <c r="Z380" s="16"/>
      <c r="AA380" s="16"/>
      <c r="AB380" s="25"/>
      <c r="AC380" s="25"/>
      <c r="AD380" s="24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16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24"/>
      <c r="BK380" s="22"/>
      <c r="BL380" s="23"/>
      <c r="BM380" s="22"/>
      <c r="BN380" s="22"/>
      <c r="BO380" s="22"/>
      <c r="BP380" s="22"/>
      <c r="BQ380" s="22"/>
      <c r="BR380" s="24"/>
      <c r="BS380" s="5"/>
    </row>
    <row r="381" spans="1:71" s="33" customFormat="1" hidden="1" outlineLevel="1">
      <c r="A381" s="5"/>
      <c r="B381" s="5" t="s">
        <v>241</v>
      </c>
      <c r="C381" s="43" t="s">
        <v>161</v>
      </c>
      <c r="D381" s="16" t="s">
        <v>289</v>
      </c>
      <c r="E381" s="16" t="s">
        <v>289</v>
      </c>
      <c r="F381" s="16" t="s">
        <v>289</v>
      </c>
      <c r="G381" s="16" t="s">
        <v>289</v>
      </c>
      <c r="H381" s="16">
        <v>4317</v>
      </c>
      <c r="I381" s="16">
        <v>925</v>
      </c>
      <c r="J381" s="16">
        <v>2713</v>
      </c>
      <c r="K381" s="16">
        <v>7748</v>
      </c>
      <c r="L381" s="16">
        <v>5282</v>
      </c>
      <c r="M381" s="16">
        <v>4282</v>
      </c>
      <c r="N381" s="16">
        <v>3654</v>
      </c>
      <c r="O381" s="16">
        <v>3058</v>
      </c>
      <c r="P381" s="16">
        <v>2527</v>
      </c>
      <c r="Q381" s="16">
        <v>2093</v>
      </c>
      <c r="R381" s="16">
        <v>2004</v>
      </c>
      <c r="S381" s="16">
        <v>2189</v>
      </c>
      <c r="T381" s="16">
        <v>2288</v>
      </c>
      <c r="U381" s="16">
        <v>5059</v>
      </c>
      <c r="V381" s="16" t="s">
        <v>289</v>
      </c>
      <c r="W381" s="16"/>
      <c r="X381" s="16"/>
      <c r="Y381" s="16"/>
      <c r="Z381" s="16"/>
      <c r="AA381" s="16"/>
      <c r="AB381" s="25"/>
      <c r="AC381" s="25"/>
      <c r="AD381" s="24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16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24"/>
      <c r="BK381" s="22"/>
      <c r="BL381" s="23"/>
      <c r="BM381" s="22"/>
      <c r="BN381" s="22"/>
      <c r="BO381" s="22"/>
      <c r="BP381" s="22"/>
      <c r="BQ381" s="22"/>
      <c r="BR381" s="24"/>
      <c r="BS381" s="5"/>
    </row>
    <row r="382" spans="1:71" s="33" customFormat="1" hidden="1" outlineLevel="1">
      <c r="A382" s="5"/>
      <c r="B382" s="5" t="s">
        <v>242</v>
      </c>
      <c r="C382" s="43" t="s">
        <v>163</v>
      </c>
      <c r="D382" s="16" t="s">
        <v>289</v>
      </c>
      <c r="E382" s="16" t="s">
        <v>289</v>
      </c>
      <c r="F382" s="16" t="s">
        <v>289</v>
      </c>
      <c r="G382" s="16" t="s">
        <v>289</v>
      </c>
      <c r="H382" s="16" t="s">
        <v>289</v>
      </c>
      <c r="I382" s="16" t="s">
        <v>289</v>
      </c>
      <c r="J382" s="16" t="s">
        <v>289</v>
      </c>
      <c r="K382" s="16" t="s">
        <v>289</v>
      </c>
      <c r="L382" s="16" t="s">
        <v>289</v>
      </c>
      <c r="M382" s="16" t="s">
        <v>289</v>
      </c>
      <c r="N382" s="16" t="s">
        <v>289</v>
      </c>
      <c r="O382" s="16" t="s">
        <v>289</v>
      </c>
      <c r="P382" s="16" t="s">
        <v>289</v>
      </c>
      <c r="Q382" s="16" t="s">
        <v>289</v>
      </c>
      <c r="R382" s="16" t="s">
        <v>289</v>
      </c>
      <c r="S382" s="16" t="s">
        <v>289</v>
      </c>
      <c r="T382" s="16" t="s">
        <v>289</v>
      </c>
      <c r="U382" s="16" t="s">
        <v>289</v>
      </c>
      <c r="V382" s="16" t="s">
        <v>289</v>
      </c>
      <c r="W382" s="16"/>
      <c r="X382" s="16"/>
      <c r="Y382" s="16"/>
      <c r="Z382" s="16"/>
      <c r="AA382" s="16"/>
      <c r="AB382" s="25"/>
      <c r="AC382" s="25"/>
      <c r="AD382" s="24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16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24"/>
      <c r="BK382" s="22"/>
      <c r="BL382" s="23"/>
      <c r="BM382" s="22"/>
      <c r="BN382" s="22"/>
      <c r="BO382" s="22"/>
      <c r="BP382" s="22"/>
      <c r="BQ382" s="22"/>
      <c r="BR382" s="24"/>
      <c r="BS382" s="5"/>
    </row>
    <row r="383" spans="1:71" s="33" customFormat="1" hidden="1" outlineLevel="1">
      <c r="A383" s="5"/>
      <c r="B383" s="5"/>
      <c r="C383" s="38" t="s">
        <v>243</v>
      </c>
      <c r="D383" s="25" t="str">
        <f>IF(ISNUMBER(D384),D384,"…")</f>
        <v>…</v>
      </c>
      <c r="E383" s="25" t="str">
        <f t="shared" ref="E383:Y383" si="330">IF(ISNUMBER(E384),E384,"…")</f>
        <v>…</v>
      </c>
      <c r="F383" s="25" t="str">
        <f t="shared" si="330"/>
        <v>…</v>
      </c>
      <c r="G383" s="25" t="str">
        <f t="shared" si="330"/>
        <v>…</v>
      </c>
      <c r="H383" s="25" t="str">
        <f t="shared" si="330"/>
        <v>…</v>
      </c>
      <c r="I383" s="25" t="str">
        <f t="shared" si="330"/>
        <v>…</v>
      </c>
      <c r="J383" s="25" t="str">
        <f t="shared" si="330"/>
        <v>…</v>
      </c>
      <c r="K383" s="25" t="str">
        <f t="shared" si="330"/>
        <v>…</v>
      </c>
      <c r="L383" s="25" t="str">
        <f t="shared" si="330"/>
        <v>…</v>
      </c>
      <c r="M383" s="25" t="str">
        <f t="shared" si="330"/>
        <v>…</v>
      </c>
      <c r="N383" s="25" t="str">
        <f t="shared" si="330"/>
        <v>…</v>
      </c>
      <c r="O383" s="25" t="str">
        <f t="shared" si="330"/>
        <v>…</v>
      </c>
      <c r="P383" s="25" t="str">
        <f t="shared" si="330"/>
        <v>…</v>
      </c>
      <c r="Q383" s="25" t="str">
        <f t="shared" si="330"/>
        <v>…</v>
      </c>
      <c r="R383" s="25" t="str">
        <f t="shared" si="330"/>
        <v>…</v>
      </c>
      <c r="S383" s="25" t="str">
        <f t="shared" si="330"/>
        <v>…</v>
      </c>
      <c r="T383" s="25" t="str">
        <f t="shared" si="330"/>
        <v>…</v>
      </c>
      <c r="U383" s="25" t="str">
        <f t="shared" si="330"/>
        <v>…</v>
      </c>
      <c r="V383" s="25" t="str">
        <f t="shared" si="330"/>
        <v>…</v>
      </c>
      <c r="W383" s="25" t="str">
        <f t="shared" si="330"/>
        <v>…</v>
      </c>
      <c r="X383" s="25" t="str">
        <f t="shared" si="330"/>
        <v>…</v>
      </c>
      <c r="Y383" s="25" t="str">
        <f t="shared" si="330"/>
        <v>…</v>
      </c>
      <c r="Z383" s="25"/>
      <c r="AA383" s="25"/>
      <c r="AB383" s="25"/>
      <c r="AC383" s="25"/>
      <c r="AD383" s="24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2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24"/>
      <c r="BK383" s="22"/>
      <c r="BL383" s="23"/>
      <c r="BM383" s="22"/>
      <c r="BN383" s="22"/>
      <c r="BO383" s="22"/>
      <c r="BP383" s="22"/>
      <c r="BQ383" s="22"/>
      <c r="BR383" s="24"/>
      <c r="BS383" s="5"/>
    </row>
    <row r="384" spans="1:71" s="33" customFormat="1" hidden="1" outlineLevel="1">
      <c r="A384" s="5"/>
      <c r="B384" s="5" t="s">
        <v>244</v>
      </c>
      <c r="C384" s="43" t="s">
        <v>154</v>
      </c>
      <c r="D384" s="16" t="s">
        <v>289</v>
      </c>
      <c r="E384" s="16" t="s">
        <v>289</v>
      </c>
      <c r="F384" s="16" t="s">
        <v>289</v>
      </c>
      <c r="G384" s="16" t="s">
        <v>289</v>
      </c>
      <c r="H384" s="16" t="s">
        <v>289</v>
      </c>
      <c r="I384" s="16" t="s">
        <v>289</v>
      </c>
      <c r="J384" s="16" t="s">
        <v>289</v>
      </c>
      <c r="K384" s="16" t="s">
        <v>289</v>
      </c>
      <c r="L384" s="16" t="s">
        <v>289</v>
      </c>
      <c r="M384" s="16" t="s">
        <v>289</v>
      </c>
      <c r="N384" s="16" t="s">
        <v>289</v>
      </c>
      <c r="O384" s="16" t="s">
        <v>289</v>
      </c>
      <c r="P384" s="16" t="s">
        <v>289</v>
      </c>
      <c r="Q384" s="16" t="s">
        <v>289</v>
      </c>
      <c r="R384" s="16" t="s">
        <v>289</v>
      </c>
      <c r="S384" s="16" t="s">
        <v>289</v>
      </c>
      <c r="T384" s="16" t="s">
        <v>289</v>
      </c>
      <c r="U384" s="16" t="s">
        <v>289</v>
      </c>
      <c r="V384" s="16" t="s">
        <v>289</v>
      </c>
      <c r="W384" s="16"/>
      <c r="X384" s="16"/>
      <c r="Y384" s="16"/>
      <c r="Z384" s="16"/>
      <c r="AA384" s="16"/>
      <c r="AB384" s="25"/>
      <c r="AC384" s="25"/>
      <c r="AD384" s="24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16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24"/>
      <c r="BK384" s="22"/>
      <c r="BL384" s="23"/>
      <c r="BM384" s="22"/>
      <c r="BN384" s="22"/>
      <c r="BO384" s="22"/>
      <c r="BP384" s="22"/>
      <c r="BQ384" s="22"/>
      <c r="BR384" s="24"/>
      <c r="BS384" s="5"/>
    </row>
    <row r="385" spans="1:72" s="33" customFormat="1" ht="13.15" hidden="1" outlineLevel="1">
      <c r="A385" s="5"/>
      <c r="B385" s="5"/>
      <c r="C385" s="5" t="s">
        <v>237</v>
      </c>
      <c r="D385" s="25">
        <f t="shared" ref="D385:J385" si="331">IFERROR(D386-SUM(D390),"…")</f>
        <v>7265</v>
      </c>
      <c r="E385" s="25">
        <f t="shared" si="331"/>
        <v>7430</v>
      </c>
      <c r="F385" s="25">
        <f t="shared" si="331"/>
        <v>6998</v>
      </c>
      <c r="G385" s="25">
        <f t="shared" si="331"/>
        <v>6629</v>
      </c>
      <c r="H385" s="25">
        <f t="shared" si="331"/>
        <v>9520</v>
      </c>
      <c r="I385" s="25">
        <f t="shared" si="331"/>
        <v>9978</v>
      </c>
      <c r="J385" s="25">
        <f t="shared" si="331"/>
        <v>9694</v>
      </c>
      <c r="K385" s="25">
        <f t="shared" ref="K385:Q385" si="332">IFERROR(K386-SUM(K390),"…")</f>
        <v>17842</v>
      </c>
      <c r="L385" s="25">
        <f t="shared" si="332"/>
        <v>35222</v>
      </c>
      <c r="M385" s="25">
        <f t="shared" si="332"/>
        <v>35513</v>
      </c>
      <c r="N385" s="25">
        <f t="shared" si="332"/>
        <v>36358</v>
      </c>
      <c r="O385" s="25">
        <f t="shared" si="332"/>
        <v>37501</v>
      </c>
      <c r="P385" s="25">
        <f t="shared" si="332"/>
        <v>39040</v>
      </c>
      <c r="Q385" s="25">
        <f t="shared" si="332"/>
        <v>39977</v>
      </c>
      <c r="R385" s="25">
        <f t="shared" ref="R385:Y385" si="333">IFERROR(R386-SUM(R390),"…")</f>
        <v>41296</v>
      </c>
      <c r="S385" s="25">
        <f t="shared" si="333"/>
        <v>42967</v>
      </c>
      <c r="T385" s="25">
        <f t="shared" si="333"/>
        <v>44650</v>
      </c>
      <c r="U385" s="25">
        <f t="shared" si="333"/>
        <v>51515</v>
      </c>
      <c r="V385" s="25" t="str">
        <f t="shared" si="333"/>
        <v>…</v>
      </c>
      <c r="W385" s="25" t="str">
        <f t="shared" si="333"/>
        <v>…</v>
      </c>
      <c r="X385" s="25" t="str">
        <f t="shared" si="333"/>
        <v>…</v>
      </c>
      <c r="Y385" s="25" t="str">
        <f t="shared" si="333"/>
        <v>…</v>
      </c>
      <c r="Z385" s="25"/>
      <c r="AA385" s="25"/>
      <c r="AB385" s="14"/>
      <c r="AC385" s="14"/>
      <c r="AD385" s="24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2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24"/>
      <c r="BK385" s="22"/>
      <c r="BL385" s="23"/>
      <c r="BM385" s="22"/>
      <c r="BN385" s="22"/>
      <c r="BO385" s="22"/>
      <c r="BP385" s="22"/>
      <c r="BQ385" s="22"/>
      <c r="BR385" s="24"/>
      <c r="BS385" s="5"/>
    </row>
    <row r="386" spans="1:72" s="33" customFormat="1" ht="13.15" hidden="1" outlineLevel="1">
      <c r="A386" s="5"/>
      <c r="B386" s="5"/>
      <c r="C386" s="5" t="s">
        <v>305</v>
      </c>
      <c r="D386" s="25">
        <f t="shared" ref="D386:L386" si="334">IF(ISNUMBER(D387),D387,IF(ISNUMBER(D388),D388,"…"))</f>
        <v>7490</v>
      </c>
      <c r="E386" s="25">
        <f t="shared" si="334"/>
        <v>7668</v>
      </c>
      <c r="F386" s="25">
        <f t="shared" si="334"/>
        <v>7193</v>
      </c>
      <c r="G386" s="25">
        <f t="shared" si="334"/>
        <v>6830</v>
      </c>
      <c r="H386" s="25">
        <f t="shared" si="334"/>
        <v>12291</v>
      </c>
      <c r="I386" s="25">
        <f t="shared" si="334"/>
        <v>12907</v>
      </c>
      <c r="J386" s="25">
        <f t="shared" si="334"/>
        <v>13104</v>
      </c>
      <c r="K386" s="25">
        <f t="shared" si="334"/>
        <v>22176</v>
      </c>
      <c r="L386" s="25">
        <f t="shared" si="334"/>
        <v>59111</v>
      </c>
      <c r="M386" s="25">
        <f t="shared" ref="M386:R386" si="335">IF(ISNUMBER(M387),M387,IF(ISNUMBER(M388),M388,"…"))</f>
        <v>59243</v>
      </c>
      <c r="N386" s="25">
        <f t="shared" si="335"/>
        <v>59935</v>
      </c>
      <c r="O386" s="25">
        <f t="shared" si="335"/>
        <v>61147</v>
      </c>
      <c r="P386" s="25">
        <f t="shared" si="335"/>
        <v>62599</v>
      </c>
      <c r="Q386" s="25">
        <f t="shared" si="335"/>
        <v>63419</v>
      </c>
      <c r="R386" s="25">
        <f t="shared" si="335"/>
        <v>64613</v>
      </c>
      <c r="S386" s="25">
        <f t="shared" ref="S386:Y386" si="336">IF(ISNUMBER(S387),S387,IF(ISNUMBER(S388),S388,"…"))</f>
        <v>66214</v>
      </c>
      <c r="T386" s="25">
        <f t="shared" si="336"/>
        <v>67968</v>
      </c>
      <c r="U386" s="25">
        <f t="shared" si="336"/>
        <v>77689</v>
      </c>
      <c r="V386" s="25" t="str">
        <f t="shared" si="336"/>
        <v>…</v>
      </c>
      <c r="W386" s="25" t="str">
        <f t="shared" si="336"/>
        <v>…</v>
      </c>
      <c r="X386" s="25" t="str">
        <f t="shared" si="336"/>
        <v>…</v>
      </c>
      <c r="Y386" s="25" t="str">
        <f t="shared" si="336"/>
        <v>…</v>
      </c>
      <c r="Z386" s="25"/>
      <c r="AA386" s="25"/>
      <c r="AB386" s="14"/>
      <c r="AC386" s="14"/>
      <c r="AD386" s="24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2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24"/>
      <c r="BK386" s="22"/>
      <c r="BL386" s="23"/>
      <c r="BM386" s="22"/>
      <c r="BN386" s="22"/>
      <c r="BO386" s="22"/>
      <c r="BP386" s="22"/>
      <c r="BQ386" s="22"/>
      <c r="BR386" s="24"/>
      <c r="BS386" s="5"/>
    </row>
    <row r="387" spans="1:72" s="33" customFormat="1" hidden="1" outlineLevel="1">
      <c r="A387" s="5"/>
      <c r="B387" s="5" t="s">
        <v>234</v>
      </c>
      <c r="C387" s="38" t="s">
        <v>154</v>
      </c>
      <c r="D387" s="16">
        <v>7490</v>
      </c>
      <c r="E387" s="16">
        <v>7668</v>
      </c>
      <c r="F387" s="16">
        <v>7193</v>
      </c>
      <c r="G387" s="16">
        <v>6830</v>
      </c>
      <c r="H387" s="16">
        <v>12291</v>
      </c>
      <c r="I387" s="16">
        <v>12907</v>
      </c>
      <c r="J387" s="16">
        <v>13104</v>
      </c>
      <c r="K387" s="16">
        <v>22176</v>
      </c>
      <c r="L387" s="16">
        <v>59111</v>
      </c>
      <c r="M387" s="16">
        <v>59243</v>
      </c>
      <c r="N387" s="16">
        <v>59935</v>
      </c>
      <c r="O387" s="16">
        <v>61147</v>
      </c>
      <c r="P387" s="16">
        <v>62599</v>
      </c>
      <c r="Q387" s="16">
        <v>63419</v>
      </c>
      <c r="R387" s="16">
        <v>64613</v>
      </c>
      <c r="S387" s="16">
        <v>66214</v>
      </c>
      <c r="T387" s="16">
        <v>67968</v>
      </c>
      <c r="U387" s="16">
        <v>77689</v>
      </c>
      <c r="V387" s="16" t="s">
        <v>289</v>
      </c>
      <c r="W387" s="16"/>
      <c r="X387" s="16"/>
      <c r="Y387" s="16"/>
      <c r="Z387" s="16"/>
      <c r="AA387" s="16"/>
      <c r="AB387" s="25"/>
      <c r="AC387" s="25"/>
      <c r="AD387" s="24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16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24"/>
      <c r="BK387" s="22"/>
      <c r="BL387" s="23"/>
      <c r="BM387" s="22"/>
      <c r="BN387" s="22"/>
      <c r="BO387" s="22"/>
      <c r="BP387" s="22"/>
      <c r="BQ387" s="22"/>
      <c r="BR387" s="24"/>
      <c r="BS387" s="5"/>
    </row>
    <row r="388" spans="1:72" s="33" customFormat="1" hidden="1" outlineLevel="1">
      <c r="A388" s="5"/>
      <c r="B388" s="5" t="s">
        <v>236</v>
      </c>
      <c r="C388" s="38" t="s">
        <v>154</v>
      </c>
      <c r="D388" s="16">
        <v>7490</v>
      </c>
      <c r="E388" s="16">
        <v>7668</v>
      </c>
      <c r="F388" s="16">
        <v>7193</v>
      </c>
      <c r="G388" s="16">
        <v>6830</v>
      </c>
      <c r="H388" s="16">
        <v>12291</v>
      </c>
      <c r="I388" s="16">
        <v>12907</v>
      </c>
      <c r="J388" s="16">
        <v>13104</v>
      </c>
      <c r="K388" s="16">
        <v>22176</v>
      </c>
      <c r="L388" s="16">
        <v>59112</v>
      </c>
      <c r="M388" s="16">
        <v>59243</v>
      </c>
      <c r="N388" s="16">
        <v>59935</v>
      </c>
      <c r="O388" s="16">
        <v>61147</v>
      </c>
      <c r="P388" s="16">
        <v>62599</v>
      </c>
      <c r="Q388" s="16">
        <v>63419</v>
      </c>
      <c r="R388" s="16">
        <v>64613</v>
      </c>
      <c r="S388" s="16">
        <v>66214</v>
      </c>
      <c r="T388" s="16">
        <v>67968</v>
      </c>
      <c r="U388" s="16">
        <v>77689</v>
      </c>
      <c r="V388" s="16" t="s">
        <v>289</v>
      </c>
      <c r="W388" s="16"/>
      <c r="X388" s="16"/>
      <c r="Y388" s="16"/>
      <c r="Z388" s="16"/>
      <c r="AA388" s="16"/>
      <c r="AB388" s="25"/>
      <c r="AC388" s="25"/>
      <c r="AD388" s="24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16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24"/>
      <c r="BK388" s="22"/>
      <c r="BL388" s="23"/>
      <c r="BM388" s="22"/>
      <c r="BN388" s="22"/>
      <c r="BO388" s="22"/>
      <c r="BP388" s="22"/>
      <c r="BQ388" s="22"/>
      <c r="BR388" s="24"/>
      <c r="BS388" s="5"/>
    </row>
    <row r="389" spans="1:72" s="33" customFormat="1" hidden="1" outlineLevel="1">
      <c r="A389" s="5"/>
      <c r="B389" s="38"/>
      <c r="C389" s="43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25"/>
      <c r="AC389" s="25"/>
      <c r="AD389" s="24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16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24"/>
      <c r="BK389" s="22"/>
      <c r="BL389" s="23"/>
      <c r="BM389" s="22"/>
      <c r="BN389" s="22"/>
      <c r="BO389" s="22"/>
      <c r="BP389" s="22"/>
      <c r="BQ389" s="22"/>
      <c r="BR389" s="24"/>
      <c r="BS389" s="5"/>
    </row>
    <row r="390" spans="1:72" s="33" customFormat="1" ht="13.15" collapsed="1">
      <c r="A390" s="5"/>
      <c r="B390" s="5"/>
      <c r="C390" s="9" t="s">
        <v>303</v>
      </c>
      <c r="D390" s="14">
        <f t="shared" ref="D390:Y390" si="337">IF(D11="no","…",IF(ISNUMBER(D391),D391,IF(ISNUMBER(D392),D392,"…")))</f>
        <v>225</v>
      </c>
      <c r="E390" s="14">
        <f t="shared" si="337"/>
        <v>238</v>
      </c>
      <c r="F390" s="14">
        <f t="shared" si="337"/>
        <v>195</v>
      </c>
      <c r="G390" s="14">
        <f t="shared" si="337"/>
        <v>201</v>
      </c>
      <c r="H390" s="14">
        <f t="shared" si="337"/>
        <v>2771</v>
      </c>
      <c r="I390" s="14">
        <f t="shared" si="337"/>
        <v>2929</v>
      </c>
      <c r="J390" s="14">
        <f t="shared" si="337"/>
        <v>3410</v>
      </c>
      <c r="K390" s="14">
        <f t="shared" si="337"/>
        <v>4334</v>
      </c>
      <c r="L390" s="14">
        <f t="shared" si="337"/>
        <v>23889</v>
      </c>
      <c r="M390" s="14">
        <f t="shared" si="337"/>
        <v>23730</v>
      </c>
      <c r="N390" s="14">
        <f t="shared" si="337"/>
        <v>23577</v>
      </c>
      <c r="O390" s="14">
        <f t="shared" si="337"/>
        <v>23646</v>
      </c>
      <c r="P390" s="14">
        <f t="shared" si="337"/>
        <v>23559</v>
      </c>
      <c r="Q390" s="14">
        <f t="shared" si="337"/>
        <v>23442</v>
      </c>
      <c r="R390" s="14">
        <f t="shared" si="337"/>
        <v>23317</v>
      </c>
      <c r="S390" s="14">
        <f t="shared" si="337"/>
        <v>23247</v>
      </c>
      <c r="T390" s="14">
        <f t="shared" si="337"/>
        <v>23318</v>
      </c>
      <c r="U390" s="14">
        <f t="shared" si="337"/>
        <v>26174</v>
      </c>
      <c r="V390" s="14" t="str">
        <f t="shared" si="337"/>
        <v>…</v>
      </c>
      <c r="W390" s="14" t="str">
        <f t="shared" si="337"/>
        <v>…</v>
      </c>
      <c r="X390" s="14" t="str">
        <f t="shared" si="337"/>
        <v>…</v>
      </c>
      <c r="Y390" s="14" t="str">
        <f t="shared" si="337"/>
        <v>…</v>
      </c>
      <c r="Z390" s="14"/>
      <c r="AA390" s="14"/>
      <c r="AB390" s="14"/>
      <c r="AC390" s="14"/>
      <c r="AD390" s="24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14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24"/>
      <c r="BK390" s="22"/>
      <c r="BL390" s="23"/>
      <c r="BM390" s="22"/>
      <c r="BN390" s="22"/>
      <c r="BO390" s="22"/>
      <c r="BP390" s="22"/>
      <c r="BQ390" s="22"/>
      <c r="BR390" s="24"/>
      <c r="BS390" s="5"/>
    </row>
    <row r="391" spans="1:72" hidden="1" outlineLevel="1">
      <c r="B391" s="5" t="s">
        <v>245</v>
      </c>
      <c r="C391" s="38" t="s">
        <v>154</v>
      </c>
      <c r="D391" s="16" t="s">
        <v>289</v>
      </c>
      <c r="E391" s="16" t="s">
        <v>289</v>
      </c>
      <c r="F391" s="16" t="s">
        <v>289</v>
      </c>
      <c r="G391" s="16" t="s">
        <v>289</v>
      </c>
      <c r="H391" s="16" t="s">
        <v>289</v>
      </c>
      <c r="I391" s="16" t="s">
        <v>289</v>
      </c>
      <c r="J391" s="16" t="s">
        <v>289</v>
      </c>
      <c r="K391" s="16" t="s">
        <v>289</v>
      </c>
      <c r="L391" s="16" t="s">
        <v>289</v>
      </c>
      <c r="M391" s="16" t="s">
        <v>289</v>
      </c>
      <c r="N391" s="16" t="s">
        <v>289</v>
      </c>
      <c r="O391" s="16" t="s">
        <v>289</v>
      </c>
      <c r="P391" s="16" t="s">
        <v>289</v>
      </c>
      <c r="Q391" s="16" t="s">
        <v>289</v>
      </c>
      <c r="R391" s="16" t="s">
        <v>289</v>
      </c>
      <c r="S391" s="16" t="s">
        <v>289</v>
      </c>
      <c r="T391" s="16" t="s">
        <v>289</v>
      </c>
      <c r="U391" s="16" t="s">
        <v>289</v>
      </c>
      <c r="V391" s="16" t="s">
        <v>289</v>
      </c>
      <c r="W391" s="16"/>
      <c r="X391" s="16"/>
      <c r="Y391" s="16"/>
      <c r="Z391" s="16"/>
      <c r="AA391" s="16"/>
      <c r="AB391" s="25"/>
      <c r="AC391" s="25"/>
      <c r="AD391" s="24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16"/>
      <c r="AZ391" s="5"/>
      <c r="BJ391" s="24"/>
      <c r="BK391" s="22"/>
      <c r="BL391" s="23"/>
      <c r="BM391" s="22"/>
      <c r="BN391" s="22"/>
      <c r="BO391" s="22"/>
      <c r="BP391" s="22"/>
      <c r="BQ391" s="22"/>
      <c r="BR391" s="24"/>
      <c r="BT391" s="33"/>
    </row>
    <row r="392" spans="1:72" s="33" customFormat="1" hidden="1" outlineLevel="1">
      <c r="A392" s="5"/>
      <c r="B392" s="5" t="s">
        <v>246</v>
      </c>
      <c r="C392" s="38" t="s">
        <v>161</v>
      </c>
      <c r="D392" s="16">
        <v>225</v>
      </c>
      <c r="E392" s="16">
        <v>238</v>
      </c>
      <c r="F392" s="16">
        <v>195</v>
      </c>
      <c r="G392" s="16">
        <v>201</v>
      </c>
      <c r="H392" s="16">
        <v>2771</v>
      </c>
      <c r="I392" s="16">
        <v>2929</v>
      </c>
      <c r="J392" s="16">
        <v>3410</v>
      </c>
      <c r="K392" s="16">
        <v>4334</v>
      </c>
      <c r="L392" s="16">
        <v>23889</v>
      </c>
      <c r="M392" s="16">
        <v>23730</v>
      </c>
      <c r="N392" s="16">
        <v>23577</v>
      </c>
      <c r="O392" s="16">
        <v>23646</v>
      </c>
      <c r="P392" s="16">
        <v>23559</v>
      </c>
      <c r="Q392" s="16">
        <v>23442</v>
      </c>
      <c r="R392" s="16">
        <v>23317</v>
      </c>
      <c r="S392" s="16">
        <v>23247</v>
      </c>
      <c r="T392" s="16">
        <v>23318</v>
      </c>
      <c r="U392" s="16">
        <v>26174</v>
      </c>
      <c r="V392" s="16" t="s">
        <v>289</v>
      </c>
      <c r="W392" s="16"/>
      <c r="X392" s="16"/>
      <c r="Y392" s="16"/>
      <c r="Z392" s="16"/>
      <c r="AA392" s="16"/>
      <c r="AB392" s="25"/>
      <c r="AC392" s="25"/>
      <c r="AD392" s="24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16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24"/>
      <c r="BK392" s="22"/>
      <c r="BL392" s="23"/>
      <c r="BM392" s="22"/>
      <c r="BN392" s="22"/>
      <c r="BO392" s="22"/>
      <c r="BP392" s="22"/>
      <c r="BQ392" s="22"/>
      <c r="BR392" s="24"/>
      <c r="BS392" s="5"/>
    </row>
    <row r="393" spans="1:72" hidden="1" outlineLevel="1"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Z393" s="5"/>
      <c r="BK393" s="22"/>
      <c r="BL393" s="23"/>
      <c r="BM393" s="22"/>
      <c r="BN393" s="22"/>
      <c r="BO393" s="22"/>
      <c r="BP393" s="22"/>
      <c r="BQ393" s="22"/>
      <c r="BR393" s="24"/>
    </row>
    <row r="394" spans="1:72" ht="13.15" collapsed="1">
      <c r="C394" s="9" t="s">
        <v>323</v>
      </c>
      <c r="D394" s="7">
        <f t="shared" ref="D394:Q394" si="338">IF(ISNUMBER(D396),D396,IF(ISNUMBER(D395),D395,IF(ISNUMBER(D397),D397,"…")))</f>
        <v>10221</v>
      </c>
      <c r="E394" s="7">
        <f t="shared" si="338"/>
        <v>7963</v>
      </c>
      <c r="F394" s="7">
        <f t="shared" si="338"/>
        <v>9367</v>
      </c>
      <c r="G394" s="7">
        <f t="shared" si="338"/>
        <v>10112</v>
      </c>
      <c r="H394" s="7">
        <f t="shared" si="338"/>
        <v>9474</v>
      </c>
      <c r="I394" s="7">
        <f t="shared" si="338"/>
        <v>20539</v>
      </c>
      <c r="J394" s="7">
        <f t="shared" si="338"/>
        <v>18670</v>
      </c>
      <c r="K394" s="7">
        <f t="shared" si="338"/>
        <v>18291</v>
      </c>
      <c r="L394" s="7">
        <f t="shared" si="338"/>
        <v>18488</v>
      </c>
      <c r="M394" s="7">
        <f t="shared" si="338"/>
        <v>23178</v>
      </c>
      <c r="N394" s="7">
        <f t="shared" si="338"/>
        <v>19123</v>
      </c>
      <c r="O394" s="7">
        <f t="shared" si="338"/>
        <v>20872</v>
      </c>
      <c r="P394" s="7">
        <f t="shared" si="338"/>
        <v>19265</v>
      </c>
      <c r="Q394" s="7">
        <f t="shared" si="338"/>
        <v>18457</v>
      </c>
      <c r="R394" s="7">
        <f t="shared" ref="R394:Y394" si="339">IF(ISNUMBER(R396),R396,IF(ISNUMBER(R395),R395,IF(ISNUMBER(R397),R397,"…")))</f>
        <v>28938</v>
      </c>
      <c r="S394" s="7">
        <f t="shared" si="339"/>
        <v>25923</v>
      </c>
      <c r="T394" s="7">
        <f t="shared" si="339"/>
        <v>33909</v>
      </c>
      <c r="U394" s="7">
        <f t="shared" si="339"/>
        <v>39723</v>
      </c>
      <c r="V394" s="7" t="str">
        <f t="shared" si="339"/>
        <v>…</v>
      </c>
      <c r="W394" s="7" t="str">
        <f t="shared" si="339"/>
        <v>…</v>
      </c>
      <c r="X394" s="7" t="str">
        <f t="shared" si="339"/>
        <v>…</v>
      </c>
      <c r="Y394" s="7" t="str">
        <f t="shared" si="339"/>
        <v>…</v>
      </c>
      <c r="Z394" s="7"/>
      <c r="AD394" s="24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Z394" s="5"/>
      <c r="BK394" s="22"/>
      <c r="BL394" s="23"/>
      <c r="BM394" s="22"/>
      <c r="BN394" s="22"/>
      <c r="BO394" s="22"/>
      <c r="BP394" s="22"/>
      <c r="BQ394" s="22"/>
      <c r="BR394" s="24"/>
    </row>
    <row r="395" spans="1:72" hidden="1" outlineLevel="1">
      <c r="B395" s="5" t="s">
        <v>276</v>
      </c>
      <c r="C395" s="44" t="s">
        <v>154</v>
      </c>
      <c r="D395" s="16">
        <v>10221</v>
      </c>
      <c r="E395" s="16">
        <v>7963</v>
      </c>
      <c r="F395" s="16">
        <v>9367</v>
      </c>
      <c r="G395" s="16">
        <v>10112</v>
      </c>
      <c r="H395" s="16">
        <v>9474</v>
      </c>
      <c r="I395" s="16">
        <v>20539</v>
      </c>
      <c r="J395" s="16">
        <v>18670</v>
      </c>
      <c r="K395" s="16">
        <v>18291</v>
      </c>
      <c r="L395" s="16">
        <v>18488</v>
      </c>
      <c r="M395" s="16">
        <v>23178</v>
      </c>
      <c r="N395" s="16">
        <v>19123</v>
      </c>
      <c r="O395" s="16">
        <v>20871</v>
      </c>
      <c r="P395" s="16">
        <v>19265</v>
      </c>
      <c r="Q395" s="16">
        <v>18457</v>
      </c>
      <c r="R395" s="16">
        <v>28938</v>
      </c>
      <c r="S395" s="16">
        <v>25923</v>
      </c>
      <c r="T395" s="16">
        <v>33909</v>
      </c>
      <c r="U395" s="16">
        <v>39723</v>
      </c>
      <c r="V395" s="16" t="s">
        <v>289</v>
      </c>
      <c r="W395" s="16"/>
      <c r="X395" s="16"/>
      <c r="Y395" s="16"/>
      <c r="Z395" s="16"/>
      <c r="AA395" s="16"/>
      <c r="AD395" s="24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16"/>
      <c r="AZ395" s="5"/>
      <c r="BK395" s="22"/>
      <c r="BL395" s="23"/>
      <c r="BM395" s="22"/>
      <c r="BN395" s="22"/>
      <c r="BO395" s="22"/>
      <c r="BP395" s="22"/>
      <c r="BQ395" s="22"/>
      <c r="BR395" s="24"/>
    </row>
    <row r="396" spans="1:72" hidden="1" outlineLevel="1">
      <c r="B396" s="5" t="s">
        <v>277</v>
      </c>
      <c r="C396" s="44" t="s">
        <v>161</v>
      </c>
      <c r="D396" s="16" t="s">
        <v>289</v>
      </c>
      <c r="E396" s="16" t="s">
        <v>289</v>
      </c>
      <c r="F396" s="16" t="s">
        <v>289</v>
      </c>
      <c r="G396" s="16" t="s">
        <v>289</v>
      </c>
      <c r="H396" s="16">
        <v>9474</v>
      </c>
      <c r="I396" s="16">
        <v>20539</v>
      </c>
      <c r="J396" s="16">
        <v>18670</v>
      </c>
      <c r="K396" s="16">
        <v>18291</v>
      </c>
      <c r="L396" s="16">
        <v>18488</v>
      </c>
      <c r="M396" s="16">
        <v>23178</v>
      </c>
      <c r="N396" s="16">
        <v>19123</v>
      </c>
      <c r="O396" s="16">
        <v>20872</v>
      </c>
      <c r="P396" s="16">
        <v>19265</v>
      </c>
      <c r="Q396" s="16">
        <v>18457</v>
      </c>
      <c r="R396" s="16">
        <v>28938</v>
      </c>
      <c r="S396" s="16">
        <v>25923</v>
      </c>
      <c r="T396" s="16">
        <v>33909</v>
      </c>
      <c r="U396" s="16">
        <v>39723</v>
      </c>
      <c r="V396" s="16" t="s">
        <v>289</v>
      </c>
      <c r="W396" s="16"/>
      <c r="X396" s="16"/>
      <c r="Y396" s="16"/>
      <c r="Z396" s="16"/>
      <c r="AA396" s="16"/>
      <c r="AD396" s="24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16"/>
      <c r="AZ396" s="5"/>
      <c r="BK396" s="22"/>
      <c r="BL396" s="23"/>
      <c r="BM396" s="22"/>
      <c r="BN396" s="22"/>
      <c r="BO396" s="22"/>
      <c r="BP396" s="22"/>
      <c r="BQ396" s="22"/>
      <c r="BR396" s="24"/>
    </row>
    <row r="397" spans="1:72" hidden="1" outlineLevel="1">
      <c r="B397" s="5" t="s">
        <v>278</v>
      </c>
      <c r="C397" s="44" t="s">
        <v>163</v>
      </c>
      <c r="D397" s="16">
        <v>10221</v>
      </c>
      <c r="E397" s="16">
        <v>7963</v>
      </c>
      <c r="F397" s="16">
        <v>9367</v>
      </c>
      <c r="G397" s="16">
        <v>10112</v>
      </c>
      <c r="H397" s="16">
        <v>9474</v>
      </c>
      <c r="I397" s="16">
        <v>20539</v>
      </c>
      <c r="J397" s="16">
        <v>18670</v>
      </c>
      <c r="K397" s="16">
        <v>18291</v>
      </c>
      <c r="L397" s="16">
        <v>18488</v>
      </c>
      <c r="M397" s="16">
        <v>23178</v>
      </c>
      <c r="N397" s="16">
        <v>19123</v>
      </c>
      <c r="O397" s="16">
        <v>20872</v>
      </c>
      <c r="P397" s="16">
        <v>19265</v>
      </c>
      <c r="Q397" s="16">
        <v>18457</v>
      </c>
      <c r="R397" s="16">
        <v>28938</v>
      </c>
      <c r="S397" s="16">
        <v>25923</v>
      </c>
      <c r="T397" s="16">
        <v>33910</v>
      </c>
      <c r="U397" s="16">
        <v>39724</v>
      </c>
      <c r="V397" s="16" t="s">
        <v>289</v>
      </c>
      <c r="W397" s="16"/>
      <c r="X397" s="16"/>
      <c r="Y397" s="16"/>
      <c r="Z397" s="16"/>
      <c r="AA397" s="16"/>
      <c r="AD397" s="24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16"/>
      <c r="AZ397" s="5"/>
      <c r="BK397" s="22"/>
      <c r="BL397" s="23"/>
      <c r="BM397" s="22"/>
      <c r="BN397" s="22"/>
      <c r="BO397" s="22"/>
      <c r="BP397" s="22"/>
      <c r="BQ397" s="22"/>
      <c r="BR397" s="24"/>
    </row>
    <row r="398" spans="1:72" hidden="1" outlineLevel="1"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Z398" s="5"/>
      <c r="BK398" s="22"/>
      <c r="BL398" s="23"/>
      <c r="BM398" s="22"/>
      <c r="BN398" s="22"/>
      <c r="BO398" s="22"/>
      <c r="BP398" s="22"/>
      <c r="BQ398" s="22"/>
      <c r="BR398" s="24"/>
    </row>
    <row r="399" spans="1:72" ht="13.15" collapsed="1">
      <c r="B399" s="38"/>
      <c r="C399" s="9" t="s">
        <v>247</v>
      </c>
      <c r="D399" s="14">
        <f t="shared" ref="D399:Y399" si="340">IF(D11="yes",SUM(D400:D407),"…")</f>
        <v>0</v>
      </c>
      <c r="E399" s="14">
        <f t="shared" si="340"/>
        <v>0</v>
      </c>
      <c r="F399" s="14">
        <f t="shared" si="340"/>
        <v>0</v>
      </c>
      <c r="G399" s="14">
        <f t="shared" si="340"/>
        <v>0</v>
      </c>
      <c r="H399" s="14">
        <f t="shared" si="340"/>
        <v>0</v>
      </c>
      <c r="I399" s="14">
        <f t="shared" si="340"/>
        <v>0</v>
      </c>
      <c r="J399" s="14">
        <f t="shared" si="340"/>
        <v>0</v>
      </c>
      <c r="K399" s="14">
        <f t="shared" si="340"/>
        <v>0</v>
      </c>
      <c r="L399" s="14">
        <f t="shared" si="340"/>
        <v>0</v>
      </c>
      <c r="M399" s="14">
        <f t="shared" si="340"/>
        <v>0</v>
      </c>
      <c r="N399" s="14">
        <f t="shared" si="340"/>
        <v>0</v>
      </c>
      <c r="O399" s="14">
        <f t="shared" si="340"/>
        <v>63184</v>
      </c>
      <c r="P399" s="14">
        <f t="shared" si="340"/>
        <v>70411</v>
      </c>
      <c r="Q399" s="14">
        <f t="shared" si="340"/>
        <v>75501</v>
      </c>
      <c r="R399" s="14">
        <f t="shared" si="340"/>
        <v>81300</v>
      </c>
      <c r="S399" s="14">
        <f t="shared" si="340"/>
        <v>2722</v>
      </c>
      <c r="T399" s="14">
        <f t="shared" si="340"/>
        <v>2866</v>
      </c>
      <c r="U399" s="14">
        <f t="shared" si="340"/>
        <v>2895</v>
      </c>
      <c r="V399" s="14" t="str">
        <f t="shared" si="340"/>
        <v>…</v>
      </c>
      <c r="W399" s="14" t="str">
        <f t="shared" si="340"/>
        <v>…</v>
      </c>
      <c r="X399" s="14" t="str">
        <f t="shared" si="340"/>
        <v>…</v>
      </c>
      <c r="Y399" s="14" t="str">
        <f t="shared" si="340"/>
        <v>…</v>
      </c>
      <c r="Z399" s="14"/>
      <c r="AA399" s="14"/>
      <c r="AB399" s="14"/>
      <c r="AC399" s="14"/>
      <c r="AD399" s="24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14"/>
      <c r="AZ399" s="5"/>
      <c r="BJ399" s="24"/>
      <c r="BK399" s="22"/>
      <c r="BL399" s="23"/>
      <c r="BM399" s="22"/>
      <c r="BN399" s="22"/>
      <c r="BO399" s="22"/>
      <c r="BP399" s="22"/>
      <c r="BQ399" s="22"/>
      <c r="BR399" s="24"/>
      <c r="BT399" s="33"/>
    </row>
    <row r="400" spans="1:72" s="33" customFormat="1" hidden="1" outlineLevel="1">
      <c r="A400" s="5"/>
      <c r="B400" s="5" t="s">
        <v>248</v>
      </c>
      <c r="C400" s="43" t="s">
        <v>154</v>
      </c>
      <c r="D400" s="16" t="s">
        <v>289</v>
      </c>
      <c r="E400" s="16" t="s">
        <v>289</v>
      </c>
      <c r="F400" s="16" t="s">
        <v>289</v>
      </c>
      <c r="G400" s="16" t="s">
        <v>289</v>
      </c>
      <c r="H400" s="16" t="s">
        <v>289</v>
      </c>
      <c r="I400" s="16" t="s">
        <v>289</v>
      </c>
      <c r="J400" s="16" t="s">
        <v>289</v>
      </c>
      <c r="K400" s="16" t="s">
        <v>289</v>
      </c>
      <c r="L400" s="16" t="s">
        <v>289</v>
      </c>
      <c r="M400" s="16" t="s">
        <v>289</v>
      </c>
      <c r="N400" s="16" t="s">
        <v>289</v>
      </c>
      <c r="O400" s="16" t="s">
        <v>289</v>
      </c>
      <c r="P400" s="16">
        <v>2009</v>
      </c>
      <c r="Q400" s="16">
        <v>2252</v>
      </c>
      <c r="R400" s="16">
        <v>2608</v>
      </c>
      <c r="S400" s="16">
        <v>2722</v>
      </c>
      <c r="T400" s="16">
        <v>2866</v>
      </c>
      <c r="U400" s="16">
        <v>2895</v>
      </c>
      <c r="V400" s="16" t="s">
        <v>289</v>
      </c>
      <c r="W400" s="16"/>
      <c r="X400" s="16"/>
      <c r="Y400" s="16"/>
      <c r="Z400" s="16"/>
      <c r="AA400" s="16"/>
      <c r="AB400" s="25"/>
      <c r="AC400" s="25"/>
      <c r="AD400" s="24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16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24"/>
      <c r="BK400" s="22"/>
      <c r="BL400" s="23"/>
      <c r="BM400" s="22"/>
      <c r="BN400" s="22"/>
      <c r="BO400" s="22"/>
      <c r="BP400" s="22"/>
      <c r="BQ400" s="22"/>
      <c r="BR400" s="24"/>
      <c r="BS400" s="5"/>
    </row>
    <row r="401" spans="1:71" hidden="1" outlineLevel="1">
      <c r="B401" s="5" t="s">
        <v>1713</v>
      </c>
      <c r="C401" s="43" t="s">
        <v>154</v>
      </c>
      <c r="D401" s="16" t="s">
        <v>289</v>
      </c>
      <c r="E401" s="16" t="s">
        <v>289</v>
      </c>
      <c r="F401" s="16" t="s">
        <v>289</v>
      </c>
      <c r="G401" s="16" t="s">
        <v>289</v>
      </c>
      <c r="H401" s="16" t="s">
        <v>289</v>
      </c>
      <c r="I401" s="16" t="s">
        <v>289</v>
      </c>
      <c r="J401" s="16" t="s">
        <v>289</v>
      </c>
      <c r="K401" s="16" t="s">
        <v>289</v>
      </c>
      <c r="L401" s="16" t="s">
        <v>289</v>
      </c>
      <c r="M401" s="16" t="s">
        <v>289</v>
      </c>
      <c r="N401" s="16" t="s">
        <v>289</v>
      </c>
      <c r="O401" s="16" t="s">
        <v>289</v>
      </c>
      <c r="P401" s="20" t="s">
        <v>289</v>
      </c>
      <c r="Q401" s="20" t="s">
        <v>289</v>
      </c>
      <c r="R401" s="20" t="s">
        <v>289</v>
      </c>
      <c r="S401" s="20" t="s">
        <v>289</v>
      </c>
      <c r="T401" s="20" t="s">
        <v>289</v>
      </c>
      <c r="U401" s="20" t="s">
        <v>289</v>
      </c>
      <c r="V401" s="20" t="s">
        <v>289</v>
      </c>
      <c r="AD401" s="24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Z401" s="5"/>
    </row>
    <row r="402" spans="1:71" s="33" customFormat="1" hidden="1" outlineLevel="1">
      <c r="A402" s="5"/>
      <c r="B402" s="5" t="s">
        <v>249</v>
      </c>
      <c r="C402" s="43" t="s">
        <v>154</v>
      </c>
      <c r="D402" s="16" t="s">
        <v>289</v>
      </c>
      <c r="E402" s="16" t="s">
        <v>289</v>
      </c>
      <c r="F402" s="16" t="s">
        <v>289</v>
      </c>
      <c r="G402" s="16" t="s">
        <v>289</v>
      </c>
      <c r="H402" s="16" t="s">
        <v>289</v>
      </c>
      <c r="I402" s="16" t="s">
        <v>289</v>
      </c>
      <c r="J402" s="16" t="s">
        <v>289</v>
      </c>
      <c r="K402" s="16" t="s">
        <v>289</v>
      </c>
      <c r="L402" s="16" t="s">
        <v>289</v>
      </c>
      <c r="M402" s="16" t="s">
        <v>289</v>
      </c>
      <c r="N402" s="16" t="s">
        <v>289</v>
      </c>
      <c r="O402" s="16" t="s">
        <v>289</v>
      </c>
      <c r="P402" s="16" t="s">
        <v>289</v>
      </c>
      <c r="Q402" s="16" t="s">
        <v>289</v>
      </c>
      <c r="R402" s="16" t="s">
        <v>289</v>
      </c>
      <c r="S402" s="16" t="s">
        <v>289</v>
      </c>
      <c r="T402" s="16" t="s">
        <v>289</v>
      </c>
      <c r="U402" s="16" t="s">
        <v>289</v>
      </c>
      <c r="V402" s="16" t="s">
        <v>289</v>
      </c>
      <c r="W402" s="16"/>
      <c r="X402" s="16"/>
      <c r="Y402" s="16"/>
      <c r="Z402" s="16"/>
      <c r="AA402" s="16"/>
      <c r="AB402" s="25"/>
      <c r="AC402" s="25"/>
      <c r="AD402" s="24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16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24"/>
      <c r="BK402" s="22"/>
      <c r="BL402" s="23"/>
      <c r="BM402" s="22"/>
      <c r="BN402" s="22"/>
      <c r="BO402" s="22"/>
      <c r="BP402" s="22"/>
      <c r="BQ402" s="22"/>
      <c r="BR402" s="24"/>
      <c r="BS402" s="5"/>
    </row>
    <row r="403" spans="1:71" s="33" customFormat="1" hidden="1" outlineLevel="1">
      <c r="A403" s="5"/>
      <c r="B403" s="5" t="s">
        <v>399</v>
      </c>
      <c r="C403" s="43" t="s">
        <v>154</v>
      </c>
      <c r="D403" s="16" t="s">
        <v>289</v>
      </c>
      <c r="E403" s="16" t="s">
        <v>289</v>
      </c>
      <c r="F403" s="16" t="s">
        <v>289</v>
      </c>
      <c r="G403" s="16" t="s">
        <v>289</v>
      </c>
      <c r="H403" s="16" t="s">
        <v>289</v>
      </c>
      <c r="I403" s="16" t="s">
        <v>289</v>
      </c>
      <c r="J403" s="16" t="s">
        <v>289</v>
      </c>
      <c r="K403" s="16" t="s">
        <v>289</v>
      </c>
      <c r="L403" s="16" t="s">
        <v>289</v>
      </c>
      <c r="M403" s="16" t="s">
        <v>289</v>
      </c>
      <c r="N403" s="16" t="s">
        <v>289</v>
      </c>
      <c r="O403" s="16" t="s">
        <v>289</v>
      </c>
      <c r="P403" s="16" t="s">
        <v>289</v>
      </c>
      <c r="Q403" s="16" t="s">
        <v>289</v>
      </c>
      <c r="R403" s="16" t="s">
        <v>289</v>
      </c>
      <c r="S403" s="16" t="s">
        <v>289</v>
      </c>
      <c r="T403" s="16" t="s">
        <v>289</v>
      </c>
      <c r="U403" s="16" t="s">
        <v>289</v>
      </c>
      <c r="V403" s="16" t="s">
        <v>289</v>
      </c>
      <c r="W403" s="16"/>
      <c r="X403" s="16"/>
      <c r="Y403" s="16"/>
      <c r="Z403" s="16"/>
      <c r="AA403" s="16"/>
      <c r="AB403" s="25"/>
      <c r="AC403" s="25"/>
      <c r="AD403" s="24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16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24"/>
      <c r="BK403" s="22"/>
      <c r="BL403" s="23"/>
      <c r="BM403" s="22"/>
      <c r="BN403" s="22"/>
      <c r="BO403" s="22"/>
      <c r="BP403" s="22"/>
      <c r="BQ403" s="22"/>
      <c r="BR403" s="24"/>
      <c r="BS403" s="5"/>
    </row>
    <row r="404" spans="1:71" s="33" customFormat="1" hidden="1" outlineLevel="1">
      <c r="A404" s="5"/>
      <c r="B404" s="5" t="s">
        <v>250</v>
      </c>
      <c r="C404" s="43" t="s">
        <v>154</v>
      </c>
      <c r="D404" s="16" t="s">
        <v>289</v>
      </c>
      <c r="E404" s="16" t="s">
        <v>289</v>
      </c>
      <c r="F404" s="16" t="s">
        <v>289</v>
      </c>
      <c r="G404" s="16" t="s">
        <v>289</v>
      </c>
      <c r="H404" s="16" t="s">
        <v>289</v>
      </c>
      <c r="I404" s="16" t="s">
        <v>289</v>
      </c>
      <c r="J404" s="16" t="s">
        <v>289</v>
      </c>
      <c r="K404" s="16" t="s">
        <v>289</v>
      </c>
      <c r="L404" s="16" t="s">
        <v>289</v>
      </c>
      <c r="M404" s="16" t="s">
        <v>289</v>
      </c>
      <c r="N404" s="16" t="s">
        <v>289</v>
      </c>
      <c r="O404" s="16" t="s">
        <v>289</v>
      </c>
      <c r="P404" s="16" t="s">
        <v>289</v>
      </c>
      <c r="Q404" s="16" t="s">
        <v>289</v>
      </c>
      <c r="R404" s="16" t="s">
        <v>289</v>
      </c>
      <c r="S404" s="16" t="s">
        <v>289</v>
      </c>
      <c r="T404" s="16" t="s">
        <v>289</v>
      </c>
      <c r="U404" s="16" t="s">
        <v>289</v>
      </c>
      <c r="V404" s="16" t="s">
        <v>289</v>
      </c>
      <c r="W404" s="16"/>
      <c r="X404" s="16"/>
      <c r="Y404" s="16"/>
      <c r="Z404" s="16"/>
      <c r="AA404" s="16"/>
      <c r="AB404" s="25"/>
      <c r="AC404" s="25"/>
      <c r="AD404" s="24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16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24"/>
      <c r="BK404" s="22"/>
      <c r="BL404" s="23"/>
      <c r="BM404" s="22"/>
      <c r="BN404" s="22"/>
      <c r="BO404" s="22"/>
      <c r="BP404" s="22"/>
      <c r="BQ404" s="22"/>
      <c r="BR404" s="24"/>
      <c r="BS404" s="5"/>
    </row>
    <row r="405" spans="1:71" s="33" customFormat="1" hidden="1" outlineLevel="1">
      <c r="A405" s="5"/>
      <c r="B405" s="5" t="s">
        <v>2140</v>
      </c>
      <c r="C405" s="43" t="s">
        <v>154</v>
      </c>
      <c r="D405" s="16" t="s">
        <v>289</v>
      </c>
      <c r="E405" s="16" t="s">
        <v>289</v>
      </c>
      <c r="F405" s="16" t="s">
        <v>289</v>
      </c>
      <c r="G405" s="16" t="s">
        <v>289</v>
      </c>
      <c r="H405" s="16" t="s">
        <v>289</v>
      </c>
      <c r="I405" s="16" t="s">
        <v>289</v>
      </c>
      <c r="J405" s="16" t="s">
        <v>289</v>
      </c>
      <c r="K405" s="16" t="s">
        <v>289</v>
      </c>
      <c r="L405" s="16" t="s">
        <v>289</v>
      </c>
      <c r="M405" s="16" t="s">
        <v>289</v>
      </c>
      <c r="N405" s="16" t="s">
        <v>289</v>
      </c>
      <c r="O405" s="16">
        <v>63184</v>
      </c>
      <c r="P405" s="16">
        <v>68402</v>
      </c>
      <c r="Q405" s="16">
        <v>73249</v>
      </c>
      <c r="R405" s="16">
        <v>78692</v>
      </c>
      <c r="S405" s="16" t="s">
        <v>289</v>
      </c>
      <c r="T405" s="16" t="s">
        <v>289</v>
      </c>
      <c r="U405" s="16" t="s">
        <v>289</v>
      </c>
      <c r="V405" s="16" t="s">
        <v>289</v>
      </c>
      <c r="W405" s="16"/>
      <c r="X405" s="16"/>
      <c r="Y405" s="16"/>
      <c r="Z405" s="16"/>
      <c r="AA405" s="16"/>
      <c r="AB405" s="25"/>
      <c r="AC405" s="25"/>
      <c r="AD405" s="24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16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24"/>
      <c r="BK405" s="22"/>
      <c r="BL405" s="23"/>
      <c r="BM405" s="22"/>
      <c r="BN405" s="22"/>
      <c r="BO405" s="22"/>
      <c r="BP405" s="22"/>
      <c r="BQ405" s="22"/>
      <c r="BR405" s="24"/>
      <c r="BS405" s="5"/>
    </row>
    <row r="406" spans="1:71" s="33" customFormat="1" hidden="1" outlineLevel="1">
      <c r="A406" s="5"/>
      <c r="B406" s="5" t="s">
        <v>399</v>
      </c>
      <c r="C406" s="43" t="s">
        <v>154</v>
      </c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 t="s">
        <v>289</v>
      </c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25"/>
      <c r="AC406" s="25"/>
      <c r="AD406" s="24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16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24"/>
      <c r="BK406" s="22"/>
      <c r="BL406" s="23"/>
      <c r="BM406" s="22"/>
      <c r="BN406" s="22"/>
      <c r="BO406" s="22"/>
      <c r="BP406" s="22"/>
      <c r="BQ406" s="22"/>
      <c r="BR406" s="24"/>
      <c r="BS406" s="5"/>
    </row>
    <row r="407" spans="1:71" s="33" customFormat="1" hidden="1" outlineLevel="1">
      <c r="A407" s="5"/>
      <c r="B407" s="5" t="s">
        <v>407</v>
      </c>
      <c r="C407" s="43" t="s">
        <v>154</v>
      </c>
      <c r="D407" s="16" t="s">
        <v>289</v>
      </c>
      <c r="E407" s="16" t="s">
        <v>289</v>
      </c>
      <c r="F407" s="16" t="s">
        <v>289</v>
      </c>
      <c r="G407" s="16" t="s">
        <v>289</v>
      </c>
      <c r="H407" s="16" t="s">
        <v>289</v>
      </c>
      <c r="I407" s="16" t="s">
        <v>289</v>
      </c>
      <c r="J407" s="16" t="s">
        <v>289</v>
      </c>
      <c r="K407" s="16" t="s">
        <v>289</v>
      </c>
      <c r="L407" s="16" t="s">
        <v>289</v>
      </c>
      <c r="M407" s="16" t="s">
        <v>289</v>
      </c>
      <c r="N407" s="16" t="s">
        <v>289</v>
      </c>
      <c r="O407" s="16" t="s">
        <v>289</v>
      </c>
      <c r="P407" s="16" t="s">
        <v>289</v>
      </c>
      <c r="Q407" s="16" t="s">
        <v>289</v>
      </c>
      <c r="R407" s="16" t="s">
        <v>289</v>
      </c>
      <c r="S407" s="16" t="s">
        <v>289</v>
      </c>
      <c r="T407" s="16" t="s">
        <v>289</v>
      </c>
      <c r="U407" s="16" t="s">
        <v>289</v>
      </c>
      <c r="V407" s="16" t="s">
        <v>289</v>
      </c>
      <c r="W407" s="16"/>
      <c r="X407" s="16"/>
      <c r="Y407" s="16"/>
      <c r="Z407" s="16"/>
      <c r="AA407" s="16"/>
      <c r="AB407" s="25"/>
      <c r="AC407" s="25"/>
      <c r="AD407" s="24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16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24"/>
      <c r="BK407" s="22"/>
      <c r="BL407" s="23"/>
      <c r="BM407" s="22"/>
      <c r="BN407" s="22"/>
      <c r="BO407" s="22"/>
      <c r="BP407" s="22"/>
      <c r="BQ407" s="22"/>
      <c r="BR407" s="24"/>
      <c r="BS407" s="5"/>
    </row>
    <row r="408" spans="1:71" s="33" customFormat="1" hidden="1" outlineLevel="1">
      <c r="A408" s="5"/>
      <c r="B408" s="5"/>
      <c r="C408" s="43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4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2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24"/>
      <c r="BK408" s="22"/>
      <c r="BL408" s="23"/>
      <c r="BM408" s="22"/>
      <c r="BN408" s="22"/>
      <c r="BO408" s="22"/>
      <c r="BP408" s="22"/>
      <c r="BQ408" s="22"/>
      <c r="BR408" s="24"/>
      <c r="BS408" s="5"/>
    </row>
    <row r="409" spans="1:71" s="33" customFormat="1" ht="13.15" collapsed="1">
      <c r="A409" s="5"/>
      <c r="B409" s="5"/>
      <c r="C409" s="9" t="s">
        <v>258</v>
      </c>
      <c r="D409" s="14">
        <f t="shared" ref="D409:Y409" si="341">IF(D11="no","…",IF(ISNUMBER(D410),D410,IF(ISNUMBER(D411),D411,0)))</f>
        <v>2687</v>
      </c>
      <c r="E409" s="14">
        <f t="shared" si="341"/>
        <v>2872</v>
      </c>
      <c r="F409" s="14">
        <f t="shared" si="341"/>
        <v>3038</v>
      </c>
      <c r="G409" s="14">
        <f t="shared" si="341"/>
        <v>3109</v>
      </c>
      <c r="H409" s="14">
        <f t="shared" si="341"/>
        <v>3344</v>
      </c>
      <c r="I409" s="14">
        <f t="shared" si="341"/>
        <v>3013</v>
      </c>
      <c r="J409" s="14">
        <f t="shared" si="341"/>
        <v>4248</v>
      </c>
      <c r="K409" s="14">
        <f t="shared" si="341"/>
        <v>6333</v>
      </c>
      <c r="L409" s="14">
        <f t="shared" si="341"/>
        <v>7836</v>
      </c>
      <c r="M409" s="14">
        <f t="shared" si="341"/>
        <v>5622</v>
      </c>
      <c r="N409" s="14">
        <f t="shared" si="341"/>
        <v>5878</v>
      </c>
      <c r="O409" s="14">
        <f t="shared" si="341"/>
        <v>8026</v>
      </c>
      <c r="P409" s="14">
        <f t="shared" si="341"/>
        <v>9756</v>
      </c>
      <c r="Q409" s="14">
        <f t="shared" si="341"/>
        <v>9810</v>
      </c>
      <c r="R409" s="14">
        <f t="shared" si="341"/>
        <v>10131</v>
      </c>
      <c r="S409" s="14">
        <f t="shared" si="341"/>
        <v>13106</v>
      </c>
      <c r="T409" s="14">
        <f t="shared" si="341"/>
        <v>13486</v>
      </c>
      <c r="U409" s="14">
        <f t="shared" si="341"/>
        <v>13393</v>
      </c>
      <c r="V409" s="14" t="str">
        <f t="shared" si="341"/>
        <v>…</v>
      </c>
      <c r="W409" s="14" t="str">
        <f t="shared" si="341"/>
        <v>…</v>
      </c>
      <c r="X409" s="14" t="str">
        <f t="shared" si="341"/>
        <v>…</v>
      </c>
      <c r="Y409" s="14" t="str">
        <f t="shared" si="341"/>
        <v>…</v>
      </c>
      <c r="Z409" s="14"/>
      <c r="AA409" s="14"/>
      <c r="AB409" s="14"/>
      <c r="AC409" s="14"/>
      <c r="AD409" s="24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14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24"/>
      <c r="BK409" s="22"/>
      <c r="BL409" s="23"/>
      <c r="BM409" s="22"/>
      <c r="BN409" s="22"/>
      <c r="BO409" s="22"/>
      <c r="BP409" s="22"/>
      <c r="BQ409" s="22"/>
      <c r="BR409" s="24"/>
      <c r="BS409" s="5"/>
    </row>
    <row r="410" spans="1:71" s="33" customFormat="1" hidden="1" outlineLevel="1">
      <c r="A410" s="5"/>
      <c r="B410" s="5" t="s">
        <v>259</v>
      </c>
      <c r="C410" s="38" t="s">
        <v>154</v>
      </c>
      <c r="D410" s="16" t="s">
        <v>289</v>
      </c>
      <c r="E410" s="16" t="s">
        <v>289</v>
      </c>
      <c r="F410" s="16" t="s">
        <v>289</v>
      </c>
      <c r="G410" s="16" t="s">
        <v>289</v>
      </c>
      <c r="H410" s="16" t="s">
        <v>289</v>
      </c>
      <c r="I410" s="16" t="s">
        <v>289</v>
      </c>
      <c r="J410" s="16" t="s">
        <v>289</v>
      </c>
      <c r="K410" s="16" t="s">
        <v>289</v>
      </c>
      <c r="L410" s="16" t="s">
        <v>289</v>
      </c>
      <c r="M410" s="16" t="s">
        <v>289</v>
      </c>
      <c r="N410" s="16" t="s">
        <v>289</v>
      </c>
      <c r="O410" s="16" t="s">
        <v>289</v>
      </c>
      <c r="P410" s="16" t="s">
        <v>289</v>
      </c>
      <c r="Q410" s="16" t="s">
        <v>289</v>
      </c>
      <c r="R410" s="16" t="s">
        <v>289</v>
      </c>
      <c r="S410" s="16" t="s">
        <v>289</v>
      </c>
      <c r="T410" s="16" t="s">
        <v>289</v>
      </c>
      <c r="U410" s="16" t="s">
        <v>289</v>
      </c>
      <c r="V410" s="16" t="s">
        <v>289</v>
      </c>
      <c r="W410" s="16"/>
      <c r="X410" s="16"/>
      <c r="Y410" s="16"/>
      <c r="Z410" s="16"/>
      <c r="AA410" s="16"/>
      <c r="AB410" s="25"/>
      <c r="AC410" s="25"/>
      <c r="AD410" s="24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16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24"/>
      <c r="BK410" s="22"/>
      <c r="BL410" s="23"/>
      <c r="BM410" s="22"/>
      <c r="BN410" s="22"/>
      <c r="BO410" s="22"/>
      <c r="BP410" s="22"/>
      <c r="BQ410" s="22"/>
      <c r="BR410" s="24"/>
      <c r="BS410" s="5"/>
    </row>
    <row r="411" spans="1:71" s="33" customFormat="1" hidden="1" outlineLevel="1">
      <c r="A411" s="5"/>
      <c r="B411" s="5" t="s">
        <v>260</v>
      </c>
      <c r="C411" s="38" t="s">
        <v>161</v>
      </c>
      <c r="D411" s="16">
        <v>2687</v>
      </c>
      <c r="E411" s="16">
        <v>2872</v>
      </c>
      <c r="F411" s="16">
        <v>3038</v>
      </c>
      <c r="G411" s="16">
        <v>3109</v>
      </c>
      <c r="H411" s="16">
        <v>3344</v>
      </c>
      <c r="I411" s="16">
        <v>3013</v>
      </c>
      <c r="J411" s="16">
        <v>4248</v>
      </c>
      <c r="K411" s="16">
        <v>6333</v>
      </c>
      <c r="L411" s="16">
        <v>7836</v>
      </c>
      <c r="M411" s="16">
        <v>5622</v>
      </c>
      <c r="N411" s="16">
        <v>5878</v>
      </c>
      <c r="O411" s="16">
        <v>8026</v>
      </c>
      <c r="P411" s="16">
        <v>9756</v>
      </c>
      <c r="Q411" s="16">
        <v>9810</v>
      </c>
      <c r="R411" s="16">
        <v>10131</v>
      </c>
      <c r="S411" s="16">
        <v>13106</v>
      </c>
      <c r="T411" s="16">
        <v>13486</v>
      </c>
      <c r="U411" s="16">
        <v>13393</v>
      </c>
      <c r="V411" s="16" t="s">
        <v>289</v>
      </c>
      <c r="W411" s="16"/>
      <c r="X411" s="16"/>
      <c r="Y411" s="16"/>
      <c r="Z411" s="16"/>
      <c r="AA411" s="16"/>
      <c r="AB411" s="25"/>
      <c r="AC411" s="25"/>
      <c r="AD411" s="24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16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24"/>
      <c r="BK411" s="22"/>
      <c r="BL411" s="23"/>
      <c r="BM411" s="22"/>
      <c r="BN411" s="22"/>
      <c r="BO411" s="22"/>
      <c r="BP411" s="22"/>
      <c r="BQ411" s="22"/>
      <c r="BR411" s="24"/>
      <c r="BS411" s="5"/>
    </row>
    <row r="412" spans="1:71" s="33" customFormat="1" ht="13.15" collapsed="1">
      <c r="A412" s="5"/>
      <c r="B412" s="5"/>
      <c r="C412" s="9" t="s">
        <v>261</v>
      </c>
      <c r="D412" s="14">
        <f t="shared" ref="D412:Y412" si="342">IF(D11="no","…",IF(ISNUMBER(D413),D413,IF(ISNUMBER(D414),D414,IF(ISNUMBER(D415),D415,IF(ISNUMBER(D416),D416,0)))))</f>
        <v>4221</v>
      </c>
      <c r="E412" s="14">
        <f t="shared" si="342"/>
        <v>4198</v>
      </c>
      <c r="F412" s="14">
        <f t="shared" si="342"/>
        <v>6876</v>
      </c>
      <c r="G412" s="14">
        <f t="shared" si="342"/>
        <v>7795</v>
      </c>
      <c r="H412" s="14">
        <f t="shared" si="342"/>
        <v>6373</v>
      </c>
      <c r="I412" s="14">
        <f t="shared" si="342"/>
        <v>10385</v>
      </c>
      <c r="J412" s="14">
        <f t="shared" si="342"/>
        <v>13528</v>
      </c>
      <c r="K412" s="14">
        <f t="shared" si="342"/>
        <v>10249</v>
      </c>
      <c r="L412" s="14">
        <f t="shared" si="342"/>
        <v>7309</v>
      </c>
      <c r="M412" s="14">
        <f t="shared" si="342"/>
        <v>7934</v>
      </c>
      <c r="N412" s="14">
        <f t="shared" si="342"/>
        <v>9874</v>
      </c>
      <c r="O412" s="14">
        <f t="shared" si="342"/>
        <v>10904</v>
      </c>
      <c r="P412" s="14">
        <f t="shared" si="342"/>
        <v>8616</v>
      </c>
      <c r="Q412" s="14">
        <f t="shared" si="342"/>
        <v>8205</v>
      </c>
      <c r="R412" s="14">
        <f t="shared" si="342"/>
        <v>8434</v>
      </c>
      <c r="S412" s="14">
        <f t="shared" si="342"/>
        <v>8169</v>
      </c>
      <c r="T412" s="14">
        <f t="shared" si="342"/>
        <v>10080</v>
      </c>
      <c r="U412" s="14">
        <f t="shared" si="342"/>
        <v>12531</v>
      </c>
      <c r="V412" s="14" t="str">
        <f t="shared" si="342"/>
        <v>…</v>
      </c>
      <c r="W412" s="14" t="str">
        <f t="shared" si="342"/>
        <v>…</v>
      </c>
      <c r="X412" s="14" t="str">
        <f t="shared" si="342"/>
        <v>…</v>
      </c>
      <c r="Y412" s="14" t="str">
        <f t="shared" si="342"/>
        <v>…</v>
      </c>
      <c r="Z412" s="14"/>
      <c r="AA412" s="14"/>
      <c r="AB412" s="14"/>
      <c r="AC412" s="14"/>
      <c r="AD412" s="24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14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24"/>
      <c r="BK412" s="22"/>
      <c r="BL412" s="23"/>
      <c r="BM412" s="22"/>
      <c r="BN412" s="22"/>
      <c r="BO412" s="22"/>
      <c r="BP412" s="22"/>
      <c r="BQ412" s="22"/>
      <c r="BR412" s="24"/>
      <c r="BS412" s="5"/>
    </row>
    <row r="413" spans="1:71" s="33" customFormat="1" hidden="1" outlineLevel="1">
      <c r="A413" s="5"/>
      <c r="B413" s="5" t="s">
        <v>262</v>
      </c>
      <c r="C413" s="38" t="s">
        <v>154</v>
      </c>
      <c r="D413" s="16" t="s">
        <v>289</v>
      </c>
      <c r="E413" s="16" t="s">
        <v>289</v>
      </c>
      <c r="F413" s="16" t="s">
        <v>289</v>
      </c>
      <c r="G413" s="16" t="s">
        <v>289</v>
      </c>
      <c r="H413" s="16">
        <v>6373</v>
      </c>
      <c r="I413" s="16">
        <v>10385</v>
      </c>
      <c r="J413" s="16">
        <v>13528</v>
      </c>
      <c r="K413" s="16">
        <v>10249</v>
      </c>
      <c r="L413" s="16">
        <v>7309</v>
      </c>
      <c r="M413" s="16">
        <v>7934</v>
      </c>
      <c r="N413" s="16">
        <v>9874</v>
      </c>
      <c r="O413" s="16">
        <v>10904</v>
      </c>
      <c r="P413" s="16">
        <v>8616</v>
      </c>
      <c r="Q413" s="16">
        <v>8205</v>
      </c>
      <c r="R413" s="16">
        <v>8434</v>
      </c>
      <c r="S413" s="16">
        <v>8169</v>
      </c>
      <c r="T413" s="16">
        <v>10080</v>
      </c>
      <c r="U413" s="16">
        <v>12531</v>
      </c>
      <c r="V413" s="16" t="s">
        <v>289</v>
      </c>
      <c r="W413" s="16"/>
      <c r="X413" s="16"/>
      <c r="Y413" s="16"/>
      <c r="Z413" s="16"/>
      <c r="AA413" s="16"/>
      <c r="AB413" s="25"/>
      <c r="AC413" s="25"/>
      <c r="AD413" s="24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16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24"/>
      <c r="BK413" s="22"/>
      <c r="BL413" s="23"/>
      <c r="BM413" s="22"/>
      <c r="BN413" s="22"/>
      <c r="BO413" s="22"/>
      <c r="BP413" s="22"/>
      <c r="BQ413" s="22"/>
      <c r="BR413" s="24"/>
      <c r="BS413" s="5"/>
    </row>
    <row r="414" spans="1:71" s="33" customFormat="1" hidden="1" outlineLevel="1">
      <c r="A414" s="5"/>
      <c r="B414" s="5" t="s">
        <v>263</v>
      </c>
      <c r="C414" s="38" t="s">
        <v>161</v>
      </c>
      <c r="D414" s="16" t="s">
        <v>289</v>
      </c>
      <c r="E414" s="16" t="s">
        <v>289</v>
      </c>
      <c r="F414" s="16" t="s">
        <v>289</v>
      </c>
      <c r="G414" s="16" t="s">
        <v>289</v>
      </c>
      <c r="H414" s="16" t="s">
        <v>289</v>
      </c>
      <c r="I414" s="16" t="s">
        <v>289</v>
      </c>
      <c r="J414" s="16" t="s">
        <v>289</v>
      </c>
      <c r="K414" s="16" t="s">
        <v>289</v>
      </c>
      <c r="L414" s="16" t="s">
        <v>289</v>
      </c>
      <c r="M414" s="16" t="s">
        <v>289</v>
      </c>
      <c r="N414" s="16" t="s">
        <v>289</v>
      </c>
      <c r="O414" s="16" t="s">
        <v>289</v>
      </c>
      <c r="P414" s="16" t="s">
        <v>289</v>
      </c>
      <c r="Q414" s="16" t="s">
        <v>289</v>
      </c>
      <c r="R414" s="16" t="s">
        <v>289</v>
      </c>
      <c r="S414" s="16" t="s">
        <v>289</v>
      </c>
      <c r="T414" s="16" t="s">
        <v>289</v>
      </c>
      <c r="U414" s="16" t="s">
        <v>289</v>
      </c>
      <c r="V414" s="16" t="s">
        <v>289</v>
      </c>
      <c r="W414" s="16"/>
      <c r="X414" s="16"/>
      <c r="Y414" s="16"/>
      <c r="Z414" s="16"/>
      <c r="AA414" s="16"/>
      <c r="AB414" s="25"/>
      <c r="AC414" s="25"/>
      <c r="AD414" s="24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16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24"/>
      <c r="BK414" s="22"/>
      <c r="BL414" s="23"/>
      <c r="BM414" s="22"/>
      <c r="BN414" s="22"/>
      <c r="BO414" s="22"/>
      <c r="BP414" s="22"/>
      <c r="BQ414" s="22"/>
      <c r="BR414" s="24"/>
      <c r="BS414" s="5"/>
    </row>
    <row r="415" spans="1:71" s="33" customFormat="1" hidden="1" outlineLevel="1">
      <c r="A415" s="5"/>
      <c r="B415" s="5" t="s">
        <v>264</v>
      </c>
      <c r="C415" s="38" t="s">
        <v>163</v>
      </c>
      <c r="D415" s="16">
        <v>4221</v>
      </c>
      <c r="E415" s="16">
        <v>4198</v>
      </c>
      <c r="F415" s="16">
        <v>6876</v>
      </c>
      <c r="G415" s="16">
        <v>7795</v>
      </c>
      <c r="H415" s="16" t="s">
        <v>289</v>
      </c>
      <c r="I415" s="16" t="s">
        <v>289</v>
      </c>
      <c r="J415" s="16" t="s">
        <v>289</v>
      </c>
      <c r="K415" s="16" t="s">
        <v>289</v>
      </c>
      <c r="L415" s="16" t="s">
        <v>289</v>
      </c>
      <c r="M415" s="16" t="s">
        <v>289</v>
      </c>
      <c r="N415" s="16" t="s">
        <v>289</v>
      </c>
      <c r="O415" s="16" t="s">
        <v>289</v>
      </c>
      <c r="P415" s="16" t="s">
        <v>289</v>
      </c>
      <c r="Q415" s="16" t="s">
        <v>289</v>
      </c>
      <c r="R415" s="16" t="s">
        <v>289</v>
      </c>
      <c r="S415" s="16" t="s">
        <v>289</v>
      </c>
      <c r="T415" s="16" t="s">
        <v>289</v>
      </c>
      <c r="U415" s="16" t="s">
        <v>289</v>
      </c>
      <c r="V415" s="16" t="s">
        <v>289</v>
      </c>
      <c r="W415" s="16"/>
      <c r="X415" s="16"/>
      <c r="Y415" s="16"/>
      <c r="Z415" s="16"/>
      <c r="AA415" s="16"/>
      <c r="AB415" s="25"/>
      <c r="AC415" s="25"/>
      <c r="AD415" s="24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16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24"/>
      <c r="BK415" s="22"/>
      <c r="BL415" s="23"/>
      <c r="BM415" s="22"/>
      <c r="BN415" s="22"/>
      <c r="BO415" s="22"/>
      <c r="BP415" s="22"/>
      <c r="BQ415" s="22"/>
      <c r="BR415" s="24"/>
      <c r="BS415" s="5"/>
    </row>
    <row r="416" spans="1:71" s="33" customFormat="1" hidden="1" outlineLevel="1">
      <c r="A416" s="5"/>
      <c r="B416" s="5" t="s">
        <v>257</v>
      </c>
      <c r="C416" s="38" t="s">
        <v>165</v>
      </c>
      <c r="D416" s="16" t="s">
        <v>289</v>
      </c>
      <c r="E416" s="16" t="s">
        <v>289</v>
      </c>
      <c r="F416" s="16" t="s">
        <v>289</v>
      </c>
      <c r="G416" s="16" t="s">
        <v>289</v>
      </c>
      <c r="H416" s="16" t="s">
        <v>289</v>
      </c>
      <c r="I416" s="16" t="s">
        <v>289</v>
      </c>
      <c r="J416" s="16" t="s">
        <v>289</v>
      </c>
      <c r="K416" s="16" t="s">
        <v>289</v>
      </c>
      <c r="L416" s="16" t="s">
        <v>289</v>
      </c>
      <c r="M416" s="16" t="s">
        <v>289</v>
      </c>
      <c r="N416" s="16" t="s">
        <v>289</v>
      </c>
      <c r="O416" s="16" t="s">
        <v>289</v>
      </c>
      <c r="P416" s="16" t="s">
        <v>289</v>
      </c>
      <c r="Q416" s="16" t="s">
        <v>289</v>
      </c>
      <c r="R416" s="16" t="s">
        <v>289</v>
      </c>
      <c r="S416" s="16" t="s">
        <v>289</v>
      </c>
      <c r="T416" s="16" t="s">
        <v>289</v>
      </c>
      <c r="U416" s="16" t="s">
        <v>289</v>
      </c>
      <c r="V416" s="16" t="s">
        <v>289</v>
      </c>
      <c r="W416" s="16"/>
      <c r="X416" s="16"/>
      <c r="Y416" s="16"/>
      <c r="Z416" s="16"/>
      <c r="AA416" s="16"/>
      <c r="AB416" s="25"/>
      <c r="AC416" s="25"/>
      <c r="AD416" s="24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16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24"/>
      <c r="BK416" s="22"/>
      <c r="BL416" s="23"/>
      <c r="BM416" s="22"/>
      <c r="BN416" s="22"/>
      <c r="BO416" s="22"/>
      <c r="BP416" s="22"/>
      <c r="BQ416" s="22"/>
      <c r="BR416" s="24"/>
      <c r="BS416" s="5"/>
    </row>
    <row r="417" spans="1:72" s="33" customFormat="1" ht="13.15" collapsed="1">
      <c r="A417" s="5"/>
      <c r="B417" s="5"/>
      <c r="C417" s="9" t="s">
        <v>265</v>
      </c>
      <c r="D417" s="14">
        <f t="shared" ref="D417:Y417" si="343">IF(D11="no","…",IF(ISNUMBER(D419),D419,IF(ISNUMBER(D418),D418,0)))</f>
        <v>0</v>
      </c>
      <c r="E417" s="14">
        <f t="shared" si="343"/>
        <v>0</v>
      </c>
      <c r="F417" s="14">
        <f t="shared" si="343"/>
        <v>0</v>
      </c>
      <c r="G417" s="14">
        <f t="shared" si="343"/>
        <v>0</v>
      </c>
      <c r="H417" s="14">
        <f t="shared" si="343"/>
        <v>0</v>
      </c>
      <c r="I417" s="14">
        <f t="shared" si="343"/>
        <v>0</v>
      </c>
      <c r="J417" s="14">
        <f t="shared" si="343"/>
        <v>0</v>
      </c>
      <c r="K417" s="14">
        <f t="shared" si="343"/>
        <v>0</v>
      </c>
      <c r="L417" s="14">
        <f t="shared" si="343"/>
        <v>0</v>
      </c>
      <c r="M417" s="14">
        <f t="shared" si="343"/>
        <v>0</v>
      </c>
      <c r="N417" s="14">
        <f t="shared" si="343"/>
        <v>0</v>
      </c>
      <c r="O417" s="14">
        <f t="shared" si="343"/>
        <v>0</v>
      </c>
      <c r="P417" s="14">
        <f t="shared" si="343"/>
        <v>0</v>
      </c>
      <c r="Q417" s="14">
        <f t="shared" si="343"/>
        <v>0</v>
      </c>
      <c r="R417" s="14">
        <f t="shared" si="343"/>
        <v>0</v>
      </c>
      <c r="S417" s="14">
        <f t="shared" si="343"/>
        <v>0</v>
      </c>
      <c r="T417" s="14">
        <f t="shared" si="343"/>
        <v>0</v>
      </c>
      <c r="U417" s="14">
        <f t="shared" si="343"/>
        <v>0</v>
      </c>
      <c r="V417" s="14" t="str">
        <f t="shared" si="343"/>
        <v>…</v>
      </c>
      <c r="W417" s="14" t="str">
        <f t="shared" si="343"/>
        <v>…</v>
      </c>
      <c r="X417" s="14" t="str">
        <f t="shared" si="343"/>
        <v>…</v>
      </c>
      <c r="Y417" s="14" t="str">
        <f t="shared" si="343"/>
        <v>…</v>
      </c>
      <c r="Z417" s="14"/>
      <c r="AA417" s="14"/>
      <c r="AB417" s="14"/>
      <c r="AC417" s="14"/>
      <c r="AD417" s="24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14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24"/>
      <c r="BK417" s="22"/>
      <c r="BL417" s="23"/>
      <c r="BM417" s="22"/>
      <c r="BN417" s="22"/>
      <c r="BO417" s="22"/>
      <c r="BP417" s="22"/>
      <c r="BQ417" s="22"/>
      <c r="BR417" s="24"/>
      <c r="BS417" s="5"/>
    </row>
    <row r="418" spans="1:72" s="33" customFormat="1" hidden="1" outlineLevel="1">
      <c r="A418" s="5"/>
      <c r="B418" s="5" t="s">
        <v>266</v>
      </c>
      <c r="C418" s="38" t="s">
        <v>154</v>
      </c>
      <c r="D418" s="16" t="s">
        <v>289</v>
      </c>
      <c r="E418" s="16" t="s">
        <v>289</v>
      </c>
      <c r="F418" s="16" t="s">
        <v>289</v>
      </c>
      <c r="G418" s="16" t="s">
        <v>289</v>
      </c>
      <c r="H418" s="16" t="s">
        <v>289</v>
      </c>
      <c r="I418" s="16" t="s">
        <v>289</v>
      </c>
      <c r="J418" s="16" t="s">
        <v>289</v>
      </c>
      <c r="K418" s="16" t="s">
        <v>289</v>
      </c>
      <c r="L418" s="16" t="s">
        <v>289</v>
      </c>
      <c r="M418" s="16" t="s">
        <v>289</v>
      </c>
      <c r="N418" s="16" t="s">
        <v>289</v>
      </c>
      <c r="O418" s="16" t="s">
        <v>289</v>
      </c>
      <c r="P418" s="16" t="s">
        <v>289</v>
      </c>
      <c r="Q418" s="16" t="s">
        <v>289</v>
      </c>
      <c r="R418" s="16" t="s">
        <v>289</v>
      </c>
      <c r="S418" s="16" t="s">
        <v>289</v>
      </c>
      <c r="T418" s="16" t="s">
        <v>289</v>
      </c>
      <c r="U418" s="16" t="s">
        <v>289</v>
      </c>
      <c r="V418" s="16" t="s">
        <v>289</v>
      </c>
      <c r="W418" s="16"/>
      <c r="X418" s="16"/>
      <c r="Y418" s="16"/>
      <c r="Z418" s="16"/>
      <c r="AA418" s="16"/>
      <c r="AB418" s="25"/>
      <c r="AC418" s="25"/>
      <c r="AD418" s="24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16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24"/>
      <c r="BK418" s="22"/>
      <c r="BL418" s="23"/>
      <c r="BM418" s="22"/>
      <c r="BN418" s="22"/>
      <c r="BO418" s="22"/>
      <c r="BP418" s="22"/>
      <c r="BQ418" s="22"/>
      <c r="BR418" s="24"/>
      <c r="BS418" s="5"/>
    </row>
    <row r="419" spans="1:72" s="33" customFormat="1" hidden="1" outlineLevel="1">
      <c r="A419" s="5"/>
      <c r="B419" s="5"/>
      <c r="C419" s="38" t="s">
        <v>161</v>
      </c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25"/>
      <c r="AC419" s="25"/>
      <c r="AD419" s="24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16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24"/>
      <c r="BK419" s="22"/>
      <c r="BL419" s="23"/>
      <c r="BM419" s="22"/>
      <c r="BN419" s="22"/>
      <c r="BO419" s="22"/>
      <c r="BP419" s="22"/>
      <c r="BQ419" s="22"/>
      <c r="BR419" s="24"/>
      <c r="BS419" s="5"/>
    </row>
    <row r="420" spans="1:72" s="33" customFormat="1" ht="13.15" collapsed="1">
      <c r="A420" s="5"/>
      <c r="B420" s="5"/>
      <c r="C420" s="9" t="s">
        <v>208</v>
      </c>
      <c r="D420" s="14">
        <f t="shared" ref="D420:Y420" si="344">IF(D11="no","…",IF(ISNUMBER(D422),D422,IF(ISNUMBER(D421),D421,0)))</f>
        <v>0</v>
      </c>
      <c r="E420" s="14">
        <f t="shared" si="344"/>
        <v>0</v>
      </c>
      <c r="F420" s="14">
        <f t="shared" si="344"/>
        <v>0</v>
      </c>
      <c r="G420" s="14">
        <f t="shared" si="344"/>
        <v>0</v>
      </c>
      <c r="H420" s="14">
        <f t="shared" si="344"/>
        <v>0</v>
      </c>
      <c r="I420" s="14">
        <f t="shared" si="344"/>
        <v>0</v>
      </c>
      <c r="J420" s="14">
        <f t="shared" si="344"/>
        <v>0</v>
      </c>
      <c r="K420" s="14">
        <f t="shared" si="344"/>
        <v>0</v>
      </c>
      <c r="L420" s="14">
        <f t="shared" si="344"/>
        <v>0</v>
      </c>
      <c r="M420" s="14">
        <f t="shared" si="344"/>
        <v>0</v>
      </c>
      <c r="N420" s="14">
        <f t="shared" si="344"/>
        <v>0</v>
      </c>
      <c r="O420" s="14">
        <f t="shared" si="344"/>
        <v>0</v>
      </c>
      <c r="P420" s="14">
        <f t="shared" si="344"/>
        <v>0</v>
      </c>
      <c r="Q420" s="14">
        <f t="shared" si="344"/>
        <v>0</v>
      </c>
      <c r="R420" s="14">
        <f t="shared" si="344"/>
        <v>0</v>
      </c>
      <c r="S420" s="14">
        <f t="shared" si="344"/>
        <v>0</v>
      </c>
      <c r="T420" s="14">
        <f t="shared" si="344"/>
        <v>0</v>
      </c>
      <c r="U420" s="14">
        <f t="shared" si="344"/>
        <v>0</v>
      </c>
      <c r="V420" s="14" t="str">
        <f t="shared" si="344"/>
        <v>…</v>
      </c>
      <c r="W420" s="14" t="str">
        <f t="shared" si="344"/>
        <v>…</v>
      </c>
      <c r="X420" s="14" t="str">
        <f t="shared" si="344"/>
        <v>…</v>
      </c>
      <c r="Y420" s="14" t="str">
        <f t="shared" si="344"/>
        <v>…</v>
      </c>
      <c r="Z420" s="14"/>
      <c r="AA420" s="14"/>
      <c r="AB420" s="14"/>
      <c r="AC420" s="14"/>
      <c r="AD420" s="24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14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24"/>
      <c r="BK420" s="22"/>
      <c r="BL420" s="23"/>
      <c r="BM420" s="22"/>
      <c r="BN420" s="22"/>
      <c r="BO420" s="22"/>
      <c r="BP420" s="22"/>
      <c r="BQ420" s="22"/>
      <c r="BR420" s="24"/>
      <c r="BS420" s="5"/>
    </row>
    <row r="421" spans="1:72" s="33" customFormat="1" hidden="1" outlineLevel="1">
      <c r="A421" s="5"/>
      <c r="B421" s="5" t="s">
        <v>267</v>
      </c>
      <c r="C421" s="38" t="s">
        <v>154</v>
      </c>
      <c r="D421" s="16" t="s">
        <v>289</v>
      </c>
      <c r="E421" s="16" t="s">
        <v>289</v>
      </c>
      <c r="F421" s="16" t="s">
        <v>289</v>
      </c>
      <c r="G421" s="16" t="s">
        <v>289</v>
      </c>
      <c r="H421" s="16" t="s">
        <v>289</v>
      </c>
      <c r="I421" s="16" t="s">
        <v>289</v>
      </c>
      <c r="J421" s="16" t="s">
        <v>289</v>
      </c>
      <c r="K421" s="16" t="s">
        <v>289</v>
      </c>
      <c r="L421" s="16" t="s">
        <v>289</v>
      </c>
      <c r="M421" s="16" t="s">
        <v>289</v>
      </c>
      <c r="N421" s="16" t="s">
        <v>289</v>
      </c>
      <c r="O421" s="16" t="s">
        <v>289</v>
      </c>
      <c r="P421" s="16" t="s">
        <v>289</v>
      </c>
      <c r="Q421" s="16" t="s">
        <v>289</v>
      </c>
      <c r="R421" s="16" t="s">
        <v>289</v>
      </c>
      <c r="S421" s="16" t="s">
        <v>289</v>
      </c>
      <c r="T421" s="16" t="s">
        <v>289</v>
      </c>
      <c r="U421" s="16" t="s">
        <v>289</v>
      </c>
      <c r="V421" s="16" t="s">
        <v>289</v>
      </c>
      <c r="W421" s="16"/>
      <c r="X421" s="16"/>
      <c r="Y421" s="16"/>
      <c r="Z421" s="16"/>
      <c r="AA421" s="16"/>
      <c r="AB421" s="25"/>
      <c r="AC421" s="25"/>
      <c r="AD421" s="24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16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24"/>
      <c r="BK421" s="22"/>
      <c r="BL421" s="23"/>
      <c r="BM421" s="22"/>
      <c r="BN421" s="22"/>
      <c r="BO421" s="22"/>
      <c r="BP421" s="22"/>
      <c r="BQ421" s="22"/>
      <c r="BR421" s="24"/>
      <c r="BS421" s="5"/>
    </row>
    <row r="422" spans="1:72" s="33" customFormat="1" hidden="1" outlineLevel="1">
      <c r="A422" s="5"/>
      <c r="B422" s="5"/>
      <c r="C422" s="38" t="s">
        <v>161</v>
      </c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25"/>
      <c r="AC422" s="25"/>
      <c r="AD422" s="24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16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24"/>
      <c r="BK422" s="22"/>
      <c r="BL422" s="23"/>
      <c r="BM422" s="22"/>
      <c r="BN422" s="22"/>
      <c r="BO422" s="22"/>
      <c r="BP422" s="22"/>
      <c r="BQ422" s="22"/>
      <c r="BR422" s="24"/>
      <c r="BS422" s="5"/>
    </row>
    <row r="423" spans="1:72" s="33" customFormat="1" ht="13.15" collapsed="1">
      <c r="A423" s="5"/>
      <c r="B423" s="38"/>
      <c r="C423" s="9" t="s">
        <v>209</v>
      </c>
      <c r="D423" s="14">
        <f t="shared" ref="D423:Y423" si="345">IF(D11="yes",SUM(D424,D425,D426),"...")</f>
        <v>0</v>
      </c>
      <c r="E423" s="14">
        <f t="shared" si="345"/>
        <v>0</v>
      </c>
      <c r="F423" s="14">
        <f t="shared" si="345"/>
        <v>0</v>
      </c>
      <c r="G423" s="14">
        <f t="shared" si="345"/>
        <v>0</v>
      </c>
      <c r="H423" s="14">
        <f t="shared" si="345"/>
        <v>0</v>
      </c>
      <c r="I423" s="14">
        <f t="shared" si="345"/>
        <v>0</v>
      </c>
      <c r="J423" s="14">
        <f t="shared" si="345"/>
        <v>0</v>
      </c>
      <c r="K423" s="14">
        <f t="shared" si="345"/>
        <v>0</v>
      </c>
      <c r="L423" s="14">
        <f t="shared" si="345"/>
        <v>0</v>
      </c>
      <c r="M423" s="14">
        <f t="shared" si="345"/>
        <v>0</v>
      </c>
      <c r="N423" s="14">
        <f t="shared" si="345"/>
        <v>0</v>
      </c>
      <c r="O423" s="14">
        <f t="shared" si="345"/>
        <v>0</v>
      </c>
      <c r="P423" s="14">
        <f t="shared" si="345"/>
        <v>0</v>
      </c>
      <c r="Q423" s="14">
        <f t="shared" si="345"/>
        <v>0</v>
      </c>
      <c r="R423" s="14">
        <f t="shared" si="345"/>
        <v>0</v>
      </c>
      <c r="S423" s="14">
        <f t="shared" si="345"/>
        <v>0</v>
      </c>
      <c r="T423" s="14">
        <f t="shared" si="345"/>
        <v>0</v>
      </c>
      <c r="U423" s="14">
        <f t="shared" si="345"/>
        <v>0</v>
      </c>
      <c r="V423" s="14" t="str">
        <f t="shared" si="345"/>
        <v>...</v>
      </c>
      <c r="W423" s="14" t="str">
        <f t="shared" si="345"/>
        <v>...</v>
      </c>
      <c r="X423" s="14" t="str">
        <f t="shared" si="345"/>
        <v>...</v>
      </c>
      <c r="Y423" s="14" t="str">
        <f t="shared" si="345"/>
        <v>...</v>
      </c>
      <c r="Z423" s="14"/>
      <c r="AA423" s="14"/>
      <c r="AB423" s="14"/>
      <c r="AC423" s="14"/>
      <c r="AD423" s="24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14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24"/>
      <c r="BK423" s="22"/>
      <c r="BL423" s="23"/>
      <c r="BM423" s="22"/>
      <c r="BN423" s="22"/>
      <c r="BO423" s="22"/>
      <c r="BP423" s="22"/>
      <c r="BQ423" s="22"/>
      <c r="BR423" s="24"/>
      <c r="BS423" s="5"/>
    </row>
    <row r="424" spans="1:72" s="33" customFormat="1" hidden="1" outlineLevel="1">
      <c r="A424" s="5"/>
      <c r="B424" s="5" t="s">
        <v>268</v>
      </c>
      <c r="C424" s="43" t="s">
        <v>359</v>
      </c>
      <c r="D424" s="16" t="s">
        <v>289</v>
      </c>
      <c r="E424" s="16" t="s">
        <v>289</v>
      </c>
      <c r="F424" s="16" t="s">
        <v>289</v>
      </c>
      <c r="G424" s="16" t="s">
        <v>289</v>
      </c>
      <c r="H424" s="16" t="s">
        <v>289</v>
      </c>
      <c r="I424" s="16" t="s">
        <v>289</v>
      </c>
      <c r="J424" s="16" t="s">
        <v>289</v>
      </c>
      <c r="K424" s="16" t="s">
        <v>289</v>
      </c>
      <c r="L424" s="16" t="s">
        <v>289</v>
      </c>
      <c r="M424" s="16" t="s">
        <v>289</v>
      </c>
      <c r="N424" s="16" t="s">
        <v>289</v>
      </c>
      <c r="O424" s="16" t="s">
        <v>289</v>
      </c>
      <c r="P424" s="16" t="s">
        <v>289</v>
      </c>
      <c r="Q424" s="16" t="s">
        <v>289</v>
      </c>
      <c r="R424" s="16" t="s">
        <v>289</v>
      </c>
      <c r="S424" s="16" t="s">
        <v>289</v>
      </c>
      <c r="T424" s="16" t="s">
        <v>289</v>
      </c>
      <c r="U424" s="16" t="s">
        <v>289</v>
      </c>
      <c r="V424" s="16" t="s">
        <v>289</v>
      </c>
      <c r="W424" s="16"/>
      <c r="X424" s="16"/>
      <c r="Y424" s="16"/>
      <c r="Z424" s="16"/>
      <c r="AA424" s="16"/>
      <c r="AB424" s="25"/>
      <c r="AC424" s="25"/>
      <c r="AD424" s="24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16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24"/>
      <c r="BK424" s="22"/>
      <c r="BL424" s="23"/>
      <c r="BM424" s="22"/>
      <c r="BN424" s="22"/>
      <c r="BO424" s="22"/>
      <c r="BP424" s="22"/>
      <c r="BQ424" s="22"/>
      <c r="BR424" s="24"/>
      <c r="BS424" s="5"/>
    </row>
    <row r="425" spans="1:72" s="33" customFormat="1" hidden="1" outlineLevel="1">
      <c r="A425" s="5"/>
      <c r="B425" s="5" t="s">
        <v>269</v>
      </c>
      <c r="C425" s="43" t="s">
        <v>360</v>
      </c>
      <c r="D425" s="16" t="s">
        <v>289</v>
      </c>
      <c r="E425" s="16" t="s">
        <v>289</v>
      </c>
      <c r="F425" s="16" t="s">
        <v>289</v>
      </c>
      <c r="G425" s="16" t="s">
        <v>289</v>
      </c>
      <c r="H425" s="16" t="s">
        <v>289</v>
      </c>
      <c r="I425" s="16" t="s">
        <v>289</v>
      </c>
      <c r="J425" s="16" t="s">
        <v>289</v>
      </c>
      <c r="K425" s="16" t="s">
        <v>289</v>
      </c>
      <c r="L425" s="16" t="s">
        <v>289</v>
      </c>
      <c r="M425" s="16" t="s">
        <v>289</v>
      </c>
      <c r="N425" s="16" t="s">
        <v>289</v>
      </c>
      <c r="O425" s="16" t="s">
        <v>289</v>
      </c>
      <c r="P425" s="16" t="s">
        <v>289</v>
      </c>
      <c r="Q425" s="16" t="s">
        <v>289</v>
      </c>
      <c r="R425" s="16" t="s">
        <v>289</v>
      </c>
      <c r="S425" s="16" t="s">
        <v>289</v>
      </c>
      <c r="T425" s="16" t="s">
        <v>289</v>
      </c>
      <c r="U425" s="16" t="s">
        <v>289</v>
      </c>
      <c r="V425" s="16" t="s">
        <v>289</v>
      </c>
      <c r="W425" s="16"/>
      <c r="X425" s="16"/>
      <c r="Y425" s="16"/>
      <c r="Z425" s="16"/>
      <c r="AA425" s="16"/>
      <c r="AB425" s="25"/>
      <c r="AC425" s="25"/>
      <c r="AD425" s="24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16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24"/>
      <c r="BK425" s="22"/>
      <c r="BL425" s="23"/>
      <c r="BM425" s="22"/>
      <c r="BN425" s="22"/>
      <c r="BO425" s="22"/>
      <c r="BP425" s="22"/>
      <c r="BQ425" s="22"/>
      <c r="BR425" s="24"/>
      <c r="BS425" s="5"/>
    </row>
    <row r="426" spans="1:72" s="33" customFormat="1" hidden="1" outlineLevel="1">
      <c r="A426" s="5"/>
      <c r="B426" s="5"/>
      <c r="C426" s="43" t="s">
        <v>361</v>
      </c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25"/>
      <c r="AC426" s="25"/>
      <c r="AD426" s="24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16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24"/>
      <c r="BK426" s="22"/>
      <c r="BL426" s="23"/>
      <c r="BM426" s="22"/>
      <c r="BN426" s="22"/>
      <c r="BO426" s="22"/>
      <c r="BP426" s="22"/>
      <c r="BQ426" s="22"/>
      <c r="BR426" s="24"/>
      <c r="BS426" s="5"/>
    </row>
    <row r="427" spans="1:72" s="33" customFormat="1" hidden="1" outlineLevel="1">
      <c r="A427" s="5"/>
      <c r="B427" s="5"/>
      <c r="C427" s="43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4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2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24"/>
      <c r="BK427" s="22"/>
      <c r="BL427" s="23"/>
      <c r="BM427" s="22"/>
      <c r="BN427" s="22"/>
      <c r="BO427" s="22"/>
      <c r="BP427" s="22"/>
      <c r="BQ427" s="22"/>
      <c r="BR427" s="24"/>
      <c r="BS427" s="5"/>
    </row>
    <row r="428" spans="1:72" ht="13.15" collapsed="1">
      <c r="B428" s="38"/>
      <c r="C428" s="9" t="s">
        <v>271</v>
      </c>
      <c r="D428" s="14">
        <f t="shared" ref="D428:N428" si="346">IF(D11="yes",SUM(D429:D431),"…")</f>
        <v>2933</v>
      </c>
      <c r="E428" s="14">
        <f t="shared" si="346"/>
        <v>4017</v>
      </c>
      <c r="F428" s="14">
        <f t="shared" si="346"/>
        <v>5091</v>
      </c>
      <c r="G428" s="14">
        <f t="shared" si="346"/>
        <v>6615</v>
      </c>
      <c r="H428" s="14">
        <f t="shared" si="346"/>
        <v>3770</v>
      </c>
      <c r="I428" s="14">
        <f t="shared" si="346"/>
        <v>3330</v>
      </c>
      <c r="J428" s="14">
        <f t="shared" si="346"/>
        <v>5501</v>
      </c>
      <c r="K428" s="14">
        <f t="shared" si="346"/>
        <v>6146</v>
      </c>
      <c r="L428" s="14">
        <f t="shared" si="346"/>
        <v>7433</v>
      </c>
      <c r="M428" s="14">
        <f t="shared" si="346"/>
        <v>8492</v>
      </c>
      <c r="N428" s="14">
        <f t="shared" si="346"/>
        <v>10861</v>
      </c>
      <c r="O428" s="14">
        <f t="shared" ref="O428:Y428" si="347">IF(O11="yes",SUM(O429,O430,O431),"…")</f>
        <v>15007</v>
      </c>
      <c r="P428" s="14">
        <f t="shared" si="347"/>
        <v>17520</v>
      </c>
      <c r="Q428" s="14">
        <f t="shared" si="347"/>
        <v>15939</v>
      </c>
      <c r="R428" s="14">
        <f t="shared" si="347"/>
        <v>17080</v>
      </c>
      <c r="S428" s="14">
        <f t="shared" si="347"/>
        <v>16769</v>
      </c>
      <c r="T428" s="14">
        <f t="shared" si="347"/>
        <v>21162</v>
      </c>
      <c r="U428" s="14">
        <f t="shared" si="347"/>
        <v>22532</v>
      </c>
      <c r="V428" s="14" t="str">
        <f t="shared" si="347"/>
        <v>…</v>
      </c>
      <c r="W428" s="14" t="str">
        <f t="shared" si="347"/>
        <v>…</v>
      </c>
      <c r="X428" s="14" t="str">
        <f t="shared" si="347"/>
        <v>…</v>
      </c>
      <c r="Y428" s="14" t="str">
        <f t="shared" si="347"/>
        <v>…</v>
      </c>
      <c r="Z428" s="14"/>
      <c r="AA428" s="14"/>
      <c r="AB428" s="14"/>
      <c r="AC428" s="14"/>
      <c r="AD428" s="24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14"/>
      <c r="AZ428" s="5"/>
      <c r="BJ428" s="24"/>
      <c r="BK428" s="22"/>
      <c r="BL428" s="23"/>
      <c r="BM428" s="22"/>
      <c r="BN428" s="22"/>
      <c r="BO428" s="22"/>
      <c r="BP428" s="22"/>
      <c r="BQ428" s="22"/>
      <c r="BR428" s="24"/>
      <c r="BT428" s="33"/>
    </row>
    <row r="429" spans="1:72" hidden="1" outlineLevel="1">
      <c r="B429" s="5" t="s">
        <v>272</v>
      </c>
      <c r="C429" s="43" t="s">
        <v>359</v>
      </c>
      <c r="D429" s="16">
        <v>2933</v>
      </c>
      <c r="E429" s="16">
        <v>4017</v>
      </c>
      <c r="F429" s="16">
        <v>5091</v>
      </c>
      <c r="G429" s="16">
        <v>6615</v>
      </c>
      <c r="H429" s="16">
        <v>3770</v>
      </c>
      <c r="I429" s="16">
        <v>3330</v>
      </c>
      <c r="J429" s="16">
        <v>5501</v>
      </c>
      <c r="K429" s="16">
        <v>6146</v>
      </c>
      <c r="L429" s="16">
        <v>7433</v>
      </c>
      <c r="M429" s="16">
        <v>8492</v>
      </c>
      <c r="N429" s="16">
        <v>10861</v>
      </c>
      <c r="O429" s="16">
        <v>15007</v>
      </c>
      <c r="P429" s="16">
        <v>17520</v>
      </c>
      <c r="Q429" s="16">
        <v>15939</v>
      </c>
      <c r="R429" s="16">
        <v>17080</v>
      </c>
      <c r="S429" s="16">
        <v>16769</v>
      </c>
      <c r="T429" s="16">
        <v>21162</v>
      </c>
      <c r="U429" s="16">
        <v>22532</v>
      </c>
      <c r="V429" s="16" t="s">
        <v>289</v>
      </c>
      <c r="W429" s="16"/>
      <c r="X429" s="16"/>
      <c r="Y429" s="16"/>
      <c r="Z429" s="16"/>
      <c r="AA429" s="16"/>
      <c r="AB429" s="25"/>
      <c r="AC429" s="25"/>
      <c r="AD429" s="24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16"/>
      <c r="AZ429" s="5"/>
      <c r="BJ429" s="24"/>
      <c r="BK429" s="22"/>
      <c r="BL429" s="23"/>
      <c r="BM429" s="22"/>
      <c r="BN429" s="22"/>
      <c r="BO429" s="22"/>
      <c r="BP429" s="22"/>
      <c r="BQ429" s="22"/>
      <c r="BR429" s="24"/>
      <c r="BT429" s="33"/>
    </row>
    <row r="430" spans="1:72" hidden="1" outlineLevel="1">
      <c r="B430" s="5" t="s">
        <v>1533</v>
      </c>
      <c r="C430" s="43" t="s">
        <v>360</v>
      </c>
      <c r="D430" s="16" t="s">
        <v>289</v>
      </c>
      <c r="E430" s="16" t="s">
        <v>289</v>
      </c>
      <c r="F430" s="16" t="s">
        <v>289</v>
      </c>
      <c r="G430" s="16" t="s">
        <v>289</v>
      </c>
      <c r="H430" s="16" t="s">
        <v>289</v>
      </c>
      <c r="I430" s="16" t="s">
        <v>289</v>
      </c>
      <c r="J430" s="16" t="s">
        <v>289</v>
      </c>
      <c r="K430" s="16" t="s">
        <v>289</v>
      </c>
      <c r="L430" s="16" t="s">
        <v>289</v>
      </c>
      <c r="M430" s="16" t="s">
        <v>289</v>
      </c>
      <c r="N430" s="16" t="s">
        <v>289</v>
      </c>
      <c r="O430" s="16" t="s">
        <v>289</v>
      </c>
      <c r="P430" s="16" t="s">
        <v>289</v>
      </c>
      <c r="Q430" s="16" t="s">
        <v>289</v>
      </c>
      <c r="R430" s="16" t="s">
        <v>289</v>
      </c>
      <c r="S430" s="16" t="s">
        <v>289</v>
      </c>
      <c r="T430" s="16" t="s">
        <v>289</v>
      </c>
      <c r="U430" s="16" t="s">
        <v>289</v>
      </c>
      <c r="V430" s="16" t="s">
        <v>289</v>
      </c>
      <c r="W430" s="16"/>
      <c r="X430" s="16"/>
      <c r="Y430" s="16"/>
      <c r="Z430" s="16"/>
      <c r="AA430" s="16"/>
      <c r="AB430" s="25"/>
      <c r="AC430" s="2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16"/>
      <c r="AZ430" s="5"/>
      <c r="BJ430" s="24"/>
      <c r="BK430" s="22"/>
      <c r="BL430" s="23"/>
      <c r="BM430" s="22"/>
      <c r="BN430" s="22"/>
      <c r="BO430" s="22"/>
      <c r="BP430" s="22"/>
      <c r="BQ430" s="22"/>
      <c r="BR430" s="24"/>
      <c r="BT430" s="33"/>
    </row>
    <row r="431" spans="1:72" hidden="1" outlineLevel="1">
      <c r="C431" s="43" t="s">
        <v>1763</v>
      </c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25"/>
      <c r="AC431" s="2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16"/>
      <c r="AZ431" s="5"/>
      <c r="BJ431" s="24"/>
      <c r="BK431" s="22"/>
      <c r="BL431" s="23"/>
      <c r="BM431" s="22"/>
      <c r="BN431" s="22"/>
      <c r="BO431" s="22"/>
      <c r="BP431" s="22"/>
      <c r="BQ431" s="22"/>
      <c r="BR431" s="24"/>
      <c r="BT431" s="33"/>
    </row>
    <row r="432" spans="1:72" hidden="1" outlineLevel="1">
      <c r="C432" s="43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25"/>
      <c r="AC432" s="2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16"/>
      <c r="AZ432" s="5"/>
      <c r="BJ432" s="24"/>
      <c r="BK432" s="22"/>
      <c r="BL432" s="23"/>
      <c r="BM432" s="22"/>
      <c r="BN432" s="22"/>
      <c r="BO432" s="22"/>
      <c r="BP432" s="22"/>
      <c r="BQ432" s="22"/>
      <c r="BR432" s="24"/>
      <c r="BT432" s="33"/>
    </row>
    <row r="433" spans="1:71" s="33" customFormat="1" ht="13.15" collapsed="1">
      <c r="A433" s="5"/>
      <c r="B433" s="5"/>
      <c r="C433" s="9" t="s">
        <v>251</v>
      </c>
      <c r="D433" s="14">
        <f>SUM(D435:D448)</f>
        <v>293</v>
      </c>
      <c r="E433" s="14">
        <f t="shared" ref="E433:R433" si="348">SUM(E435:E448)</f>
        <v>336</v>
      </c>
      <c r="F433" s="14">
        <f t="shared" si="348"/>
        <v>410</v>
      </c>
      <c r="G433" s="14">
        <f t="shared" si="348"/>
        <v>548</v>
      </c>
      <c r="H433" s="14">
        <f t="shared" si="348"/>
        <v>583</v>
      </c>
      <c r="I433" s="14">
        <f t="shared" si="348"/>
        <v>543</v>
      </c>
      <c r="J433" s="14">
        <f t="shared" si="348"/>
        <v>640</v>
      </c>
      <c r="K433" s="14">
        <f t="shared" si="348"/>
        <v>3049</v>
      </c>
      <c r="L433" s="14">
        <f t="shared" si="348"/>
        <v>3870</v>
      </c>
      <c r="M433" s="14">
        <f t="shared" si="348"/>
        <v>3941</v>
      </c>
      <c r="N433" s="14">
        <f t="shared" si="348"/>
        <v>3683</v>
      </c>
      <c r="O433" s="14">
        <f t="shared" si="348"/>
        <v>1948</v>
      </c>
      <c r="P433" s="14">
        <f t="shared" si="348"/>
        <v>15184</v>
      </c>
      <c r="Q433" s="14">
        <f t="shared" si="348"/>
        <v>15451</v>
      </c>
      <c r="R433" s="14">
        <f t="shared" si="348"/>
        <v>14059</v>
      </c>
      <c r="S433" s="14">
        <f t="shared" ref="S433:Y433" si="349">SUM(S435:S448)</f>
        <v>13281</v>
      </c>
      <c r="T433" s="14">
        <f t="shared" si="349"/>
        <v>15964</v>
      </c>
      <c r="U433" s="14">
        <f t="shared" si="349"/>
        <v>20781</v>
      </c>
      <c r="V433" s="14">
        <f t="shared" si="349"/>
        <v>0</v>
      </c>
      <c r="W433" s="14">
        <f t="shared" si="349"/>
        <v>0</v>
      </c>
      <c r="X433" s="14">
        <f t="shared" si="349"/>
        <v>0</v>
      </c>
      <c r="Y433" s="14">
        <f t="shared" si="349"/>
        <v>0</v>
      </c>
      <c r="Z433" s="14"/>
      <c r="AA433" s="14"/>
      <c r="AB433" s="14"/>
      <c r="AC433" s="14"/>
      <c r="AD433" s="24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14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24"/>
      <c r="BK433" s="22"/>
      <c r="BL433" s="23"/>
      <c r="BM433" s="22"/>
      <c r="BN433" s="22"/>
      <c r="BO433" s="22"/>
      <c r="BP433" s="22"/>
      <c r="BQ433" s="22"/>
      <c r="BR433" s="24"/>
      <c r="BS433" s="5"/>
    </row>
    <row r="434" spans="1:71" hidden="1" outlineLevel="1"/>
    <row r="435" spans="1:71" s="33" customFormat="1" hidden="1" outlineLevel="1">
      <c r="A435" s="5"/>
      <c r="B435" s="5" t="s">
        <v>253</v>
      </c>
      <c r="C435" s="43" t="s">
        <v>154</v>
      </c>
      <c r="D435" s="16" t="s">
        <v>289</v>
      </c>
      <c r="E435" s="16" t="s">
        <v>289</v>
      </c>
      <c r="F435" s="16" t="s">
        <v>289</v>
      </c>
      <c r="G435" s="16" t="s">
        <v>289</v>
      </c>
      <c r="H435" s="16" t="s">
        <v>289</v>
      </c>
      <c r="I435" s="16" t="s">
        <v>289</v>
      </c>
      <c r="J435" s="16" t="s">
        <v>289</v>
      </c>
      <c r="K435" s="16" t="s">
        <v>289</v>
      </c>
      <c r="L435" s="16" t="s">
        <v>289</v>
      </c>
      <c r="M435" s="16" t="s">
        <v>289</v>
      </c>
      <c r="N435" s="16" t="s">
        <v>289</v>
      </c>
      <c r="O435" s="16" t="s">
        <v>289</v>
      </c>
      <c r="P435" s="16">
        <v>8256</v>
      </c>
      <c r="Q435" s="16">
        <v>8455</v>
      </c>
      <c r="R435" s="16">
        <v>6521</v>
      </c>
      <c r="S435" s="16">
        <v>5553</v>
      </c>
      <c r="T435" s="16">
        <v>7834</v>
      </c>
      <c r="U435" s="16">
        <v>9156</v>
      </c>
      <c r="V435" s="16" t="s">
        <v>289</v>
      </c>
      <c r="W435" s="16"/>
      <c r="X435" s="16"/>
      <c r="Y435" s="16"/>
      <c r="Z435" s="16"/>
      <c r="AA435" s="16"/>
      <c r="AB435" s="25"/>
      <c r="AC435" s="25"/>
      <c r="AD435" s="24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16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24"/>
      <c r="BK435" s="22"/>
      <c r="BL435" s="23"/>
      <c r="BM435" s="22"/>
      <c r="BN435" s="22"/>
      <c r="BO435" s="22"/>
      <c r="BP435" s="22"/>
      <c r="BQ435" s="22"/>
      <c r="BR435" s="24"/>
      <c r="BS435" s="5"/>
    </row>
    <row r="436" spans="1:71" s="33" customFormat="1" hidden="1" outlineLevel="1">
      <c r="A436" s="5"/>
      <c r="B436" s="5" t="s">
        <v>2139</v>
      </c>
      <c r="C436" s="43"/>
      <c r="D436" s="16" t="s">
        <v>289</v>
      </c>
      <c r="E436" s="16" t="s">
        <v>289</v>
      </c>
      <c r="F436" s="16" t="s">
        <v>289</v>
      </c>
      <c r="G436" s="16" t="s">
        <v>289</v>
      </c>
      <c r="H436" s="16" t="s">
        <v>289</v>
      </c>
      <c r="I436" s="16" t="s">
        <v>289</v>
      </c>
      <c r="J436" s="16" t="s">
        <v>289</v>
      </c>
      <c r="K436" s="16" t="s">
        <v>289</v>
      </c>
      <c r="L436" s="16" t="s">
        <v>289</v>
      </c>
      <c r="M436" s="16" t="s">
        <v>289</v>
      </c>
      <c r="N436" s="16" t="s">
        <v>289</v>
      </c>
      <c r="O436" s="16" t="s">
        <v>289</v>
      </c>
      <c r="P436" s="16" t="s">
        <v>289</v>
      </c>
      <c r="Q436" s="16" t="s">
        <v>289</v>
      </c>
      <c r="R436" s="16" t="s">
        <v>289</v>
      </c>
      <c r="S436" s="16" t="s">
        <v>289</v>
      </c>
      <c r="T436" s="16" t="s">
        <v>289</v>
      </c>
      <c r="U436" s="16" t="s">
        <v>289</v>
      </c>
      <c r="V436" s="16" t="s">
        <v>289</v>
      </c>
      <c r="W436" s="16"/>
      <c r="X436" s="16"/>
      <c r="Y436" s="16"/>
      <c r="Z436" s="16"/>
      <c r="AA436" s="16"/>
      <c r="AB436" s="25"/>
      <c r="AC436" s="25"/>
      <c r="AD436" s="24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16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24"/>
      <c r="BK436" s="22"/>
      <c r="BL436" s="23"/>
      <c r="BM436" s="22"/>
      <c r="BN436" s="22"/>
      <c r="BO436" s="22"/>
      <c r="BP436" s="22"/>
      <c r="BQ436" s="22"/>
      <c r="BR436" s="24"/>
      <c r="BS436" s="5"/>
    </row>
    <row r="437" spans="1:71" s="33" customFormat="1" hidden="1" outlineLevel="1">
      <c r="A437" s="5"/>
      <c r="B437" s="5" t="s">
        <v>252</v>
      </c>
      <c r="C437" s="43" t="s">
        <v>154</v>
      </c>
      <c r="D437" s="16">
        <v>293</v>
      </c>
      <c r="E437" s="16">
        <v>336</v>
      </c>
      <c r="F437" s="16">
        <v>410</v>
      </c>
      <c r="G437" s="16">
        <v>548</v>
      </c>
      <c r="H437" s="16" t="s">
        <v>289</v>
      </c>
      <c r="I437" s="16" t="s">
        <v>289</v>
      </c>
      <c r="J437" s="16" t="s">
        <v>289</v>
      </c>
      <c r="K437" s="16" t="s">
        <v>289</v>
      </c>
      <c r="L437" s="16" t="s">
        <v>289</v>
      </c>
      <c r="M437" s="16" t="s">
        <v>289</v>
      </c>
      <c r="N437" s="16" t="s">
        <v>289</v>
      </c>
      <c r="O437" s="16" t="s">
        <v>289</v>
      </c>
      <c r="P437" s="16" t="s">
        <v>289</v>
      </c>
      <c r="Q437" s="16" t="s">
        <v>289</v>
      </c>
      <c r="R437" s="16" t="s">
        <v>289</v>
      </c>
      <c r="S437" s="16" t="s">
        <v>289</v>
      </c>
      <c r="T437" s="16" t="s">
        <v>289</v>
      </c>
      <c r="U437" s="16" t="s">
        <v>289</v>
      </c>
      <c r="V437" s="16" t="s">
        <v>289</v>
      </c>
      <c r="W437" s="16"/>
      <c r="X437" s="16"/>
      <c r="Y437" s="16"/>
      <c r="Z437" s="16"/>
      <c r="AA437" s="16"/>
      <c r="AB437" s="25"/>
      <c r="AC437" s="25"/>
      <c r="AD437" s="24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16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24"/>
      <c r="BK437" s="22"/>
      <c r="BL437" s="23"/>
      <c r="BM437" s="22"/>
      <c r="BN437" s="22"/>
      <c r="BO437" s="22"/>
      <c r="BP437" s="22"/>
      <c r="BQ437" s="22"/>
      <c r="BR437" s="24"/>
      <c r="BS437" s="5"/>
    </row>
    <row r="438" spans="1:71" hidden="1" outlineLevel="1">
      <c r="B438" s="5" t="s">
        <v>1726</v>
      </c>
      <c r="C438" s="43" t="s">
        <v>154</v>
      </c>
      <c r="D438" s="16" t="s">
        <v>289</v>
      </c>
      <c r="E438" s="16" t="s">
        <v>289</v>
      </c>
      <c r="F438" s="16" t="s">
        <v>289</v>
      </c>
      <c r="G438" s="16" t="s">
        <v>289</v>
      </c>
      <c r="H438" s="16">
        <v>583</v>
      </c>
      <c r="I438" s="16">
        <v>543</v>
      </c>
      <c r="J438" s="16">
        <v>640</v>
      </c>
      <c r="K438" s="16">
        <v>3049</v>
      </c>
      <c r="L438" s="16">
        <v>3870</v>
      </c>
      <c r="M438" s="16">
        <v>3941</v>
      </c>
      <c r="N438" s="16">
        <v>3683</v>
      </c>
      <c r="O438" s="16">
        <v>974</v>
      </c>
      <c r="P438" s="16">
        <v>996</v>
      </c>
      <c r="Q438" s="20">
        <v>1318</v>
      </c>
      <c r="R438" s="20">
        <v>1474</v>
      </c>
      <c r="S438" s="20">
        <v>1902</v>
      </c>
      <c r="T438" s="20">
        <v>1865</v>
      </c>
      <c r="U438" s="20">
        <v>3000</v>
      </c>
      <c r="V438" s="20" t="s">
        <v>289</v>
      </c>
      <c r="AD438" s="24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Z438" s="5"/>
    </row>
    <row r="439" spans="1:71" s="33" customFormat="1" hidden="1" outlineLevel="1">
      <c r="A439" s="5"/>
      <c r="B439" s="5" t="s">
        <v>254</v>
      </c>
      <c r="C439" s="43" t="s">
        <v>154</v>
      </c>
      <c r="D439" s="16" t="s">
        <v>289</v>
      </c>
      <c r="E439" s="16" t="s">
        <v>289</v>
      </c>
      <c r="F439" s="16" t="s">
        <v>289</v>
      </c>
      <c r="G439" s="16" t="s">
        <v>289</v>
      </c>
      <c r="H439" s="16" t="s">
        <v>289</v>
      </c>
      <c r="I439" s="16" t="s">
        <v>289</v>
      </c>
      <c r="J439" s="16" t="s">
        <v>289</v>
      </c>
      <c r="K439" s="16" t="s">
        <v>289</v>
      </c>
      <c r="L439" s="16" t="s">
        <v>289</v>
      </c>
      <c r="M439" s="16" t="s">
        <v>289</v>
      </c>
      <c r="N439" s="16" t="s">
        <v>289</v>
      </c>
      <c r="O439" s="16" t="s">
        <v>289</v>
      </c>
      <c r="P439" s="16" t="s">
        <v>289</v>
      </c>
      <c r="Q439" s="16" t="s">
        <v>289</v>
      </c>
      <c r="R439" s="16" t="s">
        <v>289</v>
      </c>
      <c r="S439" s="16" t="s">
        <v>289</v>
      </c>
      <c r="T439" s="16" t="s">
        <v>289</v>
      </c>
      <c r="U439" s="16" t="s">
        <v>289</v>
      </c>
      <c r="V439" s="16" t="s">
        <v>289</v>
      </c>
      <c r="W439" s="16"/>
      <c r="X439" s="16"/>
      <c r="Y439" s="16"/>
      <c r="Z439" s="16"/>
      <c r="AA439" s="16"/>
      <c r="AB439" s="25"/>
      <c r="AC439" s="25"/>
      <c r="AD439" s="24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16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24"/>
      <c r="BK439" s="22"/>
      <c r="BL439" s="23"/>
      <c r="BM439" s="22"/>
      <c r="BN439" s="22"/>
      <c r="BO439" s="22"/>
      <c r="BP439" s="22"/>
      <c r="BQ439" s="22"/>
      <c r="BR439" s="24"/>
      <c r="BS439" s="5"/>
    </row>
    <row r="440" spans="1:71" s="33" customFormat="1" hidden="1" outlineLevel="1">
      <c r="A440" s="5"/>
      <c r="B440" s="5" t="s">
        <v>255</v>
      </c>
      <c r="C440" s="43" t="s">
        <v>154</v>
      </c>
      <c r="D440" s="16" t="s">
        <v>289</v>
      </c>
      <c r="E440" s="16" t="s">
        <v>289</v>
      </c>
      <c r="F440" s="16" t="s">
        <v>289</v>
      </c>
      <c r="G440" s="16" t="s">
        <v>289</v>
      </c>
      <c r="H440" s="16" t="s">
        <v>289</v>
      </c>
      <c r="I440" s="16" t="s">
        <v>289</v>
      </c>
      <c r="J440" s="16" t="s">
        <v>289</v>
      </c>
      <c r="K440" s="16" t="s">
        <v>289</v>
      </c>
      <c r="L440" s="16" t="s">
        <v>289</v>
      </c>
      <c r="M440" s="16" t="s">
        <v>289</v>
      </c>
      <c r="N440" s="16" t="s">
        <v>289</v>
      </c>
      <c r="O440" s="16" t="s">
        <v>289</v>
      </c>
      <c r="P440" s="16" t="s">
        <v>289</v>
      </c>
      <c r="Q440" s="16" t="s">
        <v>289</v>
      </c>
      <c r="R440" s="16" t="s">
        <v>289</v>
      </c>
      <c r="S440" s="16" t="s">
        <v>289</v>
      </c>
      <c r="T440" s="16" t="s">
        <v>289</v>
      </c>
      <c r="U440" s="16" t="s">
        <v>289</v>
      </c>
      <c r="V440" s="16" t="s">
        <v>289</v>
      </c>
      <c r="W440" s="16"/>
      <c r="X440" s="16"/>
      <c r="Y440" s="16"/>
      <c r="Z440" s="16"/>
      <c r="AA440" s="16"/>
      <c r="AB440" s="25"/>
      <c r="AC440" s="25"/>
      <c r="AD440" s="24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16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24"/>
      <c r="BK440" s="22"/>
      <c r="BL440" s="23"/>
      <c r="BM440" s="22"/>
      <c r="BN440" s="22"/>
      <c r="BO440" s="22"/>
      <c r="BP440" s="22"/>
      <c r="BQ440" s="22"/>
      <c r="BR440" s="24"/>
      <c r="BS440" s="5"/>
    </row>
    <row r="441" spans="1:71" hidden="1" outlineLevel="1"/>
    <row r="442" spans="1:71" hidden="1" outlineLevel="1">
      <c r="B442" s="5" t="s">
        <v>2125</v>
      </c>
      <c r="C442" s="43" t="s">
        <v>154</v>
      </c>
      <c r="D442" s="16" t="s">
        <v>289</v>
      </c>
      <c r="E442" s="16" t="s">
        <v>289</v>
      </c>
      <c r="F442" s="16" t="s">
        <v>289</v>
      </c>
      <c r="G442" s="16" t="s">
        <v>289</v>
      </c>
      <c r="H442" s="16" t="s">
        <v>289</v>
      </c>
      <c r="I442" s="16" t="s">
        <v>289</v>
      </c>
      <c r="J442" s="16" t="s">
        <v>289</v>
      </c>
      <c r="K442" s="16" t="s">
        <v>289</v>
      </c>
      <c r="L442" s="16" t="s">
        <v>289</v>
      </c>
      <c r="M442" s="16" t="s">
        <v>289</v>
      </c>
      <c r="N442" s="16" t="s">
        <v>289</v>
      </c>
      <c r="O442" s="16" t="s">
        <v>289</v>
      </c>
      <c r="P442" s="16">
        <v>4936</v>
      </c>
      <c r="Q442" s="20">
        <v>4360</v>
      </c>
      <c r="R442" s="20">
        <v>4590</v>
      </c>
      <c r="S442" s="20">
        <v>3924</v>
      </c>
      <c r="T442" s="20">
        <v>4400</v>
      </c>
      <c r="U442" s="20">
        <v>5625</v>
      </c>
      <c r="V442" s="20" t="s">
        <v>289</v>
      </c>
      <c r="AD442" s="24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Z442" s="5"/>
    </row>
    <row r="443" spans="1:71" hidden="1" outlineLevel="1">
      <c r="C443" s="43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AD443" s="24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Z443" s="5"/>
    </row>
    <row r="444" spans="1:71" hidden="1" outlineLevel="1">
      <c r="C444" s="43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AD444" s="24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Z444" s="5"/>
    </row>
    <row r="445" spans="1:71" hidden="1" outlineLevel="1">
      <c r="C445" s="43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AD445" s="24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Z445" s="5"/>
    </row>
    <row r="446" spans="1:71" hidden="1" outlineLevel="1">
      <c r="C446" s="43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AD446" s="24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Z446" s="5"/>
    </row>
    <row r="447" spans="1:71" s="33" customFormat="1" hidden="1" outlineLevel="1">
      <c r="A447" s="5"/>
      <c r="B447" s="5" t="s">
        <v>1695</v>
      </c>
      <c r="C447" s="43" t="s">
        <v>154</v>
      </c>
      <c r="D447" s="16" t="s">
        <v>289</v>
      </c>
      <c r="E447" s="16" t="s">
        <v>289</v>
      </c>
      <c r="F447" s="16" t="s">
        <v>289</v>
      </c>
      <c r="G447" s="16" t="s">
        <v>289</v>
      </c>
      <c r="H447" s="16" t="s">
        <v>289</v>
      </c>
      <c r="I447" s="16" t="s">
        <v>289</v>
      </c>
      <c r="J447" s="16" t="s">
        <v>289</v>
      </c>
      <c r="K447" s="16" t="s">
        <v>289</v>
      </c>
      <c r="L447" s="16" t="s">
        <v>289</v>
      </c>
      <c r="M447" s="16" t="s">
        <v>289</v>
      </c>
      <c r="N447" s="16" t="s">
        <v>289</v>
      </c>
      <c r="O447" s="16" t="s">
        <v>289</v>
      </c>
      <c r="P447" s="16" t="s">
        <v>289</v>
      </c>
      <c r="Q447" s="16" t="s">
        <v>289</v>
      </c>
      <c r="R447" s="16" t="s">
        <v>289</v>
      </c>
      <c r="S447" s="16" t="s">
        <v>289</v>
      </c>
      <c r="T447" s="16" t="s">
        <v>289</v>
      </c>
      <c r="U447" s="16" t="s">
        <v>289</v>
      </c>
      <c r="V447" s="16" t="s">
        <v>289</v>
      </c>
      <c r="W447" s="16"/>
      <c r="X447" s="16"/>
      <c r="Y447" s="16"/>
      <c r="Z447" s="16"/>
      <c r="AA447" s="16"/>
      <c r="AB447" s="25"/>
      <c r="AC447" s="25"/>
      <c r="AD447" s="24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16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24"/>
      <c r="BK447" s="22"/>
      <c r="BL447" s="23"/>
      <c r="BM447" s="22"/>
      <c r="BN447" s="22"/>
      <c r="BO447" s="22"/>
      <c r="BP447" s="22"/>
      <c r="BQ447" s="22"/>
      <c r="BR447" s="24"/>
      <c r="BS447" s="5"/>
    </row>
    <row r="448" spans="1:71" s="33" customFormat="1" hidden="1" outlineLevel="1">
      <c r="A448" s="5"/>
      <c r="B448" s="5" t="s">
        <v>256</v>
      </c>
      <c r="C448" s="43" t="s">
        <v>154</v>
      </c>
      <c r="D448" s="16" t="s">
        <v>289</v>
      </c>
      <c r="E448" s="16" t="s">
        <v>289</v>
      </c>
      <c r="F448" s="16" t="s">
        <v>289</v>
      </c>
      <c r="G448" s="16" t="s">
        <v>289</v>
      </c>
      <c r="H448" s="16" t="s">
        <v>289</v>
      </c>
      <c r="I448" s="16" t="s">
        <v>289</v>
      </c>
      <c r="J448" s="16" t="s">
        <v>289</v>
      </c>
      <c r="K448" s="16" t="s">
        <v>289</v>
      </c>
      <c r="L448" s="16" t="s">
        <v>289</v>
      </c>
      <c r="M448" s="16" t="s">
        <v>289</v>
      </c>
      <c r="N448" s="16" t="s">
        <v>289</v>
      </c>
      <c r="O448" s="16">
        <v>974</v>
      </c>
      <c r="P448" s="16">
        <v>996</v>
      </c>
      <c r="Q448" s="16">
        <v>1318</v>
      </c>
      <c r="R448" s="16">
        <v>1474</v>
      </c>
      <c r="S448" s="16">
        <v>1902</v>
      </c>
      <c r="T448" s="16">
        <v>1865</v>
      </c>
      <c r="U448" s="16">
        <v>3000</v>
      </c>
      <c r="V448" s="16" t="s">
        <v>289</v>
      </c>
      <c r="W448" s="16"/>
      <c r="X448" s="16"/>
      <c r="Y448" s="16"/>
      <c r="Z448" s="16"/>
      <c r="AA448" s="16"/>
      <c r="AB448" s="25"/>
      <c r="AC448" s="25"/>
      <c r="AD448" s="24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16"/>
      <c r="AZ448" s="5"/>
      <c r="BA448" s="5"/>
      <c r="BB448" s="5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</row>
    <row r="449" spans="2:72" hidden="1" outlineLevel="1">
      <c r="AD449" s="24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Z449" s="5"/>
      <c r="BJ449" s="24"/>
      <c r="BK449" s="22"/>
      <c r="BL449" s="23"/>
      <c r="BM449" s="22"/>
      <c r="BN449" s="22"/>
      <c r="BO449" s="22"/>
      <c r="BP449" s="22"/>
      <c r="BQ449" s="22"/>
      <c r="BR449" s="24"/>
      <c r="BT449" s="33"/>
    </row>
    <row r="450" spans="2:72" ht="13.15" collapsed="1">
      <c r="B450" s="38"/>
      <c r="C450" s="9" t="s">
        <v>330</v>
      </c>
      <c r="D450" s="14">
        <f t="shared" ref="D450:Y450" si="350">IF(D11="yes",SUM(D451,D453,D455,D457),"…")</f>
        <v>2298</v>
      </c>
      <c r="E450" s="14">
        <f t="shared" si="350"/>
        <v>2270</v>
      </c>
      <c r="F450" s="14">
        <f t="shared" si="350"/>
        <v>3028</v>
      </c>
      <c r="G450" s="14">
        <f t="shared" si="350"/>
        <v>3368</v>
      </c>
      <c r="H450" s="14">
        <f t="shared" si="350"/>
        <v>4150</v>
      </c>
      <c r="I450" s="14">
        <f t="shared" si="350"/>
        <v>14720</v>
      </c>
      <c r="J450" s="14">
        <f t="shared" si="350"/>
        <v>20021</v>
      </c>
      <c r="K450" s="14">
        <f t="shared" si="350"/>
        <v>31656</v>
      </c>
      <c r="L450" s="14">
        <f t="shared" si="350"/>
        <v>28689</v>
      </c>
      <c r="M450" s="14">
        <f t="shared" si="350"/>
        <v>31388</v>
      </c>
      <c r="N450" s="14">
        <f t="shared" si="350"/>
        <v>36205</v>
      </c>
      <c r="O450" s="14">
        <f t="shared" si="350"/>
        <v>8070</v>
      </c>
      <c r="P450" s="14">
        <f t="shared" si="350"/>
        <v>0</v>
      </c>
      <c r="Q450" s="14">
        <f t="shared" si="350"/>
        <v>0</v>
      </c>
      <c r="R450" s="14">
        <f t="shared" si="350"/>
        <v>0</v>
      </c>
      <c r="S450" s="14">
        <f t="shared" si="350"/>
        <v>0</v>
      </c>
      <c r="T450" s="14">
        <f t="shared" si="350"/>
        <v>0</v>
      </c>
      <c r="U450" s="14">
        <f t="shared" si="350"/>
        <v>0</v>
      </c>
      <c r="V450" s="14" t="str">
        <f t="shared" si="350"/>
        <v>…</v>
      </c>
      <c r="W450" s="14" t="str">
        <f t="shared" si="350"/>
        <v>…</v>
      </c>
      <c r="X450" s="14" t="str">
        <f t="shared" si="350"/>
        <v>…</v>
      </c>
      <c r="Y450" s="14" t="str">
        <f t="shared" si="350"/>
        <v>…</v>
      </c>
      <c r="Z450" s="14"/>
      <c r="AA450" s="14"/>
      <c r="AB450" s="14"/>
      <c r="AC450" s="14"/>
      <c r="AD450" s="24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14"/>
      <c r="AZ450" s="5"/>
      <c r="BJ450" s="24"/>
      <c r="BK450" s="22"/>
      <c r="BL450" s="23"/>
      <c r="BM450" s="22"/>
      <c r="BN450" s="22"/>
      <c r="BO450" s="22"/>
      <c r="BP450" s="22"/>
      <c r="BQ450" s="22"/>
      <c r="BR450" s="24"/>
      <c r="BT450" s="33"/>
    </row>
    <row r="451" spans="2:72" hidden="1" outlineLevel="1">
      <c r="B451" s="38"/>
      <c r="C451" s="5" t="s">
        <v>1744</v>
      </c>
      <c r="D451" s="25">
        <f t="shared" ref="D451:O451" si="351">IFERROR(D452/1,"…")</f>
        <v>2298</v>
      </c>
      <c r="E451" s="25">
        <f t="shared" si="351"/>
        <v>2270</v>
      </c>
      <c r="F451" s="25">
        <f t="shared" si="351"/>
        <v>3028</v>
      </c>
      <c r="G451" s="25">
        <f t="shared" si="351"/>
        <v>3368</v>
      </c>
      <c r="H451" s="25">
        <f t="shared" si="351"/>
        <v>4150</v>
      </c>
      <c r="I451" s="25">
        <f t="shared" si="351"/>
        <v>14720</v>
      </c>
      <c r="J451" s="25">
        <f t="shared" si="351"/>
        <v>20021</v>
      </c>
      <c r="K451" s="25">
        <f t="shared" si="351"/>
        <v>31656</v>
      </c>
      <c r="L451" s="25">
        <f t="shared" si="351"/>
        <v>28689</v>
      </c>
      <c r="M451" s="25">
        <f t="shared" si="351"/>
        <v>31388</v>
      </c>
      <c r="N451" s="25">
        <f t="shared" si="351"/>
        <v>36205</v>
      </c>
      <c r="O451" s="25">
        <f t="shared" si="351"/>
        <v>8070</v>
      </c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4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25"/>
      <c r="AZ451" s="5"/>
      <c r="BJ451" s="24"/>
      <c r="BK451" s="22"/>
      <c r="BL451" s="23"/>
      <c r="BM451" s="22"/>
      <c r="BN451" s="22"/>
      <c r="BO451" s="22"/>
      <c r="BP451" s="22"/>
      <c r="BQ451" s="22"/>
      <c r="BR451" s="24"/>
      <c r="BT451" s="33"/>
    </row>
    <row r="452" spans="2:72" hidden="1" outlineLevel="1">
      <c r="B452" s="5" t="s">
        <v>273</v>
      </c>
      <c r="C452" s="43" t="s">
        <v>154</v>
      </c>
      <c r="D452" s="16">
        <v>2298</v>
      </c>
      <c r="E452" s="16">
        <v>2270</v>
      </c>
      <c r="F452" s="16">
        <v>3028</v>
      </c>
      <c r="G452" s="16">
        <v>3368</v>
      </c>
      <c r="H452" s="16">
        <v>4150</v>
      </c>
      <c r="I452" s="16">
        <v>14720</v>
      </c>
      <c r="J452" s="16">
        <v>20021</v>
      </c>
      <c r="K452" s="16">
        <v>31656</v>
      </c>
      <c r="L452" s="16">
        <v>28689</v>
      </c>
      <c r="M452" s="16">
        <v>31388</v>
      </c>
      <c r="N452" s="16">
        <v>36205</v>
      </c>
      <c r="O452" s="16">
        <v>8070</v>
      </c>
      <c r="P452" s="16" t="s">
        <v>289</v>
      </c>
      <c r="Q452" s="16">
        <v>1</v>
      </c>
      <c r="R452" s="16">
        <v>-2</v>
      </c>
      <c r="S452" s="16">
        <v>1</v>
      </c>
      <c r="T452" s="16" t="s">
        <v>289</v>
      </c>
      <c r="U452" s="16" t="s">
        <v>289</v>
      </c>
      <c r="V452" s="16" t="s">
        <v>289</v>
      </c>
      <c r="W452" s="16"/>
      <c r="X452" s="16"/>
      <c r="Y452" s="16"/>
      <c r="Z452" s="16"/>
      <c r="AA452" s="16"/>
      <c r="AB452" s="25"/>
      <c r="AC452" s="25"/>
      <c r="AD452" s="24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16"/>
      <c r="AZ452" s="5"/>
      <c r="BJ452" s="24"/>
      <c r="BK452" s="22"/>
      <c r="BL452" s="23"/>
      <c r="BM452" s="22"/>
      <c r="BN452" s="22"/>
      <c r="BO452" s="22"/>
      <c r="BP452" s="22"/>
      <c r="BQ452" s="22"/>
      <c r="BR452" s="24"/>
      <c r="BT452" s="33"/>
    </row>
    <row r="453" spans="2:72" hidden="1" outlineLevel="1">
      <c r="B453" s="38"/>
      <c r="C453" s="5" t="s">
        <v>274</v>
      </c>
      <c r="D453" s="25" t="str">
        <f t="shared" ref="D453:O453" si="352">IFERROR(D454/1,"…")</f>
        <v>…</v>
      </c>
      <c r="E453" s="25" t="str">
        <f t="shared" si="352"/>
        <v>…</v>
      </c>
      <c r="F453" s="25" t="str">
        <f t="shared" si="352"/>
        <v>…</v>
      </c>
      <c r="G453" s="25" t="str">
        <f t="shared" si="352"/>
        <v>…</v>
      </c>
      <c r="H453" s="25" t="str">
        <f t="shared" si="352"/>
        <v>…</v>
      </c>
      <c r="I453" s="25" t="str">
        <f t="shared" si="352"/>
        <v>…</v>
      </c>
      <c r="J453" s="25" t="str">
        <f t="shared" si="352"/>
        <v>…</v>
      </c>
      <c r="K453" s="25" t="str">
        <f t="shared" si="352"/>
        <v>…</v>
      </c>
      <c r="L453" s="25" t="str">
        <f t="shared" si="352"/>
        <v>…</v>
      </c>
      <c r="M453" s="25" t="str">
        <f t="shared" si="352"/>
        <v>…</v>
      </c>
      <c r="N453" s="25" t="str">
        <f t="shared" si="352"/>
        <v>…</v>
      </c>
      <c r="O453" s="25" t="str">
        <f t="shared" si="352"/>
        <v>…</v>
      </c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4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25"/>
      <c r="AZ453" s="5"/>
      <c r="BJ453" s="24"/>
      <c r="BK453" s="22"/>
      <c r="BL453" s="23"/>
      <c r="BM453" s="22"/>
      <c r="BN453" s="22"/>
      <c r="BO453" s="22"/>
      <c r="BP453" s="22"/>
      <c r="BQ453" s="22"/>
      <c r="BR453" s="24"/>
      <c r="BT453" s="33"/>
    </row>
    <row r="454" spans="2:72" hidden="1" outlineLevel="1">
      <c r="B454" s="5" t="s">
        <v>275</v>
      </c>
      <c r="C454" s="43" t="s">
        <v>154</v>
      </c>
      <c r="D454" s="16" t="s">
        <v>289</v>
      </c>
      <c r="E454" s="16" t="s">
        <v>289</v>
      </c>
      <c r="F454" s="16" t="s">
        <v>289</v>
      </c>
      <c r="G454" s="16" t="s">
        <v>289</v>
      </c>
      <c r="H454" s="16" t="s">
        <v>289</v>
      </c>
      <c r="I454" s="16" t="s">
        <v>289</v>
      </c>
      <c r="J454" s="16" t="s">
        <v>289</v>
      </c>
      <c r="K454" s="16" t="s">
        <v>289</v>
      </c>
      <c r="L454" s="16" t="s">
        <v>289</v>
      </c>
      <c r="M454" s="16" t="s">
        <v>289</v>
      </c>
      <c r="N454" s="16" t="s">
        <v>289</v>
      </c>
      <c r="O454" s="16" t="s">
        <v>289</v>
      </c>
      <c r="P454" s="16" t="s">
        <v>289</v>
      </c>
      <c r="Q454" s="16" t="s">
        <v>289</v>
      </c>
      <c r="R454" s="16" t="s">
        <v>289</v>
      </c>
      <c r="S454" s="16" t="s">
        <v>289</v>
      </c>
      <c r="T454" s="16" t="s">
        <v>289</v>
      </c>
      <c r="U454" s="16" t="s">
        <v>289</v>
      </c>
      <c r="V454" s="16" t="s">
        <v>289</v>
      </c>
      <c r="W454" s="16"/>
      <c r="X454" s="16"/>
      <c r="Y454" s="16"/>
      <c r="Z454" s="16"/>
      <c r="AA454" s="16"/>
      <c r="AB454" s="25"/>
      <c r="AC454" s="25"/>
      <c r="AD454" s="24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16"/>
      <c r="AZ454" s="5"/>
      <c r="BJ454" s="24"/>
      <c r="BK454" s="22"/>
      <c r="BL454" s="23"/>
      <c r="BM454" s="22"/>
      <c r="BN454" s="22"/>
      <c r="BO454" s="22"/>
      <c r="BP454" s="22"/>
      <c r="BQ454" s="22"/>
      <c r="BR454" s="24"/>
    </row>
    <row r="455" spans="2:72" hidden="1" outlineLevel="1">
      <c r="C455" s="5" t="s">
        <v>270</v>
      </c>
      <c r="D455" s="25">
        <f t="shared" ref="D455:O455" si="353">IFERROR(D456/1,"…")</f>
        <v>0</v>
      </c>
      <c r="E455" s="25">
        <f t="shared" si="353"/>
        <v>0</v>
      </c>
      <c r="F455" s="25">
        <f t="shared" si="353"/>
        <v>0</v>
      </c>
      <c r="G455" s="25">
        <f t="shared" si="353"/>
        <v>0</v>
      </c>
      <c r="H455" s="25">
        <f t="shared" si="353"/>
        <v>0</v>
      </c>
      <c r="I455" s="25">
        <f t="shared" si="353"/>
        <v>0</v>
      </c>
      <c r="J455" s="25">
        <f t="shared" si="353"/>
        <v>0</v>
      </c>
      <c r="K455" s="25">
        <f t="shared" si="353"/>
        <v>0</v>
      </c>
      <c r="L455" s="25">
        <f t="shared" si="353"/>
        <v>0</v>
      </c>
      <c r="M455" s="25">
        <f t="shared" si="353"/>
        <v>0</v>
      </c>
      <c r="N455" s="25">
        <f t="shared" si="353"/>
        <v>0</v>
      </c>
      <c r="O455" s="25">
        <f t="shared" si="353"/>
        <v>0</v>
      </c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4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25"/>
      <c r="AZ455" s="5"/>
      <c r="BJ455" s="24"/>
      <c r="BK455" s="22"/>
      <c r="BL455" s="23"/>
      <c r="BM455" s="22"/>
      <c r="BN455" s="22"/>
      <c r="BO455" s="22"/>
      <c r="BP455" s="22"/>
      <c r="BQ455" s="22"/>
      <c r="BR455" s="24"/>
    </row>
    <row r="456" spans="2:72" hidden="1" outlineLevel="1">
      <c r="C456" s="43" t="s">
        <v>154</v>
      </c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25"/>
      <c r="AC456" s="25"/>
      <c r="AD456" s="24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16"/>
      <c r="AZ456" s="5"/>
      <c r="BK456" s="22"/>
      <c r="BL456" s="23"/>
      <c r="BM456" s="22"/>
      <c r="BN456" s="22"/>
      <c r="BO456" s="22"/>
      <c r="BP456" s="22"/>
      <c r="BQ456" s="22"/>
      <c r="BR456" s="24"/>
    </row>
    <row r="457" spans="2:72" hidden="1" outlineLevel="1">
      <c r="B457" s="5" t="s">
        <v>1745</v>
      </c>
      <c r="C457" s="43" t="s">
        <v>1745</v>
      </c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25" t="s">
        <v>289</v>
      </c>
      <c r="Q457" s="25" t="s">
        <v>289</v>
      </c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4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25"/>
      <c r="AZ457" s="5"/>
      <c r="BJ457" s="24"/>
      <c r="BK457" s="22"/>
      <c r="BL457" s="23"/>
      <c r="BM457" s="22"/>
      <c r="BN457" s="22"/>
      <c r="BO457" s="22"/>
      <c r="BP457" s="22"/>
      <c r="BQ457" s="22"/>
      <c r="BR457" s="24"/>
      <c r="BT457" s="33"/>
    </row>
    <row r="458" spans="2:72" hidden="1" outlineLevel="1">
      <c r="C458" s="43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4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25"/>
      <c r="AZ458" s="5"/>
      <c r="BJ458" s="24"/>
      <c r="BK458" s="22"/>
      <c r="BL458" s="23"/>
      <c r="BM458" s="22"/>
      <c r="BN458" s="22"/>
      <c r="BO458" s="22"/>
      <c r="BP458" s="22"/>
      <c r="BQ458" s="22"/>
      <c r="BR458" s="24"/>
      <c r="BT458" s="33"/>
    </row>
    <row r="459" spans="2:72" collapsed="1">
      <c r="C459" s="43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4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25"/>
      <c r="AZ459" s="5"/>
      <c r="BJ459" s="24"/>
      <c r="BK459" s="22"/>
      <c r="BL459" s="23"/>
      <c r="BM459" s="22"/>
      <c r="BN459" s="22"/>
      <c r="BO459" s="22"/>
      <c r="BP459" s="22"/>
      <c r="BQ459" s="22"/>
      <c r="BR459" s="24"/>
      <c r="BT459" s="33"/>
    </row>
    <row r="463" spans="2:72">
      <c r="C463" s="43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4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25"/>
      <c r="AZ463" s="5"/>
      <c r="BJ463" s="24"/>
      <c r="BK463" s="22"/>
      <c r="BL463" s="23"/>
      <c r="BM463" s="22"/>
      <c r="BN463" s="22"/>
      <c r="BO463" s="22"/>
      <c r="BP463" s="22"/>
      <c r="BQ463" s="22"/>
      <c r="BR463" s="24"/>
      <c r="BT463" s="33"/>
    </row>
    <row r="464" spans="2:72">
      <c r="C464" s="43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4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25"/>
      <c r="AZ464" s="5"/>
      <c r="BJ464" s="24"/>
      <c r="BK464" s="22"/>
      <c r="BL464" s="23"/>
      <c r="BM464" s="22"/>
      <c r="BN464" s="22"/>
      <c r="BO464" s="22"/>
      <c r="BP464" s="22"/>
      <c r="BQ464" s="22"/>
      <c r="BR464" s="24"/>
      <c r="BT464" s="33"/>
    </row>
    <row r="465" spans="2:72" ht="13.15">
      <c r="C465" s="9" t="s">
        <v>1999</v>
      </c>
      <c r="D465" s="25" t="str">
        <f t="shared" ref="D465:R465" si="354">IF(ISNUMBER(D467),D467,IF(ISNUMBER(D466),D466,IF(ISNUMBER(D468),D468,"…")))</f>
        <v>…</v>
      </c>
      <c r="E465" s="25" t="str">
        <f t="shared" si="354"/>
        <v>…</v>
      </c>
      <c r="F465" s="25" t="str">
        <f t="shared" si="354"/>
        <v>…</v>
      </c>
      <c r="G465" s="25" t="str">
        <f t="shared" si="354"/>
        <v>…</v>
      </c>
      <c r="H465" s="25" t="str">
        <f t="shared" si="354"/>
        <v>…</v>
      </c>
      <c r="I465" s="25" t="str">
        <f t="shared" si="354"/>
        <v>…</v>
      </c>
      <c r="J465" s="25" t="str">
        <f t="shared" si="354"/>
        <v>…</v>
      </c>
      <c r="K465" s="25" t="str">
        <f t="shared" si="354"/>
        <v>…</v>
      </c>
      <c r="L465" s="25" t="str">
        <f t="shared" si="354"/>
        <v>…</v>
      </c>
      <c r="M465" s="25" t="str">
        <f t="shared" si="354"/>
        <v>…</v>
      </c>
      <c r="N465" s="25" t="str">
        <f t="shared" si="354"/>
        <v>…</v>
      </c>
      <c r="O465" s="25" t="str">
        <f t="shared" si="354"/>
        <v>…</v>
      </c>
      <c r="P465" s="25" t="str">
        <f t="shared" si="354"/>
        <v>…</v>
      </c>
      <c r="Q465" s="25" t="str">
        <f t="shared" si="354"/>
        <v>…</v>
      </c>
      <c r="R465" s="25" t="str">
        <f t="shared" si="354"/>
        <v>…</v>
      </c>
      <c r="S465" s="25" t="str">
        <f t="shared" ref="S465:Y465" si="355">IF(ISNUMBER(S467),S467,IF(ISNUMBER(S466),S466,IF(ISNUMBER(S468),S468,"…")))</f>
        <v>…</v>
      </c>
      <c r="T465" s="25" t="str">
        <f t="shared" si="355"/>
        <v>…</v>
      </c>
      <c r="U465" s="25" t="str">
        <f t="shared" si="355"/>
        <v>…</v>
      </c>
      <c r="V465" s="25" t="str">
        <f t="shared" si="355"/>
        <v>…</v>
      </c>
      <c r="W465" s="25" t="str">
        <f t="shared" si="355"/>
        <v>…</v>
      </c>
      <c r="X465" s="25" t="str">
        <f t="shared" si="355"/>
        <v>…</v>
      </c>
      <c r="Y465" s="25" t="str">
        <f t="shared" si="355"/>
        <v>…</v>
      </c>
      <c r="Z465" s="25"/>
      <c r="AA465" s="25"/>
      <c r="AB465" s="25"/>
      <c r="AC465" s="25"/>
      <c r="AD465" s="24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25"/>
      <c r="AZ465" s="5"/>
      <c r="BJ465" s="24"/>
      <c r="BK465" s="22"/>
      <c r="BL465" s="23"/>
      <c r="BM465" s="22"/>
      <c r="BN465" s="22"/>
      <c r="BO465" s="22"/>
      <c r="BP465" s="22"/>
      <c r="BQ465" s="22"/>
      <c r="BR465" s="24"/>
      <c r="BT465" s="33"/>
    </row>
    <row r="466" spans="2:72">
      <c r="B466" s="5" t="s">
        <v>1784</v>
      </c>
      <c r="C466" s="43" t="s">
        <v>154</v>
      </c>
      <c r="D466" s="16" t="s">
        <v>289</v>
      </c>
      <c r="E466" s="16" t="s">
        <v>289</v>
      </c>
      <c r="F466" s="16" t="s">
        <v>289</v>
      </c>
      <c r="G466" s="16" t="s">
        <v>289</v>
      </c>
      <c r="H466" s="16" t="s">
        <v>289</v>
      </c>
      <c r="I466" s="16" t="s">
        <v>289</v>
      </c>
      <c r="J466" s="16" t="s">
        <v>289</v>
      </c>
      <c r="K466" s="16" t="s">
        <v>289</v>
      </c>
      <c r="L466" s="16" t="s">
        <v>289</v>
      </c>
      <c r="M466" s="16" t="s">
        <v>289</v>
      </c>
      <c r="N466" s="16" t="s">
        <v>289</v>
      </c>
      <c r="O466" s="16" t="s">
        <v>289</v>
      </c>
      <c r="P466" s="20" t="s">
        <v>289</v>
      </c>
      <c r="Q466" s="20" t="s">
        <v>289</v>
      </c>
      <c r="R466" s="20" t="s">
        <v>289</v>
      </c>
      <c r="S466" s="20" t="s">
        <v>289</v>
      </c>
      <c r="T466" s="20" t="s">
        <v>289</v>
      </c>
      <c r="U466" s="20" t="s">
        <v>289</v>
      </c>
      <c r="V466" s="20" t="s">
        <v>289</v>
      </c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Z466" s="5"/>
    </row>
    <row r="467" spans="2:72">
      <c r="C467" s="43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4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25"/>
      <c r="AZ467" s="5"/>
      <c r="BJ467" s="24"/>
      <c r="BK467" s="22"/>
      <c r="BL467" s="23"/>
      <c r="BM467" s="22"/>
      <c r="BN467" s="22"/>
      <c r="BO467" s="22"/>
      <c r="BP467" s="22"/>
      <c r="BQ467" s="22"/>
      <c r="BR467" s="24"/>
      <c r="BT467" s="33"/>
    </row>
    <row r="468" spans="2:72">
      <c r="C468" s="43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4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25"/>
      <c r="AZ468" s="5"/>
      <c r="BJ468" s="24"/>
      <c r="BK468" s="22"/>
      <c r="BL468" s="23"/>
      <c r="BM468" s="22"/>
      <c r="BN468" s="22"/>
      <c r="BO468" s="22"/>
      <c r="BP468" s="22"/>
      <c r="BQ468" s="22"/>
      <c r="BR468" s="24"/>
      <c r="BT468" s="33"/>
    </row>
    <row r="469" spans="2:72">
      <c r="C469" s="43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4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25"/>
      <c r="AZ469" s="5"/>
      <c r="BJ469" s="24"/>
      <c r="BK469" s="22"/>
      <c r="BL469" s="23"/>
      <c r="BM469" s="22"/>
      <c r="BN469" s="22"/>
      <c r="BO469" s="22"/>
      <c r="BP469" s="22"/>
      <c r="BQ469" s="22"/>
      <c r="BR469" s="24"/>
      <c r="BT469" s="33"/>
    </row>
    <row r="470" spans="2:72">
      <c r="C470" s="43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4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25"/>
      <c r="AZ470" s="5"/>
      <c r="BK470" s="22"/>
      <c r="BL470" s="23"/>
      <c r="BM470" s="22"/>
      <c r="BN470" s="22"/>
      <c r="BO470" s="22"/>
      <c r="BP470" s="22"/>
      <c r="BQ470" s="22"/>
      <c r="BR470" s="24"/>
    </row>
    <row r="471" spans="2:72">
      <c r="C471" s="5" t="s">
        <v>2142</v>
      </c>
      <c r="D471" s="103" t="str">
        <f>IF(C$8="A",IF(C474="…","calc.",IFERROR(1/(1/(C474)),IF(C$8="E",IFERROR(1/(1/(MIN(R24))),"…"),"…"))),"...")</f>
        <v>...</v>
      </c>
      <c r="E471" s="103">
        <f t="shared" ref="E471:M471" si="356">IF(D$8="A",IF(D474="…","calc.",IFERROR(1/(1/(D474)),IF(D$8="E",IFERROR(1/(1/(MIN(AC24))),"…"),"…"))),"...")</f>
        <v>48107</v>
      </c>
      <c r="F471" s="103">
        <f t="shared" si="356"/>
        <v>50026</v>
      </c>
      <c r="G471" s="103">
        <f t="shared" si="356"/>
        <v>44299</v>
      </c>
      <c r="H471" s="103">
        <f t="shared" si="356"/>
        <v>41265</v>
      </c>
      <c r="I471" s="103">
        <f t="shared" si="356"/>
        <v>56136</v>
      </c>
      <c r="J471" s="103">
        <f t="shared" si="356"/>
        <v>53729.999999999993</v>
      </c>
      <c r="K471" s="103">
        <f t="shared" si="356"/>
        <v>-16948</v>
      </c>
      <c r="L471" s="103">
        <f t="shared" si="356"/>
        <v>-15017.000000000002</v>
      </c>
      <c r="M471" s="103">
        <f t="shared" si="356"/>
        <v>-8634</v>
      </c>
      <c r="N471" s="103">
        <f>IF(M$8="A",IF(M474="…","calc.",IFERROR(1/(1/(M474)),IF(M$8="E",IFERROR(1/(1/(MIN(AK24))),"…"),"…"))),"...")</f>
        <v>-15193.000000000002</v>
      </c>
      <c r="O471" s="103">
        <f t="shared" ref="O471:V471" si="357">IF(N$8="A",IF(N474="…","calc.",IFERROR(1/(1/(N474)),"...")),IF(N$8="E",IFERROR(1/(1/(MIN(AL24))),"…"),"..."))</f>
        <v>-15900</v>
      </c>
      <c r="P471" s="103">
        <f t="shared" si="357"/>
        <v>-23753.000000000004</v>
      </c>
      <c r="Q471" s="103">
        <f t="shared" si="357"/>
        <v>-33951</v>
      </c>
      <c r="R471" s="103">
        <f t="shared" si="357"/>
        <v>-30241.999999999996</v>
      </c>
      <c r="S471" s="103">
        <f t="shared" si="357"/>
        <v>-34402</v>
      </c>
      <c r="T471" s="103">
        <f t="shared" si="357"/>
        <v>-33540</v>
      </c>
      <c r="U471" s="103">
        <f t="shared" si="357"/>
        <v>-39514</v>
      </c>
      <c r="V471" s="103">
        <f t="shared" si="357"/>
        <v>-39561</v>
      </c>
      <c r="W471" s="103" t="str">
        <f>IF(V$8="A",IF(V474="…","calc.",IFERROR(1/(1/(V474)),"...")),IF(V$8="E",IFERROR(1/(1/(MIN(AX24))),"…"),"..."))</f>
        <v>…</v>
      </c>
      <c r="X471" s="103" t="str">
        <f>IF(W$8="A",IF(W474="…","calc.",IFERROR(1/(1/(W474)),"...")),IF(W$8="E",IFERROR(1/(1/(MIN(AY24))),"…"),"..."))</f>
        <v>…</v>
      </c>
      <c r="Y471" s="103" t="str">
        <f>IF(X$8="A",IF(X474="…","calc.",IFERROR(1/(1/(X474)),"...")),IF(X$8="E",IFERROR(1/(1/(MIN(AZ24))),"…"),"..."))</f>
        <v>…</v>
      </c>
      <c r="Z471" s="103"/>
      <c r="AA471" s="103"/>
      <c r="AB471" s="25"/>
      <c r="AC471" s="25"/>
      <c r="AD471" s="24"/>
      <c r="AE471" s="5" t="s">
        <v>2143</v>
      </c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103"/>
      <c r="AZ471" s="5"/>
      <c r="BK471" s="22"/>
      <c r="BL471" s="23"/>
      <c r="BM471" s="22"/>
      <c r="BN471" s="22"/>
      <c r="BO471" s="22"/>
      <c r="BP471" s="22"/>
      <c r="BQ471" s="22"/>
      <c r="BR471" s="24"/>
    </row>
    <row r="472" spans="2:72"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  <c r="AA472" s="103"/>
      <c r="AB472" s="25"/>
      <c r="AC472" s="25"/>
      <c r="AD472" s="24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103"/>
      <c r="AZ472" s="5"/>
      <c r="BK472" s="22"/>
      <c r="BL472" s="23"/>
      <c r="BM472" s="22"/>
      <c r="BN472" s="22"/>
      <c r="BO472" s="22"/>
      <c r="BP472" s="22"/>
      <c r="BQ472" s="22"/>
      <c r="BR472" s="24"/>
    </row>
    <row r="473" spans="2:72">
      <c r="AB473" s="25"/>
      <c r="AC473" s="25"/>
      <c r="AD473" s="24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Z473" s="5"/>
      <c r="BK473" s="22"/>
      <c r="BL473" s="23"/>
      <c r="BM473" s="22"/>
      <c r="BN473" s="22"/>
      <c r="BO473" s="22"/>
      <c r="BP473" s="22"/>
      <c r="BQ473" s="22"/>
      <c r="BR473" s="24"/>
    </row>
    <row r="474" spans="2:72" ht="13.15">
      <c r="B474" s="5" t="s">
        <v>8</v>
      </c>
      <c r="C474" s="9" t="s">
        <v>8</v>
      </c>
      <c r="D474" s="99">
        <v>48107</v>
      </c>
      <c r="E474" s="99">
        <v>50026</v>
      </c>
      <c r="F474" s="99">
        <v>44299</v>
      </c>
      <c r="G474" s="99">
        <v>41265</v>
      </c>
      <c r="H474" s="99">
        <v>56136</v>
      </c>
      <c r="I474" s="99">
        <v>53730</v>
      </c>
      <c r="J474" s="99">
        <v>-16948</v>
      </c>
      <c r="K474" s="99">
        <v>-15017</v>
      </c>
      <c r="L474" s="99">
        <v>-8634</v>
      </c>
      <c r="M474" s="99">
        <v>-15193</v>
      </c>
      <c r="N474" s="99">
        <v>-15900</v>
      </c>
      <c r="O474" s="99">
        <v>-23753</v>
      </c>
      <c r="P474" s="99">
        <v>-33951</v>
      </c>
      <c r="Q474" s="99">
        <v>-30242</v>
      </c>
      <c r="R474" s="99">
        <v>-34402</v>
      </c>
      <c r="S474" s="99">
        <v>-33540</v>
      </c>
      <c r="T474" s="99">
        <v>-39514</v>
      </c>
      <c r="U474" s="99">
        <v>-39561</v>
      </c>
      <c r="V474" s="99" t="s">
        <v>289</v>
      </c>
      <c r="W474" s="99"/>
      <c r="X474" s="99"/>
      <c r="Y474" s="99"/>
      <c r="Z474" s="99"/>
      <c r="AA474" s="99"/>
      <c r="AB474" s="25"/>
      <c r="AC474" s="25"/>
      <c r="AD474" s="24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99"/>
      <c r="AZ474" s="5"/>
      <c r="BK474" s="22"/>
      <c r="BL474" s="23"/>
      <c r="BM474" s="22"/>
      <c r="BN474" s="22"/>
      <c r="BO474" s="22"/>
      <c r="BP474" s="22"/>
      <c r="BQ474" s="22"/>
      <c r="BR474" s="24"/>
    </row>
    <row r="475" spans="2:72" ht="13.15">
      <c r="C475" s="9"/>
      <c r="AD475" s="24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Z475" s="5"/>
      <c r="BK475" s="22"/>
      <c r="BL475" s="23"/>
      <c r="BM475" s="22"/>
      <c r="BN475" s="22"/>
      <c r="BO475" s="22"/>
      <c r="BP475" s="22"/>
      <c r="BQ475" s="22"/>
      <c r="BR475" s="24"/>
    </row>
    <row r="476" spans="2:72" ht="13.15">
      <c r="C476" s="9" t="s">
        <v>332</v>
      </c>
      <c r="D476" s="39">
        <f t="shared" ref="D476:V476" si="358">IFERROR(D394/D315,"…")</f>
        <v>0.11489046007890921</v>
      </c>
      <c r="E476" s="39">
        <f t="shared" si="358"/>
        <v>8.3585254230171727E-2</v>
      </c>
      <c r="F476" s="39">
        <f t="shared" si="358"/>
        <v>8.9315852205005958E-2</v>
      </c>
      <c r="G476" s="39">
        <f t="shared" si="358"/>
        <v>9.2858389119994125E-2</v>
      </c>
      <c r="H476" s="39">
        <f t="shared" si="358"/>
        <v>8.3245466048080974E-2</v>
      </c>
      <c r="I476" s="39">
        <f t="shared" si="358"/>
        <v>0.19526177189196384</v>
      </c>
      <c r="J476" s="39">
        <f t="shared" si="358"/>
        <v>0.14715270935960592</v>
      </c>
      <c r="K476" s="39">
        <f t="shared" si="358"/>
        <v>0.11479442941689626</v>
      </c>
      <c r="L476" s="39">
        <f t="shared" si="358"/>
        <v>9.5953829226265858E-2</v>
      </c>
      <c r="M476" s="39">
        <f t="shared" si="358"/>
        <v>0.11765064185536554</v>
      </c>
      <c r="N476" s="39">
        <f t="shared" si="358"/>
        <v>9.4454158393345783E-2</v>
      </c>
      <c r="O476" s="39">
        <f t="shared" si="358"/>
        <v>9.7856459689064756E-2</v>
      </c>
      <c r="P476" s="39">
        <f t="shared" si="358"/>
        <v>8.8669701335223478E-2</v>
      </c>
      <c r="Q476" s="39">
        <f t="shared" si="358"/>
        <v>8.0010577331564664E-2</v>
      </c>
      <c r="R476" s="39">
        <f t="shared" si="358"/>
        <v>0.12269714944731587</v>
      </c>
      <c r="S476" s="39">
        <f t="shared" si="358"/>
        <v>0.10261170398049337</v>
      </c>
      <c r="T476" s="39">
        <f t="shared" si="358"/>
        <v>0.15213743471940561</v>
      </c>
      <c r="U476" s="39">
        <f t="shared" si="358"/>
        <v>0.15876498800959232</v>
      </c>
      <c r="V476" s="39" t="str">
        <f t="shared" si="358"/>
        <v>…</v>
      </c>
      <c r="W476" s="39" t="str">
        <f>IFERROR(W394/W315,"…")</f>
        <v>…</v>
      </c>
      <c r="X476" s="39" t="str">
        <f>IFERROR(X394/X315,"…")</f>
        <v>…</v>
      </c>
      <c r="Y476" s="39" t="str">
        <f>IFERROR(Y394/Y315,"…")</f>
        <v>…</v>
      </c>
      <c r="Z476" s="39"/>
      <c r="AA476" s="39"/>
      <c r="AD476" s="24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39"/>
      <c r="AZ476" s="5"/>
    </row>
    <row r="477" spans="2:72"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Z477" s="5"/>
      <c r="BK477" s="22"/>
      <c r="BL477" s="23"/>
      <c r="BM477" s="22"/>
      <c r="BN477" s="22"/>
      <c r="BO477" s="22"/>
      <c r="BP477" s="22"/>
      <c r="BQ477" s="22"/>
      <c r="BR477" s="24"/>
    </row>
    <row r="478" spans="2:72" ht="13.15">
      <c r="C478" s="9" t="s">
        <v>279</v>
      </c>
      <c r="D478" s="49">
        <f t="shared" ref="D478:Q478" si="359">IF(ISNUMBER(D480),D480,IF(ISNUMBER(D479),D479,"…"))</f>
        <v>-5550</v>
      </c>
      <c r="E478" s="49">
        <f t="shared" si="359"/>
        <v>-4434</v>
      </c>
      <c r="F478" s="49">
        <f t="shared" si="359"/>
        <v>-3728</v>
      </c>
      <c r="G478" s="49">
        <f t="shared" si="359"/>
        <v>-4638</v>
      </c>
      <c r="H478" s="49">
        <f t="shared" si="359"/>
        <v>-6883</v>
      </c>
      <c r="I478" s="49">
        <f t="shared" si="359"/>
        <v>-5963</v>
      </c>
      <c r="J478" s="49">
        <f t="shared" si="359"/>
        <v>-5758</v>
      </c>
      <c r="K478" s="49">
        <f t="shared" si="359"/>
        <v>-8087</v>
      </c>
      <c r="L478" s="49">
        <f t="shared" si="359"/>
        <v>-10493</v>
      </c>
      <c r="M478" s="49">
        <f>IF(ISNUMBER(M480),M480,IF(ISNUMBER(M479),M479,"…"))</f>
        <v>-11385</v>
      </c>
      <c r="N478" s="49">
        <f t="shared" si="359"/>
        <v>-12012</v>
      </c>
      <c r="O478" s="49">
        <f t="shared" si="359"/>
        <v>-13213</v>
      </c>
      <c r="P478" s="49">
        <f t="shared" si="359"/>
        <v>-13152</v>
      </c>
      <c r="Q478" s="49">
        <f t="shared" si="359"/>
        <v>-13052</v>
      </c>
      <c r="R478" s="49">
        <f t="shared" ref="R478:Y478" si="360">IF(ISNUMBER(R480),R480,IF(ISNUMBER(R479),R479,"…"))</f>
        <v>-13729</v>
      </c>
      <c r="S478" s="49">
        <f t="shared" si="360"/>
        <v>-14230</v>
      </c>
      <c r="T478" s="49">
        <f t="shared" si="360"/>
        <v>-11273</v>
      </c>
      <c r="U478" s="49">
        <f t="shared" si="360"/>
        <v>-18498</v>
      </c>
      <c r="V478" s="49" t="str">
        <f t="shared" si="360"/>
        <v>…</v>
      </c>
      <c r="W478" s="49" t="str">
        <f t="shared" si="360"/>
        <v>…</v>
      </c>
      <c r="X478" s="49" t="str">
        <f t="shared" si="360"/>
        <v>…</v>
      </c>
      <c r="Y478" s="49" t="str">
        <f t="shared" si="360"/>
        <v>…</v>
      </c>
      <c r="Z478" s="49"/>
      <c r="AA478" s="49"/>
      <c r="AD478" s="24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49"/>
      <c r="AZ478" s="5"/>
    </row>
    <row r="479" spans="2:72">
      <c r="B479" s="5" t="s">
        <v>280</v>
      </c>
      <c r="C479" s="44" t="s">
        <v>154</v>
      </c>
      <c r="D479" s="99">
        <v>-5550</v>
      </c>
      <c r="E479" s="99">
        <v>-4434</v>
      </c>
      <c r="F479" s="99">
        <v>-3728</v>
      </c>
      <c r="G479" s="99">
        <v>-4638</v>
      </c>
      <c r="H479" s="99">
        <v>-6883</v>
      </c>
      <c r="I479" s="99">
        <v>-5963</v>
      </c>
      <c r="J479" s="99">
        <v>-5758</v>
      </c>
      <c r="K479" s="99">
        <v>-8087</v>
      </c>
      <c r="L479" s="99">
        <v>-10493</v>
      </c>
      <c r="M479" s="99">
        <v>-11385</v>
      </c>
      <c r="N479" s="99">
        <v>-12012</v>
      </c>
      <c r="O479" s="99">
        <v>-13213</v>
      </c>
      <c r="P479" s="99">
        <v>-13152</v>
      </c>
      <c r="Q479" s="99">
        <v>-13052</v>
      </c>
      <c r="R479" s="99">
        <v>-13729</v>
      </c>
      <c r="S479" s="99">
        <v>-14230</v>
      </c>
      <c r="T479" s="99">
        <v>-11273</v>
      </c>
      <c r="U479" s="99">
        <v>-18498</v>
      </c>
      <c r="V479" s="99" t="s">
        <v>289</v>
      </c>
      <c r="W479" s="99"/>
      <c r="X479" s="99"/>
      <c r="Y479" s="99"/>
      <c r="Z479" s="99"/>
      <c r="AA479" s="99"/>
      <c r="AD479" s="24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99"/>
      <c r="AZ479" s="5"/>
    </row>
    <row r="480" spans="2:72">
      <c r="B480" s="5" t="s">
        <v>281</v>
      </c>
      <c r="C480" s="44" t="s">
        <v>161</v>
      </c>
      <c r="D480" s="99" t="s">
        <v>289</v>
      </c>
      <c r="E480" s="99" t="s">
        <v>289</v>
      </c>
      <c r="F480" s="99" t="s">
        <v>289</v>
      </c>
      <c r="G480" s="99" t="s">
        <v>289</v>
      </c>
      <c r="H480" s="99" t="s">
        <v>289</v>
      </c>
      <c r="I480" s="99" t="s">
        <v>289</v>
      </c>
      <c r="J480" s="99" t="s">
        <v>289</v>
      </c>
      <c r="K480" s="99" t="s">
        <v>289</v>
      </c>
      <c r="L480" s="99" t="s">
        <v>289</v>
      </c>
      <c r="M480" s="99" t="s">
        <v>289</v>
      </c>
      <c r="N480" s="99" t="s">
        <v>289</v>
      </c>
      <c r="O480" s="99" t="s">
        <v>289</v>
      </c>
      <c r="P480" s="99" t="s">
        <v>289</v>
      </c>
      <c r="Q480" s="99" t="s">
        <v>289</v>
      </c>
      <c r="R480" s="99" t="s">
        <v>289</v>
      </c>
      <c r="S480" s="99" t="s">
        <v>289</v>
      </c>
      <c r="T480" s="99" t="s">
        <v>289</v>
      </c>
      <c r="U480" s="99" t="s">
        <v>289</v>
      </c>
      <c r="V480" s="99" t="s">
        <v>289</v>
      </c>
      <c r="W480" s="99"/>
      <c r="X480" s="99"/>
      <c r="Y480" s="99"/>
      <c r="Z480" s="99"/>
      <c r="AA480" s="99"/>
      <c r="AD480" s="24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99"/>
      <c r="AZ480" s="5"/>
    </row>
    <row r="481" spans="2:52" ht="13.15">
      <c r="C481" s="9"/>
      <c r="AD481" s="24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Z481" s="5"/>
    </row>
    <row r="482" spans="2:52" ht="13.15">
      <c r="C482" s="9"/>
      <c r="AD482" s="24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Z482" s="5"/>
    </row>
    <row r="483" spans="2:52" ht="13.15">
      <c r="C483" s="9" t="s">
        <v>282</v>
      </c>
      <c r="AD483" s="24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Z483" s="5"/>
    </row>
    <row r="484" spans="2:52" ht="13.15">
      <c r="C484" s="9"/>
      <c r="AD484" s="24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Z484" s="5"/>
    </row>
    <row r="485" spans="2:52" ht="13.15">
      <c r="C485" s="9" t="s">
        <v>1743</v>
      </c>
      <c r="N485" s="25"/>
      <c r="AD485" s="24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Z485" s="5"/>
    </row>
    <row r="486" spans="2:52">
      <c r="C486" s="38" t="s">
        <v>354</v>
      </c>
      <c r="D486" s="116">
        <f t="shared" ref="D486:O486" si="361">D363</f>
        <v>55391</v>
      </c>
      <c r="E486" s="116">
        <f t="shared" si="361"/>
        <v>57846</v>
      </c>
      <c r="F486" s="116">
        <f t="shared" si="361"/>
        <v>61229</v>
      </c>
      <c r="G486" s="116">
        <f t="shared" si="361"/>
        <v>68516</v>
      </c>
      <c r="H486" s="116">
        <f t="shared" si="361"/>
        <v>76163</v>
      </c>
      <c r="I486" s="116">
        <f t="shared" si="361"/>
        <v>77777</v>
      </c>
      <c r="J486" s="116">
        <f t="shared" si="361"/>
        <v>85936</v>
      </c>
      <c r="K486" s="116">
        <f t="shared" si="361"/>
        <v>105640</v>
      </c>
      <c r="L486" s="116">
        <f t="shared" si="361"/>
        <v>113061</v>
      </c>
      <c r="M486" s="116">
        <f t="shared" si="361"/>
        <v>122192</v>
      </c>
      <c r="N486" s="116">
        <f t="shared" si="361"/>
        <v>131103</v>
      </c>
      <c r="O486" s="116">
        <f t="shared" si="361"/>
        <v>145387</v>
      </c>
      <c r="P486" s="116">
        <f t="shared" ref="P486:V486" si="362">P363</f>
        <v>155722</v>
      </c>
      <c r="Q486" s="116">
        <f t="shared" si="362"/>
        <v>160112</v>
      </c>
      <c r="R486" s="46">
        <f t="shared" si="362"/>
        <v>183536</v>
      </c>
      <c r="S486" s="46">
        <f t="shared" si="362"/>
        <v>187463</v>
      </c>
      <c r="T486" s="46">
        <f t="shared" si="362"/>
        <v>194944</v>
      </c>
      <c r="U486" s="46">
        <f t="shared" si="362"/>
        <v>200347</v>
      </c>
      <c r="V486" s="46" t="str">
        <f t="shared" si="362"/>
        <v>…</v>
      </c>
      <c r="W486" s="46" t="str">
        <f>W363</f>
        <v>…</v>
      </c>
      <c r="X486" s="46" t="str">
        <f>X363</f>
        <v>…</v>
      </c>
      <c r="Y486" s="46" t="str">
        <f>Y363</f>
        <v>…</v>
      </c>
      <c r="Z486" s="46"/>
      <c r="AA486" s="46"/>
      <c r="AD486" s="24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46"/>
      <c r="AZ486" s="5"/>
    </row>
    <row r="487" spans="2:52" ht="13.15">
      <c r="C487" s="9" t="s">
        <v>284</v>
      </c>
      <c r="D487" s="116">
        <f t="shared" ref="D487:R487" si="363">D367</f>
        <v>32461</v>
      </c>
      <c r="E487" s="116">
        <f t="shared" si="363"/>
        <v>32933</v>
      </c>
      <c r="F487" s="116">
        <f t="shared" si="363"/>
        <v>28379</v>
      </c>
      <c r="G487" s="116">
        <f t="shared" si="363"/>
        <v>27669</v>
      </c>
      <c r="H487" s="116">
        <f t="shared" si="363"/>
        <v>33160</v>
      </c>
      <c r="I487" s="116">
        <f t="shared" si="363"/>
        <v>24444</v>
      </c>
      <c r="J487" s="116">
        <f t="shared" si="363"/>
        <v>25847</v>
      </c>
      <c r="K487" s="116">
        <f t="shared" si="363"/>
        <v>31876</v>
      </c>
      <c r="L487" s="116">
        <f t="shared" si="363"/>
        <v>39424</v>
      </c>
      <c r="M487" s="116">
        <f t="shared" si="363"/>
        <v>42388</v>
      </c>
      <c r="N487" s="116">
        <f t="shared" si="363"/>
        <v>46169</v>
      </c>
      <c r="O487" s="116">
        <f t="shared" si="363"/>
        <v>83344</v>
      </c>
      <c r="P487" s="116">
        <f t="shared" si="363"/>
        <v>92472</v>
      </c>
      <c r="Q487" s="116">
        <f t="shared" si="363"/>
        <v>94965</v>
      </c>
      <c r="R487" s="46">
        <f t="shared" si="363"/>
        <v>101672</v>
      </c>
      <c r="S487" s="46">
        <f t="shared" ref="S487:Y487" si="364">S367</f>
        <v>115090</v>
      </c>
      <c r="T487" s="46">
        <f t="shared" si="364"/>
        <v>114571</v>
      </c>
      <c r="U487" s="46">
        <f t="shared" si="364"/>
        <v>123393</v>
      </c>
      <c r="V487" s="46" t="str">
        <f t="shared" si="364"/>
        <v>…</v>
      </c>
      <c r="W487" s="46" t="str">
        <f t="shared" si="364"/>
        <v>…</v>
      </c>
      <c r="X487" s="46" t="str">
        <f t="shared" si="364"/>
        <v>…</v>
      </c>
      <c r="Y487" s="46" t="str">
        <f t="shared" si="364"/>
        <v>…</v>
      </c>
      <c r="Z487" s="46"/>
      <c r="AA487" s="46"/>
      <c r="AD487" s="24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46"/>
      <c r="AZ487" s="5"/>
    </row>
    <row r="488" spans="2:52" ht="13.15">
      <c r="C488" s="9" t="s">
        <v>283</v>
      </c>
      <c r="D488" s="116">
        <f t="shared" ref="D488:R488" si="365">D433</f>
        <v>293</v>
      </c>
      <c r="E488" s="116">
        <f t="shared" si="365"/>
        <v>336</v>
      </c>
      <c r="F488" s="116">
        <f t="shared" si="365"/>
        <v>410</v>
      </c>
      <c r="G488" s="116">
        <f t="shared" si="365"/>
        <v>548</v>
      </c>
      <c r="H488" s="116">
        <f t="shared" si="365"/>
        <v>583</v>
      </c>
      <c r="I488" s="116">
        <f t="shared" si="365"/>
        <v>543</v>
      </c>
      <c r="J488" s="116">
        <f t="shared" si="365"/>
        <v>640</v>
      </c>
      <c r="K488" s="116">
        <f t="shared" si="365"/>
        <v>3049</v>
      </c>
      <c r="L488" s="116">
        <f t="shared" si="365"/>
        <v>3870</v>
      </c>
      <c r="M488" s="116">
        <f t="shared" si="365"/>
        <v>3941</v>
      </c>
      <c r="N488" s="116">
        <f>N433</f>
        <v>3683</v>
      </c>
      <c r="O488" s="116">
        <f t="shared" si="365"/>
        <v>1948</v>
      </c>
      <c r="P488" s="116">
        <f t="shared" si="365"/>
        <v>15184</v>
      </c>
      <c r="Q488" s="116">
        <f t="shared" si="365"/>
        <v>15451</v>
      </c>
      <c r="R488" s="46">
        <f t="shared" si="365"/>
        <v>14059</v>
      </c>
      <c r="S488" s="46">
        <f t="shared" ref="S488:Y488" si="366">S433</f>
        <v>13281</v>
      </c>
      <c r="T488" s="46">
        <f t="shared" si="366"/>
        <v>15964</v>
      </c>
      <c r="U488" s="46">
        <f t="shared" si="366"/>
        <v>20781</v>
      </c>
      <c r="V488" s="46">
        <f t="shared" si="366"/>
        <v>0</v>
      </c>
      <c r="W488" s="46">
        <f t="shared" si="366"/>
        <v>0</v>
      </c>
      <c r="X488" s="46">
        <f t="shared" si="366"/>
        <v>0</v>
      </c>
      <c r="Y488" s="46">
        <f t="shared" si="366"/>
        <v>0</v>
      </c>
      <c r="Z488" s="46"/>
      <c r="AA488" s="46"/>
      <c r="AD488" s="24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46"/>
      <c r="AZ488" s="5"/>
    </row>
    <row r="489" spans="2:52" ht="13.15">
      <c r="C489" s="9" t="s">
        <v>285</v>
      </c>
      <c r="D489" s="116">
        <f t="shared" ref="D489:P489" si="367">IF(D11="no","…",SUM(D375,D390,D399,D409,D412,D417,D420,D423,D450))</f>
        <v>16696</v>
      </c>
      <c r="E489" s="116">
        <f t="shared" si="367"/>
        <v>17008</v>
      </c>
      <c r="F489" s="116">
        <f t="shared" si="367"/>
        <v>20135</v>
      </c>
      <c r="G489" s="116">
        <f t="shared" si="367"/>
        <v>21102</v>
      </c>
      <c r="H489" s="116">
        <f t="shared" si="367"/>
        <v>26158</v>
      </c>
      <c r="I489" s="116">
        <f t="shared" si="367"/>
        <v>41025</v>
      </c>
      <c r="J489" s="116">
        <f t="shared" si="367"/>
        <v>50901</v>
      </c>
      <c r="K489" s="116">
        <f t="shared" si="367"/>
        <v>70414</v>
      </c>
      <c r="L489" s="116">
        <f t="shared" si="367"/>
        <v>102945</v>
      </c>
      <c r="M489" s="116">
        <f t="shared" si="367"/>
        <v>104187</v>
      </c>
      <c r="N489" s="116">
        <f t="shared" si="367"/>
        <v>111892</v>
      </c>
      <c r="O489" s="116">
        <f t="shared" si="367"/>
        <v>151331</v>
      </c>
      <c r="P489" s="116">
        <f t="shared" si="367"/>
        <v>151382</v>
      </c>
      <c r="Q489" s="116">
        <f t="shared" ref="Q489:Y489" si="368">IF(Q11="no","…",SUM(Q375,Q390,Q399,Q409,Q412,Q417,Q420,Q423,Q450,-Q488))</f>
        <v>141484</v>
      </c>
      <c r="R489" s="46">
        <f t="shared" si="368"/>
        <v>150419</v>
      </c>
      <c r="S489" s="46">
        <f t="shared" si="368"/>
        <v>76930</v>
      </c>
      <c r="T489" s="46">
        <f t="shared" si="368"/>
        <v>78436</v>
      </c>
      <c r="U489" s="46">
        <f t="shared" si="368"/>
        <v>85727</v>
      </c>
      <c r="V489" s="46" t="str">
        <f t="shared" si="368"/>
        <v>…</v>
      </c>
      <c r="W489" s="46" t="str">
        <f t="shared" si="368"/>
        <v>…</v>
      </c>
      <c r="X489" s="46" t="str">
        <f t="shared" si="368"/>
        <v>…</v>
      </c>
      <c r="Y489" s="46" t="str">
        <f t="shared" si="368"/>
        <v>…</v>
      </c>
      <c r="Z489" s="46"/>
      <c r="AA489" s="46"/>
      <c r="AD489" s="24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46"/>
      <c r="AZ489" s="5"/>
    </row>
    <row r="490" spans="2:52" ht="13.15">
      <c r="C490" s="9" t="s">
        <v>220</v>
      </c>
      <c r="D490" s="116">
        <f t="shared" ref="D490:O490" si="369">D358</f>
        <v>127603</v>
      </c>
      <c r="E490" s="116">
        <f t="shared" si="369"/>
        <v>133081</v>
      </c>
      <c r="F490" s="116">
        <f t="shared" si="369"/>
        <v>136603</v>
      </c>
      <c r="G490" s="116">
        <f t="shared" si="369"/>
        <v>145357</v>
      </c>
      <c r="H490" s="116">
        <f t="shared" si="369"/>
        <v>167919</v>
      </c>
      <c r="I490" s="116">
        <f t="shared" si="369"/>
        <v>177179</v>
      </c>
      <c r="J490" s="116">
        <f t="shared" si="369"/>
        <v>199393</v>
      </c>
      <c r="K490" s="116">
        <f t="shared" si="369"/>
        <v>253769</v>
      </c>
      <c r="L490" s="116">
        <f t="shared" si="369"/>
        <v>309518</v>
      </c>
      <c r="M490" s="116">
        <f t="shared" si="369"/>
        <v>324333</v>
      </c>
      <c r="N490" s="116">
        <f t="shared" si="369"/>
        <v>351209</v>
      </c>
      <c r="O490" s="116">
        <f t="shared" si="369"/>
        <v>381935</v>
      </c>
      <c r="P490" s="116">
        <f t="shared" ref="P490:V490" si="370">P358</f>
        <v>409732</v>
      </c>
      <c r="Q490" s="116">
        <f t="shared" si="370"/>
        <v>422193</v>
      </c>
      <c r="R490" s="46">
        <f t="shared" si="370"/>
        <v>458156</v>
      </c>
      <c r="S490" s="46">
        <f t="shared" si="370"/>
        <v>488071</v>
      </c>
      <c r="T490" s="46">
        <f t="shared" si="370"/>
        <v>497114</v>
      </c>
      <c r="U490" s="46">
        <f t="shared" si="370"/>
        <v>528609</v>
      </c>
      <c r="V490" s="46" t="str">
        <f t="shared" si="370"/>
        <v>…</v>
      </c>
      <c r="W490" s="46" t="str">
        <f>W358</f>
        <v>…</v>
      </c>
      <c r="X490" s="46" t="str">
        <f>X358</f>
        <v>…</v>
      </c>
      <c r="Y490" s="46" t="str">
        <f>Y358</f>
        <v>…</v>
      </c>
      <c r="Z490" s="46"/>
      <c r="AA490" s="46"/>
      <c r="AD490" s="24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46"/>
      <c r="AZ490" s="5"/>
    </row>
    <row r="491" spans="2:52" ht="13.15">
      <c r="C491" s="9"/>
      <c r="AD491" s="24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Z491" s="5"/>
    </row>
    <row r="492" spans="2:52" ht="13.15">
      <c r="C492" s="9"/>
      <c r="AD492" s="24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Z492" s="5"/>
    </row>
    <row r="493" spans="2:52" ht="13.15">
      <c r="C493" s="50" t="s">
        <v>116</v>
      </c>
      <c r="D493" s="93">
        <f t="shared" ref="D493:Y493" si="371">IF(D11="yes",SUM(D490)-SUM(D486:D489),"…")</f>
        <v>22762</v>
      </c>
      <c r="E493" s="93">
        <f t="shared" si="371"/>
        <v>24958</v>
      </c>
      <c r="F493" s="93">
        <f t="shared" si="371"/>
        <v>26450</v>
      </c>
      <c r="G493" s="93">
        <f t="shared" si="371"/>
        <v>27522</v>
      </c>
      <c r="H493" s="93">
        <f t="shared" si="371"/>
        <v>31855</v>
      </c>
      <c r="I493" s="93">
        <f t="shared" si="371"/>
        <v>33390</v>
      </c>
      <c r="J493" s="93">
        <f t="shared" si="371"/>
        <v>36069</v>
      </c>
      <c r="K493" s="93">
        <f t="shared" si="371"/>
        <v>42790</v>
      </c>
      <c r="L493" s="93">
        <f t="shared" si="371"/>
        <v>50218</v>
      </c>
      <c r="M493" s="93">
        <f t="shared" si="371"/>
        <v>51625</v>
      </c>
      <c r="N493" s="93">
        <f t="shared" si="371"/>
        <v>58362</v>
      </c>
      <c r="O493" s="93">
        <f t="shared" si="371"/>
        <v>-75</v>
      </c>
      <c r="P493" s="46">
        <f t="shared" si="371"/>
        <v>-5028</v>
      </c>
      <c r="Q493" s="46">
        <f t="shared" si="371"/>
        <v>10181</v>
      </c>
      <c r="R493" s="46">
        <f t="shared" si="371"/>
        <v>8470</v>
      </c>
      <c r="S493" s="46">
        <f t="shared" si="371"/>
        <v>95307</v>
      </c>
      <c r="T493" s="46">
        <f t="shared" si="371"/>
        <v>93199</v>
      </c>
      <c r="U493" s="46">
        <f t="shared" si="371"/>
        <v>98361</v>
      </c>
      <c r="V493" s="46" t="str">
        <f t="shared" si="371"/>
        <v>…</v>
      </c>
      <c r="W493" s="46" t="str">
        <f t="shared" si="371"/>
        <v>…</v>
      </c>
      <c r="X493" s="46" t="str">
        <f t="shared" si="371"/>
        <v>…</v>
      </c>
      <c r="Y493" s="46" t="str">
        <f t="shared" si="371"/>
        <v>…</v>
      </c>
      <c r="Z493" s="46"/>
      <c r="AA493" s="46"/>
      <c r="AD493" s="24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46"/>
      <c r="AZ493" s="5"/>
    </row>
    <row r="494" spans="2:52" ht="13.15">
      <c r="C494" s="9"/>
      <c r="AD494" s="24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Z494" s="5"/>
    </row>
    <row r="495" spans="2:52" ht="13.15">
      <c r="C495" s="9"/>
      <c r="AD495" s="24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Z495" s="5"/>
    </row>
    <row r="496" spans="2:52" ht="13.15">
      <c r="B496" s="5" t="s">
        <v>404</v>
      </c>
      <c r="C496" s="9"/>
      <c r="D496" s="16">
        <v>-121</v>
      </c>
      <c r="E496" s="16">
        <v>50</v>
      </c>
      <c r="F496" s="16">
        <v>701</v>
      </c>
      <c r="G496" s="16">
        <v>-963</v>
      </c>
      <c r="H496" s="16">
        <v>-1283</v>
      </c>
      <c r="I496" s="16">
        <v>-764</v>
      </c>
      <c r="J496" s="16">
        <v>-2444</v>
      </c>
      <c r="K496" s="16">
        <v>-8617</v>
      </c>
      <c r="L496" s="16">
        <v>-15280</v>
      </c>
      <c r="M496" s="16">
        <v>-2998</v>
      </c>
      <c r="N496" s="16">
        <v>-3181</v>
      </c>
      <c r="O496" s="16">
        <v>-3774</v>
      </c>
      <c r="P496" s="99">
        <v>-1754</v>
      </c>
      <c r="Q496" s="99">
        <v>-5011</v>
      </c>
      <c r="R496" s="99">
        <v>-6070</v>
      </c>
      <c r="S496" s="99">
        <v>-6394</v>
      </c>
      <c r="T496" s="99">
        <v>-3824</v>
      </c>
      <c r="U496" s="99">
        <v>-2504</v>
      </c>
      <c r="V496" s="99" t="s">
        <v>289</v>
      </c>
      <c r="W496" s="99"/>
      <c r="X496" s="99"/>
      <c r="Y496" s="99"/>
      <c r="Z496" s="99"/>
      <c r="AA496" s="99"/>
      <c r="AD496" s="24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99"/>
      <c r="AZ496" s="5"/>
    </row>
    <row r="497" spans="2:60" ht="13.15">
      <c r="B497" s="5" t="s">
        <v>405</v>
      </c>
      <c r="C497" s="9"/>
      <c r="D497" s="16">
        <v>255</v>
      </c>
      <c r="E497" s="16">
        <v>78</v>
      </c>
      <c r="F497" s="16">
        <v>373</v>
      </c>
      <c r="G497" s="16">
        <v>734</v>
      </c>
      <c r="H497" s="16">
        <v>910</v>
      </c>
      <c r="I497" s="16">
        <v>701</v>
      </c>
      <c r="J497" s="16">
        <v>1944</v>
      </c>
      <c r="K497" s="16">
        <v>2253</v>
      </c>
      <c r="L497" s="16">
        <v>13568</v>
      </c>
      <c r="M497" s="16">
        <v>3588</v>
      </c>
      <c r="N497" s="16">
        <v>3988</v>
      </c>
      <c r="O497" s="16">
        <v>4387</v>
      </c>
      <c r="P497" s="99">
        <v>3497</v>
      </c>
      <c r="Q497" s="99">
        <v>3482</v>
      </c>
      <c r="R497" s="99">
        <v>3369</v>
      </c>
      <c r="S497" s="99">
        <v>3349</v>
      </c>
      <c r="T497" s="99">
        <v>2756</v>
      </c>
      <c r="U497" s="99">
        <v>2321</v>
      </c>
      <c r="V497" s="99" t="s">
        <v>289</v>
      </c>
      <c r="W497" s="99"/>
      <c r="X497" s="99"/>
      <c r="Y497" s="99"/>
      <c r="Z497" s="99"/>
      <c r="AA497" s="99"/>
      <c r="AD497" s="24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99"/>
      <c r="AZ497" s="5"/>
    </row>
    <row r="498" spans="2:60" ht="13.15">
      <c r="B498" s="5" t="s">
        <v>406</v>
      </c>
      <c r="C498" s="9"/>
      <c r="D498" s="16">
        <v>23055</v>
      </c>
      <c r="E498" s="16">
        <v>25294</v>
      </c>
      <c r="F498" s="16">
        <v>26860</v>
      </c>
      <c r="G498" s="16">
        <v>28070</v>
      </c>
      <c r="H498" s="16">
        <v>32438</v>
      </c>
      <c r="I498" s="16">
        <v>33933</v>
      </c>
      <c r="J498" s="16">
        <v>36709</v>
      </c>
      <c r="K498" s="16">
        <v>45839</v>
      </c>
      <c r="L498" s="16">
        <v>54088</v>
      </c>
      <c r="M498" s="16">
        <v>55566</v>
      </c>
      <c r="N498" s="16">
        <v>62045</v>
      </c>
      <c r="O498" s="16">
        <v>66049</v>
      </c>
      <c r="P498" s="99">
        <v>74892</v>
      </c>
      <c r="Q498" s="99">
        <v>78930</v>
      </c>
      <c r="R498" s="99">
        <v>84756</v>
      </c>
      <c r="S498" s="99">
        <v>93337</v>
      </c>
      <c r="T498" s="99">
        <v>89388</v>
      </c>
      <c r="U498" s="99">
        <v>94194</v>
      </c>
      <c r="V498" s="99" t="s">
        <v>289</v>
      </c>
      <c r="W498" s="99"/>
      <c r="X498" s="99"/>
      <c r="Y498" s="99"/>
      <c r="Z498" s="99"/>
      <c r="AA498" s="99"/>
      <c r="AD498" s="24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99"/>
      <c r="AZ498" s="5"/>
    </row>
    <row r="499" spans="2:60" ht="13.15">
      <c r="B499" s="5" t="s">
        <v>410</v>
      </c>
      <c r="C499" s="9"/>
      <c r="D499" s="25" t="s">
        <v>289</v>
      </c>
      <c r="E499" s="25" t="s">
        <v>289</v>
      </c>
      <c r="F499" s="25" t="s">
        <v>289</v>
      </c>
      <c r="G499" s="25" t="s">
        <v>289</v>
      </c>
      <c r="H499" s="25" t="s">
        <v>289</v>
      </c>
      <c r="I499" s="25" t="s">
        <v>289</v>
      </c>
      <c r="J499" s="25" t="s">
        <v>289</v>
      </c>
      <c r="K499" s="25" t="s">
        <v>289</v>
      </c>
      <c r="L499" s="25" t="s">
        <v>289</v>
      </c>
      <c r="M499" s="25" t="s">
        <v>289</v>
      </c>
      <c r="N499" s="25" t="s">
        <v>289</v>
      </c>
      <c r="O499" s="25" t="s">
        <v>289</v>
      </c>
      <c r="P499" s="20" t="s">
        <v>289</v>
      </c>
      <c r="Q499" s="20" t="s">
        <v>289</v>
      </c>
      <c r="R499" s="20" t="s">
        <v>289</v>
      </c>
      <c r="S499" s="20" t="s">
        <v>289</v>
      </c>
      <c r="T499" s="20" t="s">
        <v>289</v>
      </c>
      <c r="U499" s="20" t="s">
        <v>289</v>
      </c>
      <c r="V499" s="20" t="s">
        <v>289</v>
      </c>
      <c r="AD499" s="24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Z499" s="5"/>
    </row>
    <row r="500" spans="2:60" ht="13.15">
      <c r="B500" s="5" t="s">
        <v>411</v>
      </c>
      <c r="C500" s="9"/>
      <c r="D500" s="25" t="s">
        <v>289</v>
      </c>
      <c r="E500" s="25" t="s">
        <v>289</v>
      </c>
      <c r="F500" s="25" t="s">
        <v>289</v>
      </c>
      <c r="G500" s="25" t="s">
        <v>289</v>
      </c>
      <c r="H500" s="25" t="s">
        <v>289</v>
      </c>
      <c r="I500" s="25" t="s">
        <v>289</v>
      </c>
      <c r="J500" s="25" t="s">
        <v>289</v>
      </c>
      <c r="K500" s="25" t="s">
        <v>289</v>
      </c>
      <c r="L500" s="25" t="s">
        <v>289</v>
      </c>
      <c r="M500" s="25" t="s">
        <v>289</v>
      </c>
      <c r="N500" s="25" t="s">
        <v>289</v>
      </c>
      <c r="O500" s="25" t="s">
        <v>289</v>
      </c>
      <c r="P500" s="20" t="s">
        <v>289</v>
      </c>
      <c r="Q500" s="20" t="s">
        <v>289</v>
      </c>
      <c r="R500" s="20" t="s">
        <v>289</v>
      </c>
      <c r="S500" s="20" t="s">
        <v>289</v>
      </c>
      <c r="T500" s="20" t="s">
        <v>289</v>
      </c>
      <c r="U500" s="20" t="s">
        <v>289</v>
      </c>
      <c r="V500" s="20" t="s">
        <v>289</v>
      </c>
      <c r="AD500" s="24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Z500" s="5"/>
    </row>
    <row r="501" spans="2:60" ht="13.15">
      <c r="C501" s="9"/>
      <c r="AD501" s="24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Z501" s="5"/>
    </row>
    <row r="503" spans="2:60" ht="13.15">
      <c r="C503" s="117" t="s">
        <v>2986</v>
      </c>
      <c r="D503" s="118"/>
      <c r="E503" s="118"/>
      <c r="F503" s="118"/>
      <c r="G503" s="118"/>
      <c r="H503" s="118"/>
      <c r="I503" s="118"/>
      <c r="J503" s="118"/>
      <c r="K503" s="118"/>
      <c r="L503" s="118"/>
      <c r="M503" s="118"/>
      <c r="N503" s="118"/>
      <c r="O503" s="118"/>
      <c r="P503" s="118"/>
      <c r="Q503" s="118"/>
      <c r="R503" s="118"/>
      <c r="S503" s="118"/>
      <c r="T503" s="118"/>
      <c r="U503" s="118"/>
      <c r="V503" s="118"/>
      <c r="W503" s="118"/>
      <c r="X503" s="118"/>
      <c r="Y503" s="118"/>
      <c r="Z503" s="118"/>
      <c r="AA503" s="118"/>
      <c r="AB503" s="118"/>
      <c r="AC503" s="118"/>
      <c r="AD503" s="119"/>
      <c r="AE503" s="120"/>
      <c r="AF503" s="120"/>
      <c r="AG503" s="120"/>
      <c r="AH503" s="120"/>
      <c r="AI503" s="120"/>
      <c r="AJ503" s="120"/>
      <c r="AK503" s="120"/>
      <c r="AL503" s="120"/>
      <c r="AM503" s="120"/>
      <c r="AN503" s="120"/>
      <c r="AO503" s="120"/>
      <c r="AP503" s="120"/>
      <c r="AQ503" s="120"/>
      <c r="AR503" s="120"/>
      <c r="AS503" s="120"/>
      <c r="AT503" s="120"/>
      <c r="AU503" s="120"/>
      <c r="AV503" s="120"/>
      <c r="AW503" s="120"/>
      <c r="AX503" s="120"/>
      <c r="AY503" s="118"/>
      <c r="AZ503" s="120"/>
      <c r="BA503" s="120"/>
      <c r="BB503" s="120"/>
      <c r="BC503" s="120"/>
      <c r="BD503" s="120"/>
      <c r="BE503" s="120"/>
      <c r="BF503" s="120"/>
      <c r="BG503" s="120"/>
      <c r="BH503" s="120"/>
    </row>
    <row r="504" spans="2:60" ht="13.15">
      <c r="C504" s="9"/>
      <c r="AD504" s="24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Z504" s="5"/>
    </row>
    <row r="505" spans="2:60" ht="13.15">
      <c r="C505" s="9" t="str">
        <f t="shared" ref="C505:R505" si="372">C325</f>
        <v>EBITDA (Bloomberg)</v>
      </c>
      <c r="D505" s="36">
        <f t="shared" si="372"/>
        <v>10000</v>
      </c>
      <c r="E505" s="36">
        <f t="shared" si="372"/>
        <v>11073</v>
      </c>
      <c r="F505" s="36">
        <f t="shared" si="372"/>
        <v>11848</v>
      </c>
      <c r="G505" s="36">
        <f t="shared" si="372"/>
        <v>15996</v>
      </c>
      <c r="H505" s="36">
        <f t="shared" si="372"/>
        <v>14739</v>
      </c>
      <c r="I505" s="36">
        <f t="shared" si="372"/>
        <v>10716</v>
      </c>
      <c r="J505" s="36">
        <f t="shared" si="372"/>
        <v>17230</v>
      </c>
      <c r="K505" s="36">
        <f t="shared" si="372"/>
        <v>21604</v>
      </c>
      <c r="L505" s="36">
        <f t="shared" si="372"/>
        <v>24612</v>
      </c>
      <c r="M505" s="36">
        <f t="shared" si="372"/>
        <v>26321</v>
      </c>
      <c r="N505" s="36">
        <f t="shared" si="372"/>
        <v>29488</v>
      </c>
      <c r="O505" s="36">
        <f t="shared" si="372"/>
        <v>15587</v>
      </c>
      <c r="P505" s="36">
        <f t="shared" si="372"/>
        <v>27896</v>
      </c>
      <c r="Q505" s="36">
        <f t="shared" si="372"/>
        <v>35848</v>
      </c>
      <c r="R505" s="36">
        <f t="shared" si="372"/>
        <v>36311</v>
      </c>
      <c r="AD505" s="24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Z505" s="5"/>
    </row>
    <row r="506" spans="2:60" ht="13.15">
      <c r="C506" s="9"/>
      <c r="AD506" s="24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Z506" s="5"/>
    </row>
    <row r="507" spans="2:60">
      <c r="C507" s="5" t="s">
        <v>3027</v>
      </c>
      <c r="D507" s="36">
        <f t="shared" ref="D507:Q507" si="373">SUM(D526,D531,D537,D543,D545)</f>
        <v>865</v>
      </c>
      <c r="E507" s="36">
        <f t="shared" si="373"/>
        <v>-291</v>
      </c>
      <c r="F507" s="36">
        <f t="shared" si="373"/>
        <v>553</v>
      </c>
      <c r="G507" s="36">
        <f t="shared" si="373"/>
        <v>388</v>
      </c>
      <c r="H507" s="36">
        <f t="shared" si="373"/>
        <v>-3574</v>
      </c>
      <c r="I507" s="36">
        <f t="shared" si="373"/>
        <v>4421</v>
      </c>
      <c r="J507" s="36">
        <f t="shared" si="373"/>
        <v>539</v>
      </c>
      <c r="K507" s="36">
        <f t="shared" si="373"/>
        <v>-7132</v>
      </c>
      <c r="L507" s="36">
        <f t="shared" si="373"/>
        <v>-7882</v>
      </c>
      <c r="M507" s="36">
        <f t="shared" si="373"/>
        <v>-4634</v>
      </c>
      <c r="N507" s="36">
        <f t="shared" si="373"/>
        <v>-2927</v>
      </c>
      <c r="O507" s="36">
        <f t="shared" si="373"/>
        <v>-7005</v>
      </c>
      <c r="P507" s="36">
        <f t="shared" si="373"/>
        <v>-5186</v>
      </c>
      <c r="Q507" s="36">
        <f t="shared" si="373"/>
        <v>-7145</v>
      </c>
      <c r="R507" s="36">
        <f>SUM(R526,R531,R537,R543,R545)</f>
        <v>-11764</v>
      </c>
      <c r="AD507" s="24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Z507" s="5"/>
    </row>
    <row r="508" spans="2:60">
      <c r="C508" s="5" t="s">
        <v>3060</v>
      </c>
      <c r="D508" s="36">
        <f t="shared" ref="D508:O508" si="374">SUM(D549)</f>
        <v>0</v>
      </c>
      <c r="E508" s="36">
        <f t="shared" si="374"/>
        <v>0</v>
      </c>
      <c r="F508" s="36">
        <f t="shared" si="374"/>
        <v>0</v>
      </c>
      <c r="G508" s="36">
        <f t="shared" si="374"/>
        <v>0</v>
      </c>
      <c r="H508" s="36">
        <f t="shared" si="374"/>
        <v>0</v>
      </c>
      <c r="I508" s="36">
        <f t="shared" si="374"/>
        <v>0</v>
      </c>
      <c r="J508" s="36">
        <f t="shared" si="374"/>
        <v>0</v>
      </c>
      <c r="K508" s="36">
        <f t="shared" si="374"/>
        <v>0</v>
      </c>
      <c r="L508" s="36">
        <f t="shared" si="374"/>
        <v>0</v>
      </c>
      <c r="M508" s="36">
        <f t="shared" si="374"/>
        <v>0</v>
      </c>
      <c r="N508" s="36">
        <f t="shared" si="374"/>
        <v>0</v>
      </c>
      <c r="O508" s="36">
        <f t="shared" si="374"/>
        <v>0</v>
      </c>
      <c r="P508" s="36">
        <f>SUM(P549)</f>
        <v>-20.8</v>
      </c>
      <c r="Q508" s="36">
        <f>SUM(Q549)</f>
        <v>0</v>
      </c>
      <c r="R508" s="36">
        <f>SUM(R549)</f>
        <v>0</v>
      </c>
      <c r="AD508" s="24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Z508" s="5"/>
    </row>
    <row r="509" spans="2:60">
      <c r="AD509" s="24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Z509" s="5"/>
    </row>
    <row r="510" spans="2:60">
      <c r="C510" s="5" t="s">
        <v>3024</v>
      </c>
      <c r="D510" s="36">
        <f t="shared" ref="D510:R510" si="375">SUM(D552:D553)</f>
        <v>0</v>
      </c>
      <c r="E510" s="36">
        <f t="shared" si="375"/>
        <v>0</v>
      </c>
      <c r="F510" s="36">
        <f t="shared" si="375"/>
        <v>0</v>
      </c>
      <c r="G510" s="36">
        <f t="shared" si="375"/>
        <v>0</v>
      </c>
      <c r="H510" s="36">
        <f t="shared" si="375"/>
        <v>0</v>
      </c>
      <c r="I510" s="36">
        <f t="shared" si="375"/>
        <v>0</v>
      </c>
      <c r="J510" s="36">
        <f t="shared" si="375"/>
        <v>0</v>
      </c>
      <c r="K510" s="36">
        <f t="shared" si="375"/>
        <v>0</v>
      </c>
      <c r="L510" s="36">
        <f t="shared" si="375"/>
        <v>0</v>
      </c>
      <c r="M510" s="36">
        <f t="shared" si="375"/>
        <v>0</v>
      </c>
      <c r="N510" s="36">
        <f t="shared" si="375"/>
        <v>0</v>
      </c>
      <c r="O510" s="36">
        <f t="shared" si="375"/>
        <v>0</v>
      </c>
      <c r="P510" s="36">
        <f t="shared" si="375"/>
        <v>0</v>
      </c>
      <c r="Q510" s="36">
        <f t="shared" si="375"/>
        <v>0</v>
      </c>
      <c r="R510" s="36">
        <f t="shared" si="375"/>
        <v>0</v>
      </c>
      <c r="AD510" s="24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Z510" s="5"/>
    </row>
    <row r="511" spans="2:60">
      <c r="C511" s="5" t="str">
        <f>C561</f>
        <v>Oper./Non-rec. items not in EBITDA</v>
      </c>
      <c r="D511" s="5">
        <f t="shared" ref="D511:R511" si="376">D561</f>
        <v>0</v>
      </c>
      <c r="E511" s="5">
        <f t="shared" si="376"/>
        <v>0</v>
      </c>
      <c r="F511" s="5">
        <f t="shared" si="376"/>
        <v>0</v>
      </c>
      <c r="G511" s="5">
        <f t="shared" si="376"/>
        <v>0</v>
      </c>
      <c r="H511" s="5">
        <f t="shared" si="376"/>
        <v>0</v>
      </c>
      <c r="I511" s="5">
        <f t="shared" si="376"/>
        <v>0</v>
      </c>
      <c r="J511" s="5">
        <f t="shared" si="376"/>
        <v>0</v>
      </c>
      <c r="K511" s="5">
        <f t="shared" si="376"/>
        <v>0</v>
      </c>
      <c r="L511" s="5">
        <f t="shared" si="376"/>
        <v>0</v>
      </c>
      <c r="M511" s="5">
        <f t="shared" si="376"/>
        <v>0</v>
      </c>
      <c r="N511" s="5">
        <f t="shared" si="376"/>
        <v>0</v>
      </c>
      <c r="O511" s="5">
        <f t="shared" si="376"/>
        <v>0</v>
      </c>
      <c r="P511" s="5">
        <f t="shared" si="376"/>
        <v>0</v>
      </c>
      <c r="Q511" s="5">
        <f t="shared" si="376"/>
        <v>0</v>
      </c>
      <c r="R511" s="5">
        <f t="shared" si="376"/>
        <v>0</v>
      </c>
      <c r="AD511" s="24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Z511" s="5"/>
    </row>
    <row r="512" spans="2:60">
      <c r="C512" s="5" t="str">
        <f>C558</f>
        <v>Oper./Rec. items not in EBITDA</v>
      </c>
      <c r="D512" s="5">
        <f t="shared" ref="D512:R512" si="377">D558</f>
        <v>0</v>
      </c>
      <c r="E512" s="5">
        <f t="shared" si="377"/>
        <v>0</v>
      </c>
      <c r="F512" s="5">
        <f t="shared" si="377"/>
        <v>0</v>
      </c>
      <c r="G512" s="5">
        <f t="shared" si="377"/>
        <v>0</v>
      </c>
      <c r="H512" s="5">
        <f t="shared" si="377"/>
        <v>0</v>
      </c>
      <c r="I512" s="5">
        <f t="shared" si="377"/>
        <v>0</v>
      </c>
      <c r="J512" s="5">
        <f t="shared" si="377"/>
        <v>0</v>
      </c>
      <c r="K512" s="5">
        <f t="shared" si="377"/>
        <v>0</v>
      </c>
      <c r="L512" s="5">
        <f t="shared" si="377"/>
        <v>0</v>
      </c>
      <c r="M512" s="5">
        <f t="shared" si="377"/>
        <v>0</v>
      </c>
      <c r="N512" s="5">
        <f t="shared" si="377"/>
        <v>0</v>
      </c>
      <c r="O512" s="5">
        <f t="shared" si="377"/>
        <v>0</v>
      </c>
      <c r="P512" s="5">
        <f t="shared" si="377"/>
        <v>-2</v>
      </c>
      <c r="Q512" s="5">
        <f t="shared" si="377"/>
        <v>-4.8</v>
      </c>
      <c r="R512" s="5">
        <f t="shared" si="377"/>
        <v>-6.9</v>
      </c>
      <c r="AD512" s="24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Z512" s="5"/>
    </row>
    <row r="513" spans="2:52">
      <c r="C513" s="5" t="str">
        <f>C565</f>
        <v>Other Items</v>
      </c>
      <c r="D513" s="5">
        <f t="shared" ref="D513:R513" si="378">D565</f>
        <v>0</v>
      </c>
      <c r="E513" s="5">
        <f t="shared" si="378"/>
        <v>0</v>
      </c>
      <c r="F513" s="5">
        <f t="shared" si="378"/>
        <v>0</v>
      </c>
      <c r="G513" s="5">
        <f t="shared" si="378"/>
        <v>0</v>
      </c>
      <c r="H513" s="5">
        <f t="shared" si="378"/>
        <v>0</v>
      </c>
      <c r="I513" s="5">
        <f t="shared" si="378"/>
        <v>0</v>
      </c>
      <c r="J513" s="5">
        <f t="shared" si="378"/>
        <v>0</v>
      </c>
      <c r="K513" s="5">
        <f t="shared" si="378"/>
        <v>0</v>
      </c>
      <c r="L513" s="5">
        <f t="shared" si="378"/>
        <v>0</v>
      </c>
      <c r="M513" s="5">
        <f t="shared" si="378"/>
        <v>0</v>
      </c>
      <c r="N513" s="5">
        <f t="shared" si="378"/>
        <v>0</v>
      </c>
      <c r="O513" s="5">
        <f t="shared" si="378"/>
        <v>0</v>
      </c>
      <c r="P513" s="5">
        <f t="shared" si="378"/>
        <v>0</v>
      </c>
      <c r="Q513" s="5">
        <f t="shared" si="378"/>
        <v>0</v>
      </c>
      <c r="R513" s="5">
        <f t="shared" si="378"/>
        <v>0</v>
      </c>
    </row>
    <row r="514" spans="2:52" ht="13.15">
      <c r="C514" s="9" t="s">
        <v>3059</v>
      </c>
      <c r="D514" s="124">
        <f t="shared" ref="D514:Q514" si="379">SUM(D505:D513)</f>
        <v>10865</v>
      </c>
      <c r="E514" s="124">
        <f t="shared" si="379"/>
        <v>10782</v>
      </c>
      <c r="F514" s="124">
        <f t="shared" si="379"/>
        <v>12401</v>
      </c>
      <c r="G514" s="124">
        <f t="shared" si="379"/>
        <v>16384</v>
      </c>
      <c r="H514" s="124">
        <f t="shared" si="379"/>
        <v>11165</v>
      </c>
      <c r="I514" s="124">
        <f t="shared" si="379"/>
        <v>15137</v>
      </c>
      <c r="J514" s="124">
        <f t="shared" si="379"/>
        <v>17769</v>
      </c>
      <c r="K514" s="124">
        <f t="shared" si="379"/>
        <v>14472</v>
      </c>
      <c r="L514" s="124">
        <f t="shared" si="379"/>
        <v>16730</v>
      </c>
      <c r="M514" s="124">
        <f t="shared" si="379"/>
        <v>21687</v>
      </c>
      <c r="N514" s="124">
        <f t="shared" si="379"/>
        <v>26561</v>
      </c>
      <c r="O514" s="124">
        <f t="shared" si="379"/>
        <v>8582</v>
      </c>
      <c r="P514" s="124">
        <f t="shared" si="379"/>
        <v>22687.200000000001</v>
      </c>
      <c r="Q514" s="124">
        <f t="shared" si="379"/>
        <v>28698.2</v>
      </c>
      <c r="R514" s="124">
        <f>SUM(R505:R513)</f>
        <v>24540.1</v>
      </c>
      <c r="AD514" s="24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Z514" s="5"/>
    </row>
    <row r="515" spans="2:52">
      <c r="C515" s="5" t="s">
        <v>3061</v>
      </c>
      <c r="D515" s="20">
        <f t="shared" ref="D515:Q515" si="380">D568</f>
        <v>-21</v>
      </c>
      <c r="E515" s="20">
        <f t="shared" si="380"/>
        <v>-354</v>
      </c>
      <c r="F515" s="20">
        <f t="shared" si="380"/>
        <v>-888</v>
      </c>
      <c r="G515" s="20">
        <f t="shared" si="380"/>
        <v>-1172</v>
      </c>
      <c r="H515" s="20">
        <f t="shared" si="380"/>
        <v>-2075</v>
      </c>
      <c r="I515" s="5">
        <f t="shared" si="380"/>
        <v>-529</v>
      </c>
      <c r="J515" s="5">
        <f t="shared" si="380"/>
        <v>-1554</v>
      </c>
      <c r="K515" s="5">
        <f t="shared" si="380"/>
        <v>-3269</v>
      </c>
      <c r="L515" s="5">
        <f t="shared" si="380"/>
        <v>-5056</v>
      </c>
      <c r="M515" s="5">
        <f t="shared" si="380"/>
        <v>-3107</v>
      </c>
      <c r="N515" s="5">
        <f t="shared" si="380"/>
        <v>-4040</v>
      </c>
      <c r="O515" s="5">
        <f t="shared" si="380"/>
        <v>-3238</v>
      </c>
      <c r="P515" s="5">
        <f t="shared" si="380"/>
        <v>-3315</v>
      </c>
      <c r="Q515" s="5">
        <f t="shared" si="380"/>
        <v>-3664</v>
      </c>
      <c r="R515" s="5">
        <f>R568</f>
        <v>-3804</v>
      </c>
      <c r="AD515" s="24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Z515" s="5"/>
    </row>
    <row r="516" spans="2:52" ht="13.15">
      <c r="C516" s="9" t="s">
        <v>3062</v>
      </c>
      <c r="D516" s="124">
        <f t="shared" ref="D516:Q516" si="381">SUM(D514:D515)</f>
        <v>10844</v>
      </c>
      <c r="E516" s="124">
        <f t="shared" si="381"/>
        <v>10428</v>
      </c>
      <c r="F516" s="124">
        <f t="shared" si="381"/>
        <v>11513</v>
      </c>
      <c r="G516" s="124">
        <f t="shared" si="381"/>
        <v>15212</v>
      </c>
      <c r="H516" s="124">
        <f t="shared" si="381"/>
        <v>9090</v>
      </c>
      <c r="I516" s="124">
        <f t="shared" si="381"/>
        <v>14608</v>
      </c>
      <c r="J516" s="124">
        <f t="shared" si="381"/>
        <v>16215</v>
      </c>
      <c r="K516" s="124">
        <f t="shared" si="381"/>
        <v>11203</v>
      </c>
      <c r="L516" s="124">
        <f t="shared" si="381"/>
        <v>11674</v>
      </c>
      <c r="M516" s="124">
        <f t="shared" si="381"/>
        <v>18580</v>
      </c>
      <c r="N516" s="124">
        <f t="shared" si="381"/>
        <v>22521</v>
      </c>
      <c r="O516" s="124">
        <f t="shared" si="381"/>
        <v>5344</v>
      </c>
      <c r="P516" s="124">
        <f t="shared" si="381"/>
        <v>19372.2</v>
      </c>
      <c r="Q516" s="124">
        <f t="shared" si="381"/>
        <v>25034.2</v>
      </c>
      <c r="R516" s="124">
        <f>SUM(R514:R515)</f>
        <v>20736.099999999999</v>
      </c>
      <c r="AD516" s="24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Z516" s="5"/>
    </row>
    <row r="518" spans="2:52">
      <c r="B518" s="5" t="s">
        <v>2665</v>
      </c>
      <c r="C518" s="5" t="str">
        <f>B518</f>
        <v>ARD_TOT_CASH_FLOWS_FROM_OPS</v>
      </c>
      <c r="D518" s="99">
        <v>11457</v>
      </c>
      <c r="E518" s="99">
        <v>10709</v>
      </c>
      <c r="F518" s="99">
        <v>14470</v>
      </c>
      <c r="G518" s="99">
        <v>15662</v>
      </c>
      <c r="H518" s="99">
        <v>10799</v>
      </c>
      <c r="I518" s="99">
        <v>12741</v>
      </c>
      <c r="J518" s="99">
        <v>11455</v>
      </c>
      <c r="K518" s="99">
        <v>8500</v>
      </c>
      <c r="L518" s="99">
        <v>7209</v>
      </c>
      <c r="M518" s="99">
        <v>12595</v>
      </c>
      <c r="N518" s="99">
        <v>10784</v>
      </c>
      <c r="O518" s="99">
        <v>13679</v>
      </c>
      <c r="P518" s="99">
        <v>9430</v>
      </c>
      <c r="Q518" s="99">
        <v>-1185</v>
      </c>
      <c r="R518" s="99">
        <v>7272</v>
      </c>
      <c r="S518" s="20">
        <v>17983</v>
      </c>
      <c r="T518" s="20">
        <v>24901</v>
      </c>
      <c r="U518" s="20">
        <v>38633</v>
      </c>
      <c r="V518" s="20" t="s">
        <v>289</v>
      </c>
      <c r="AD518" s="24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Z518" s="5"/>
    </row>
    <row r="519" spans="2:52" ht="13.15">
      <c r="C519" s="9"/>
      <c r="D519" s="36"/>
      <c r="E519" s="36"/>
      <c r="F519" s="36"/>
      <c r="G519" s="36"/>
      <c r="H519" s="36"/>
      <c r="I519" s="36" t="e">
        <f t="shared" ref="I519:R519" si="382">I516-I577+I572-I518</f>
        <v>#VALUE!</v>
      </c>
      <c r="J519" s="36" t="e">
        <f t="shared" si="382"/>
        <v>#VALUE!</v>
      </c>
      <c r="K519" s="36" t="e">
        <f t="shared" si="382"/>
        <v>#VALUE!</v>
      </c>
      <c r="L519" s="36" t="e">
        <f t="shared" si="382"/>
        <v>#VALUE!</v>
      </c>
      <c r="M519" s="36" t="e">
        <f t="shared" si="382"/>
        <v>#VALUE!</v>
      </c>
      <c r="N519" s="36" t="e">
        <f t="shared" si="382"/>
        <v>#VALUE!</v>
      </c>
      <c r="O519" s="36" t="e">
        <f t="shared" si="382"/>
        <v>#VALUE!</v>
      </c>
      <c r="P519" s="36" t="e">
        <f t="shared" si="382"/>
        <v>#VALUE!</v>
      </c>
      <c r="Q519" s="36" t="e">
        <f t="shared" si="382"/>
        <v>#VALUE!</v>
      </c>
      <c r="R519" s="36" t="e">
        <f t="shared" si="382"/>
        <v>#VALUE!</v>
      </c>
      <c r="AD519" s="24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Z519" s="5"/>
    </row>
    <row r="520" spans="2:52" ht="13.15">
      <c r="C520" s="9"/>
      <c r="AD520" s="24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Z520" s="5"/>
    </row>
    <row r="521" spans="2:52" ht="13.15">
      <c r="C521" s="9"/>
      <c r="AD521" s="24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Z521" s="5"/>
    </row>
    <row r="522" spans="2:52">
      <c r="B522" s="5" t="s">
        <v>2666</v>
      </c>
      <c r="C522" s="44" t="str">
        <f>B522</f>
        <v>ARDR_CHG_IN_ACCOUNTS_RECEIVABLE</v>
      </c>
      <c r="D522" s="99" t="s">
        <v>289</v>
      </c>
      <c r="E522" s="99" t="s">
        <v>289</v>
      </c>
      <c r="F522" s="99" t="s">
        <v>289</v>
      </c>
      <c r="G522" s="99" t="s">
        <v>289</v>
      </c>
      <c r="H522" s="99" t="s">
        <v>289</v>
      </c>
      <c r="I522" s="99" t="s">
        <v>289</v>
      </c>
      <c r="J522" s="99" t="s">
        <v>289</v>
      </c>
      <c r="K522" s="99" t="s">
        <v>289</v>
      </c>
      <c r="L522" s="99" t="s">
        <v>289</v>
      </c>
      <c r="M522" s="99" t="s">
        <v>289</v>
      </c>
      <c r="N522" s="99" t="s">
        <v>289</v>
      </c>
      <c r="O522" s="99" t="s">
        <v>289</v>
      </c>
      <c r="P522" s="99" t="s">
        <v>289</v>
      </c>
      <c r="Q522" s="99" t="s">
        <v>289</v>
      </c>
      <c r="R522" s="99" t="s">
        <v>289</v>
      </c>
      <c r="S522" s="20" t="s">
        <v>289</v>
      </c>
      <c r="T522" s="20" t="s">
        <v>289</v>
      </c>
      <c r="U522" s="20" t="s">
        <v>289</v>
      </c>
      <c r="V522" s="20" t="s">
        <v>289</v>
      </c>
      <c r="AD522" s="24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Z522" s="5"/>
    </row>
    <row r="523" spans="2:52">
      <c r="B523" s="5" t="s">
        <v>2672</v>
      </c>
      <c r="C523" s="44" t="str">
        <f>B523</f>
        <v>ARD_CHG_IN_ACCOUNTS_RECEIVABLE</v>
      </c>
      <c r="D523" s="99" t="s">
        <v>289</v>
      </c>
      <c r="E523" s="99" t="s">
        <v>289</v>
      </c>
      <c r="F523" s="99" t="s">
        <v>289</v>
      </c>
      <c r="G523" s="99" t="s">
        <v>289</v>
      </c>
      <c r="H523" s="99">
        <v>-1333</v>
      </c>
      <c r="I523" s="99" t="s">
        <v>289</v>
      </c>
      <c r="J523" s="99">
        <v>-1980</v>
      </c>
      <c r="K523" s="99">
        <v>-2241</v>
      </c>
      <c r="L523" s="99">
        <v>-56</v>
      </c>
      <c r="M523" s="99">
        <v>-1651</v>
      </c>
      <c r="N523" s="99">
        <v>-1433</v>
      </c>
      <c r="O523" s="99">
        <v>-1807</v>
      </c>
      <c r="P523" s="99">
        <v>-2155</v>
      </c>
      <c r="Q523" s="99">
        <v>-1660</v>
      </c>
      <c r="R523" s="99">
        <v>-6400</v>
      </c>
      <c r="S523" s="20">
        <v>-893</v>
      </c>
      <c r="T523" s="20">
        <v>712</v>
      </c>
      <c r="U523" s="20">
        <v>1888</v>
      </c>
      <c r="V523" s="20" t="s">
        <v>289</v>
      </c>
      <c r="AD523" s="24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Z523" s="5"/>
    </row>
    <row r="524" spans="2:52" ht="13.15">
      <c r="C524" s="121"/>
      <c r="AD524" s="24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Z524" s="5"/>
    </row>
    <row r="525" spans="2:52">
      <c r="B525" s="5" t="s">
        <v>2681</v>
      </c>
      <c r="C525" s="44" t="str">
        <f>B525</f>
        <v>CF_ACCT_RCV_UNBILLED_REV</v>
      </c>
      <c r="D525" s="99" t="s">
        <v>289</v>
      </c>
      <c r="E525" s="99" t="s">
        <v>289</v>
      </c>
      <c r="F525" s="99" t="s">
        <v>289</v>
      </c>
      <c r="G525" s="99" t="s">
        <v>289</v>
      </c>
      <c r="H525" s="99">
        <v>-1333</v>
      </c>
      <c r="I525" s="99" t="s">
        <v>289</v>
      </c>
      <c r="J525" s="99">
        <v>-1980</v>
      </c>
      <c r="K525" s="99">
        <v>-2241</v>
      </c>
      <c r="L525" s="99">
        <v>-56</v>
      </c>
      <c r="M525" s="99">
        <v>-1651</v>
      </c>
      <c r="N525" s="99">
        <v>-1433</v>
      </c>
      <c r="O525" s="99">
        <v>-1807</v>
      </c>
      <c r="P525" s="99">
        <v>-2155</v>
      </c>
      <c r="Q525" s="99">
        <v>-1660</v>
      </c>
      <c r="R525" s="99">
        <v>-6400</v>
      </c>
      <c r="S525" s="20">
        <v>-893</v>
      </c>
      <c r="T525" s="20">
        <v>712</v>
      </c>
      <c r="U525" s="20">
        <v>1888</v>
      </c>
      <c r="V525" s="20" t="s">
        <v>289</v>
      </c>
      <c r="AD525" s="24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Z525" s="5"/>
    </row>
    <row r="526" spans="2:52" ht="13.15">
      <c r="C526" s="9" t="s">
        <v>2987</v>
      </c>
      <c r="D526" s="122">
        <f t="shared" ref="D526:R526" si="383">SUM(D522:D524)</f>
        <v>0</v>
      </c>
      <c r="E526" s="122">
        <f t="shared" si="383"/>
        <v>0</v>
      </c>
      <c r="F526" s="122">
        <f t="shared" si="383"/>
        <v>0</v>
      </c>
      <c r="G526" s="122">
        <f t="shared" si="383"/>
        <v>0</v>
      </c>
      <c r="H526" s="122">
        <f t="shared" si="383"/>
        <v>-1333</v>
      </c>
      <c r="I526" s="122">
        <f t="shared" si="383"/>
        <v>0</v>
      </c>
      <c r="J526" s="122">
        <f t="shared" si="383"/>
        <v>-1980</v>
      </c>
      <c r="K526" s="122">
        <f t="shared" si="383"/>
        <v>-2241</v>
      </c>
      <c r="L526" s="122">
        <f t="shared" si="383"/>
        <v>-56</v>
      </c>
      <c r="M526" s="122">
        <f t="shared" si="383"/>
        <v>-1651</v>
      </c>
      <c r="N526" s="122">
        <f t="shared" si="383"/>
        <v>-1433</v>
      </c>
      <c r="O526" s="122">
        <f t="shared" si="383"/>
        <v>-1807</v>
      </c>
      <c r="P526" s="122">
        <f t="shared" si="383"/>
        <v>-2155</v>
      </c>
      <c r="Q526" s="122">
        <f t="shared" si="383"/>
        <v>-1660</v>
      </c>
      <c r="R526" s="122">
        <f t="shared" si="383"/>
        <v>-6400</v>
      </c>
      <c r="AD526" s="24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Z526" s="5"/>
    </row>
    <row r="528" spans="2:52">
      <c r="B528" s="5" t="s">
        <v>2667</v>
      </c>
      <c r="C528" s="44" t="str">
        <f>B528</f>
        <v>ARD_CHANGE_IN_ACCOUNTS_PAYABLE</v>
      </c>
      <c r="D528" s="99" t="s">
        <v>289</v>
      </c>
      <c r="E528" s="99" t="s">
        <v>289</v>
      </c>
      <c r="F528" s="99" t="s">
        <v>289</v>
      </c>
      <c r="G528" s="99" t="s">
        <v>289</v>
      </c>
      <c r="H528" s="99" t="s">
        <v>289</v>
      </c>
      <c r="I528" s="99" t="s">
        <v>289</v>
      </c>
      <c r="J528" s="99" t="s">
        <v>289</v>
      </c>
      <c r="K528" s="99" t="s">
        <v>289</v>
      </c>
      <c r="L528" s="99" t="s">
        <v>289</v>
      </c>
      <c r="M528" s="99" t="s">
        <v>289</v>
      </c>
      <c r="N528" s="99" t="s">
        <v>289</v>
      </c>
      <c r="O528" s="99" t="s">
        <v>289</v>
      </c>
      <c r="P528" s="99" t="s">
        <v>289</v>
      </c>
      <c r="Q528" s="99" t="s">
        <v>289</v>
      </c>
      <c r="R528" s="99" t="s">
        <v>289</v>
      </c>
      <c r="S528" s="20" t="s">
        <v>289</v>
      </c>
      <c r="T528" s="20" t="s">
        <v>289</v>
      </c>
      <c r="U528" s="20" t="s">
        <v>289</v>
      </c>
      <c r="V528" s="20" t="s">
        <v>289</v>
      </c>
      <c r="AD528" s="24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Z528" s="5"/>
    </row>
    <row r="529" spans="2:52">
      <c r="C529" s="44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AD529" s="24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Z529" s="5"/>
    </row>
    <row r="530" spans="2:52" ht="14.25">
      <c r="B530" t="s">
        <v>2985</v>
      </c>
      <c r="C530" s="44" t="str">
        <f>B530</f>
        <v>CF_CHANGE_IN_ACCOUNTS_PAYABLE</v>
      </c>
      <c r="D530" s="99" t="s">
        <v>289</v>
      </c>
      <c r="E530" s="99" t="s">
        <v>289</v>
      </c>
      <c r="F530" s="99" t="s">
        <v>289</v>
      </c>
      <c r="G530" s="99" t="s">
        <v>289</v>
      </c>
      <c r="H530" s="99" t="s">
        <v>289</v>
      </c>
      <c r="I530" s="99" t="s">
        <v>289</v>
      </c>
      <c r="J530" s="99" t="s">
        <v>289</v>
      </c>
      <c r="K530" s="99" t="s">
        <v>289</v>
      </c>
      <c r="L530" s="99" t="s">
        <v>289</v>
      </c>
      <c r="M530" s="99" t="s">
        <v>289</v>
      </c>
      <c r="N530" s="99" t="s">
        <v>289</v>
      </c>
      <c r="O530" s="99" t="s">
        <v>289</v>
      </c>
      <c r="P530" s="99" t="s">
        <v>289</v>
      </c>
      <c r="Q530" s="99">
        <v>0</v>
      </c>
      <c r="R530" s="99">
        <v>0</v>
      </c>
      <c r="S530" s="20" t="s">
        <v>289</v>
      </c>
      <c r="T530" s="20" t="s">
        <v>289</v>
      </c>
      <c r="U530" s="20" t="s">
        <v>289</v>
      </c>
      <c r="V530" s="20" t="s">
        <v>289</v>
      </c>
    </row>
    <row r="531" spans="2:52" ht="13.15">
      <c r="C531" s="9" t="s">
        <v>3021</v>
      </c>
      <c r="D531" s="122">
        <f>SUM(D528:D530)</f>
        <v>0</v>
      </c>
      <c r="E531" s="122">
        <f>SUM(E528:E530)</f>
        <v>0</v>
      </c>
      <c r="F531" s="122">
        <f t="shared" ref="F531:R531" si="384">SUM(F528:F530)</f>
        <v>0</v>
      </c>
      <c r="G531" s="122">
        <f t="shared" si="384"/>
        <v>0</v>
      </c>
      <c r="H531" s="122">
        <f t="shared" si="384"/>
        <v>0</v>
      </c>
      <c r="I531" s="122">
        <f t="shared" si="384"/>
        <v>0</v>
      </c>
      <c r="J531" s="122">
        <f t="shared" si="384"/>
        <v>0</v>
      </c>
      <c r="K531" s="122">
        <f t="shared" si="384"/>
        <v>0</v>
      </c>
      <c r="L531" s="122">
        <f t="shared" si="384"/>
        <v>0</v>
      </c>
      <c r="M531" s="122">
        <f t="shared" si="384"/>
        <v>0</v>
      </c>
      <c r="N531" s="122">
        <f t="shared" si="384"/>
        <v>0</v>
      </c>
      <c r="O531" s="122">
        <f t="shared" si="384"/>
        <v>0</v>
      </c>
      <c r="P531" s="122">
        <f t="shared" si="384"/>
        <v>0</v>
      </c>
      <c r="Q531" s="122">
        <f t="shared" si="384"/>
        <v>0</v>
      </c>
      <c r="R531" s="122">
        <f t="shared" si="384"/>
        <v>0</v>
      </c>
    </row>
    <row r="533" spans="2:52">
      <c r="B533" s="5" t="s">
        <v>2676</v>
      </c>
      <c r="C533" s="44" t="str">
        <f>B533</f>
        <v>ARDR_CHANGE_IN_INVENTORIES</v>
      </c>
      <c r="D533" s="99" t="s">
        <v>289</v>
      </c>
      <c r="E533" s="99" t="s">
        <v>289</v>
      </c>
      <c r="F533" s="99" t="s">
        <v>289</v>
      </c>
      <c r="G533" s="99" t="s">
        <v>289</v>
      </c>
      <c r="H533" s="99" t="s">
        <v>289</v>
      </c>
      <c r="I533" s="99" t="s">
        <v>289</v>
      </c>
      <c r="J533" s="99" t="s">
        <v>289</v>
      </c>
      <c r="K533" s="99" t="s">
        <v>289</v>
      </c>
      <c r="L533" s="99" t="s">
        <v>289</v>
      </c>
      <c r="M533" s="99" t="s">
        <v>289</v>
      </c>
      <c r="N533" s="99" t="s">
        <v>289</v>
      </c>
      <c r="O533" s="99" t="s">
        <v>289</v>
      </c>
      <c r="P533" s="99" t="s">
        <v>289</v>
      </c>
      <c r="Q533" s="99" t="s">
        <v>289</v>
      </c>
      <c r="R533" s="99" t="s">
        <v>289</v>
      </c>
      <c r="S533" s="20" t="s">
        <v>289</v>
      </c>
      <c r="T533" s="20" t="s">
        <v>289</v>
      </c>
      <c r="U533" s="20" t="s">
        <v>289</v>
      </c>
      <c r="V533" s="20" t="s">
        <v>289</v>
      </c>
      <c r="AD533" s="24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Z533" s="5"/>
    </row>
    <row r="534" spans="2:52">
      <c r="B534" s="5" t="s">
        <v>2668</v>
      </c>
      <c r="C534" s="44" t="str">
        <f>B534</f>
        <v>ARD_CHANGE_IN_INVENTORIES</v>
      </c>
      <c r="D534" s="99">
        <v>178</v>
      </c>
      <c r="E534" s="99">
        <v>-720</v>
      </c>
      <c r="F534" s="99">
        <v>-147</v>
      </c>
      <c r="G534" s="99">
        <v>-1856</v>
      </c>
      <c r="H534" s="99">
        <v>-3056</v>
      </c>
      <c r="I534" s="99">
        <v>4155</v>
      </c>
      <c r="J534" s="99">
        <v>-2507</v>
      </c>
      <c r="K534" s="99">
        <v>-4234</v>
      </c>
      <c r="L534" s="99">
        <v>460</v>
      </c>
      <c r="M534" s="99">
        <v>-1021</v>
      </c>
      <c r="N534" s="99">
        <v>-2214</v>
      </c>
      <c r="O534" s="99">
        <v>-3149</v>
      </c>
      <c r="P534" s="99">
        <v>-3637</v>
      </c>
      <c r="Q534" s="99">
        <v>-4198</v>
      </c>
      <c r="R534" s="99">
        <v>-5372</v>
      </c>
      <c r="S534" s="20">
        <v>-674</v>
      </c>
      <c r="T534" s="20">
        <v>1334</v>
      </c>
      <c r="U534" s="20">
        <v>2110</v>
      </c>
      <c r="V534" s="20" t="s">
        <v>289</v>
      </c>
      <c r="AD534" s="24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Z534" s="5"/>
    </row>
    <row r="535" spans="2:52" ht="13.15">
      <c r="C535" s="121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AD535" s="24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Z535" s="5"/>
    </row>
    <row r="536" spans="2:52">
      <c r="B536" s="5" t="s">
        <v>2682</v>
      </c>
      <c r="C536" s="44" t="str">
        <f>B536</f>
        <v>CF_CHANGE_IN_INVENTORIES</v>
      </c>
      <c r="D536" s="99">
        <v>178</v>
      </c>
      <c r="E536" s="99">
        <v>-720</v>
      </c>
      <c r="F536" s="99">
        <v>-147</v>
      </c>
      <c r="G536" s="99">
        <v>-1856</v>
      </c>
      <c r="H536" s="99">
        <v>-3056</v>
      </c>
      <c r="I536" s="99">
        <v>4155</v>
      </c>
      <c r="J536" s="99">
        <v>-2507</v>
      </c>
      <c r="K536" s="99">
        <v>-4234</v>
      </c>
      <c r="L536" s="99">
        <v>460</v>
      </c>
      <c r="M536" s="99">
        <v>-1021</v>
      </c>
      <c r="N536" s="99">
        <v>-2214</v>
      </c>
      <c r="O536" s="99">
        <v>-3149</v>
      </c>
      <c r="P536" s="99">
        <v>-3637</v>
      </c>
      <c r="Q536" s="99">
        <v>-4198</v>
      </c>
      <c r="R536" s="99">
        <v>-5372</v>
      </c>
      <c r="S536" s="20">
        <v>-674</v>
      </c>
      <c r="T536" s="20">
        <v>1334</v>
      </c>
      <c r="U536" s="20">
        <v>2110</v>
      </c>
      <c r="V536" s="20" t="s">
        <v>289</v>
      </c>
      <c r="AD536" s="24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Z536" s="5"/>
    </row>
    <row r="537" spans="2:52" ht="13.15">
      <c r="C537" s="9" t="s">
        <v>2988</v>
      </c>
      <c r="D537" s="122">
        <f t="shared" ref="D537:R537" si="385">SUM(D533:D535)</f>
        <v>178</v>
      </c>
      <c r="E537" s="122">
        <f t="shared" si="385"/>
        <v>-720</v>
      </c>
      <c r="F537" s="122">
        <f t="shared" si="385"/>
        <v>-147</v>
      </c>
      <c r="G537" s="122">
        <f t="shared" si="385"/>
        <v>-1856</v>
      </c>
      <c r="H537" s="122">
        <f t="shared" si="385"/>
        <v>-3056</v>
      </c>
      <c r="I537" s="122">
        <f t="shared" si="385"/>
        <v>4155</v>
      </c>
      <c r="J537" s="122">
        <f t="shared" si="385"/>
        <v>-2507</v>
      </c>
      <c r="K537" s="122">
        <f t="shared" si="385"/>
        <v>-4234</v>
      </c>
      <c r="L537" s="122">
        <f t="shared" si="385"/>
        <v>460</v>
      </c>
      <c r="M537" s="122">
        <f t="shared" si="385"/>
        <v>-1021</v>
      </c>
      <c r="N537" s="122">
        <f t="shared" si="385"/>
        <v>-2214</v>
      </c>
      <c r="O537" s="122">
        <f t="shared" si="385"/>
        <v>-3149</v>
      </c>
      <c r="P537" s="122">
        <f t="shared" si="385"/>
        <v>-3637</v>
      </c>
      <c r="Q537" s="122">
        <f t="shared" si="385"/>
        <v>-4198</v>
      </c>
      <c r="R537" s="122">
        <f t="shared" si="385"/>
        <v>-5372</v>
      </c>
    </row>
    <row r="539" spans="2:52">
      <c r="B539" s="5" t="s">
        <v>2673</v>
      </c>
      <c r="C539" s="44" t="str">
        <f>B539</f>
        <v>ARD_CHG_IN_OTHER_CURRENT_LIAB</v>
      </c>
      <c r="D539" s="99">
        <v>687</v>
      </c>
      <c r="E539" s="99">
        <v>429</v>
      </c>
      <c r="F539" s="99">
        <v>700</v>
      </c>
      <c r="G539" s="99">
        <v>2244</v>
      </c>
      <c r="H539" s="99">
        <v>815</v>
      </c>
      <c r="I539" s="99">
        <v>260</v>
      </c>
      <c r="J539" s="99">
        <v>4064</v>
      </c>
      <c r="K539" s="99">
        <v>3077</v>
      </c>
      <c r="L539" s="99">
        <v>-236</v>
      </c>
      <c r="M539" s="99">
        <v>2363</v>
      </c>
      <c r="N539" s="99">
        <v>4764</v>
      </c>
      <c r="O539" s="99">
        <v>2807</v>
      </c>
      <c r="P539" s="99">
        <v>5048</v>
      </c>
      <c r="Q539" s="99">
        <v>5302</v>
      </c>
      <c r="R539" s="99">
        <v>3645</v>
      </c>
      <c r="S539" s="20">
        <v>2297</v>
      </c>
      <c r="T539" s="20">
        <v>540</v>
      </c>
      <c r="U539" s="20">
        <v>1856</v>
      </c>
      <c r="V539" s="20" t="s">
        <v>289</v>
      </c>
      <c r="AD539" s="24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Z539" s="5"/>
    </row>
    <row r="540" spans="2:52">
      <c r="B540" s="5" t="s">
        <v>2675</v>
      </c>
      <c r="C540" s="44" t="str">
        <f>B540</f>
        <v>ARD_INCR_DECR_IN_TRADE_OTHER_REC</v>
      </c>
      <c r="D540" s="99" t="s">
        <v>289</v>
      </c>
      <c r="E540" s="99" t="s">
        <v>289</v>
      </c>
      <c r="F540" s="99" t="s">
        <v>289</v>
      </c>
      <c r="G540" s="99" t="s">
        <v>289</v>
      </c>
      <c r="H540" s="99" t="s">
        <v>289</v>
      </c>
      <c r="I540" s="99" t="s">
        <v>289</v>
      </c>
      <c r="J540" s="99" t="s">
        <v>289</v>
      </c>
      <c r="K540" s="99" t="s">
        <v>289</v>
      </c>
      <c r="L540" s="99" t="s">
        <v>289</v>
      </c>
      <c r="M540" s="99" t="s">
        <v>289</v>
      </c>
      <c r="N540" s="99" t="s">
        <v>289</v>
      </c>
      <c r="O540" s="99" t="s">
        <v>289</v>
      </c>
      <c r="P540" s="99" t="s">
        <v>289</v>
      </c>
      <c r="Q540" s="99" t="s">
        <v>289</v>
      </c>
      <c r="R540" s="99" t="s">
        <v>289</v>
      </c>
      <c r="S540" s="20" t="s">
        <v>289</v>
      </c>
      <c r="T540" s="20" t="s">
        <v>289</v>
      </c>
      <c r="U540" s="20" t="s">
        <v>289</v>
      </c>
      <c r="V540" s="20" t="s">
        <v>289</v>
      </c>
      <c r="AD540" s="24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Z540" s="5"/>
    </row>
    <row r="541" spans="2:52" ht="13.15">
      <c r="C541" s="121"/>
    </row>
    <row r="542" spans="2:52">
      <c r="B542" s="5" t="s">
        <v>2683</v>
      </c>
      <c r="C542" s="44" t="str">
        <f>B542</f>
        <v>CF_INC_DEC_IN_OT_OP_AST_LIAB</v>
      </c>
      <c r="D542" s="99" t="s">
        <v>289</v>
      </c>
      <c r="E542" s="99" t="s">
        <v>289</v>
      </c>
      <c r="F542" s="99" t="s">
        <v>289</v>
      </c>
      <c r="G542" s="99" t="s">
        <v>289</v>
      </c>
      <c r="H542" s="99" t="s">
        <v>289</v>
      </c>
      <c r="I542" s="99">
        <v>6</v>
      </c>
      <c r="J542" s="99">
        <v>962</v>
      </c>
      <c r="K542" s="99">
        <v>-3734</v>
      </c>
      <c r="L542" s="99">
        <v>-8050</v>
      </c>
      <c r="M542" s="99">
        <v>-4325</v>
      </c>
      <c r="N542" s="99">
        <v>-4044</v>
      </c>
      <c r="O542" s="99">
        <v>-4856</v>
      </c>
      <c r="P542" s="99">
        <v>-4442</v>
      </c>
      <c r="Q542" s="99">
        <v>-6589</v>
      </c>
      <c r="R542" s="99">
        <v>-3637</v>
      </c>
      <c r="S542" s="20">
        <v>-20057</v>
      </c>
      <c r="T542" s="20">
        <v>-11311</v>
      </c>
      <c r="U542" s="20">
        <v>-8061</v>
      </c>
      <c r="V542" s="20" t="s">
        <v>289</v>
      </c>
      <c r="AD542" s="24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Z542" s="5"/>
    </row>
    <row r="543" spans="2:52" ht="13.15">
      <c r="C543" s="9" t="s">
        <v>2989</v>
      </c>
      <c r="D543" s="122">
        <f t="shared" ref="D543:R543" si="386">SUM(D539:D542)</f>
        <v>687</v>
      </c>
      <c r="E543" s="122">
        <f t="shared" si="386"/>
        <v>429</v>
      </c>
      <c r="F543" s="122">
        <f t="shared" si="386"/>
        <v>700</v>
      </c>
      <c r="G543" s="122">
        <f t="shared" si="386"/>
        <v>2244</v>
      </c>
      <c r="H543" s="122">
        <f t="shared" si="386"/>
        <v>815</v>
      </c>
      <c r="I543" s="122">
        <f t="shared" si="386"/>
        <v>266</v>
      </c>
      <c r="J543" s="122">
        <f t="shared" si="386"/>
        <v>5026</v>
      </c>
      <c r="K543" s="122">
        <f t="shared" si="386"/>
        <v>-657</v>
      </c>
      <c r="L543" s="122">
        <f t="shared" si="386"/>
        <v>-8286</v>
      </c>
      <c r="M543" s="122">
        <f t="shared" si="386"/>
        <v>-1962</v>
      </c>
      <c r="N543" s="122">
        <f t="shared" si="386"/>
        <v>720</v>
      </c>
      <c r="O543" s="122">
        <f t="shared" si="386"/>
        <v>-2049</v>
      </c>
      <c r="P543" s="122">
        <f t="shared" si="386"/>
        <v>606</v>
      </c>
      <c r="Q543" s="122">
        <f t="shared" si="386"/>
        <v>-1287</v>
      </c>
      <c r="R543" s="122">
        <f t="shared" si="386"/>
        <v>8</v>
      </c>
    </row>
    <row r="544" spans="2:52" ht="13.15">
      <c r="C544" s="9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</row>
    <row r="545" spans="2:52">
      <c r="B545" s="5" t="s">
        <v>3022</v>
      </c>
      <c r="C545" s="44" t="str">
        <f>B545</f>
        <v>ARD_NET_CHG_IN_WORKING_CAPITAL</v>
      </c>
      <c r="D545" s="99" t="s">
        <v>289</v>
      </c>
      <c r="E545" s="99" t="s">
        <v>289</v>
      </c>
      <c r="F545" s="99" t="s">
        <v>289</v>
      </c>
      <c r="G545" s="99" t="s">
        <v>289</v>
      </c>
      <c r="H545" s="99" t="s">
        <v>289</v>
      </c>
      <c r="I545" s="99" t="s">
        <v>289</v>
      </c>
      <c r="J545" s="99" t="s">
        <v>289</v>
      </c>
      <c r="K545" s="99" t="s">
        <v>289</v>
      </c>
      <c r="L545" s="99" t="s">
        <v>289</v>
      </c>
      <c r="M545" s="99" t="s">
        <v>289</v>
      </c>
      <c r="N545" s="99" t="s">
        <v>289</v>
      </c>
      <c r="O545" s="99" t="s">
        <v>289</v>
      </c>
      <c r="P545" s="99" t="s">
        <v>289</v>
      </c>
      <c r="Q545" s="99" t="s">
        <v>289</v>
      </c>
      <c r="R545" s="99" t="s">
        <v>289</v>
      </c>
      <c r="S545" s="20" t="s">
        <v>289</v>
      </c>
      <c r="T545" s="20" t="s">
        <v>289</v>
      </c>
      <c r="U545" s="20" t="s">
        <v>289</v>
      </c>
      <c r="V545" s="20" t="s">
        <v>289</v>
      </c>
    </row>
    <row r="546" spans="2:52">
      <c r="C546" s="44"/>
    </row>
    <row r="547" spans="2:52">
      <c r="B547" s="5" t="s">
        <v>3114</v>
      </c>
      <c r="C547" s="44" t="s">
        <v>2494</v>
      </c>
      <c r="D547" s="99" t="s">
        <v>289</v>
      </c>
      <c r="E547" s="99" t="s">
        <v>289</v>
      </c>
      <c r="F547" s="99" t="s">
        <v>289</v>
      </c>
      <c r="G547" s="99" t="s">
        <v>289</v>
      </c>
      <c r="H547" s="99" t="s">
        <v>289</v>
      </c>
      <c r="I547" s="99" t="s">
        <v>289</v>
      </c>
      <c r="J547" s="99" t="s">
        <v>289</v>
      </c>
      <c r="K547" s="99" t="s">
        <v>289</v>
      </c>
      <c r="L547" s="99" t="s">
        <v>289</v>
      </c>
      <c r="M547" s="99" t="s">
        <v>289</v>
      </c>
      <c r="N547" s="99" t="s">
        <v>289</v>
      </c>
      <c r="O547" s="99" t="s">
        <v>289</v>
      </c>
      <c r="P547" s="99">
        <v>-20.8</v>
      </c>
      <c r="Q547" s="99" t="s">
        <v>289</v>
      </c>
      <c r="R547" s="99" t="s">
        <v>289</v>
      </c>
    </row>
    <row r="548" spans="2:52">
      <c r="B548" s="5" t="s">
        <v>2494</v>
      </c>
      <c r="C548" s="44" t="str">
        <f>B548</f>
        <v>ARDR_CHANGE_OTHER_PROVISIONS</v>
      </c>
      <c r="D548" s="99" t="s">
        <v>289</v>
      </c>
      <c r="E548" s="99" t="s">
        <v>289</v>
      </c>
      <c r="F548" s="99" t="s">
        <v>289</v>
      </c>
      <c r="G548" s="99" t="s">
        <v>289</v>
      </c>
      <c r="H548" s="99" t="s">
        <v>289</v>
      </c>
      <c r="I548" s="99" t="s">
        <v>289</v>
      </c>
      <c r="J548" s="99" t="s">
        <v>289</v>
      </c>
      <c r="K548" s="99" t="s">
        <v>289</v>
      </c>
      <c r="L548" s="99" t="s">
        <v>289</v>
      </c>
      <c r="M548" s="99" t="s">
        <v>289</v>
      </c>
      <c r="N548" s="99" t="s">
        <v>289</v>
      </c>
      <c r="O548" s="99" t="s">
        <v>289</v>
      </c>
      <c r="P548" s="99" t="s">
        <v>289</v>
      </c>
      <c r="Q548" s="99" t="s">
        <v>289</v>
      </c>
      <c r="R548" s="99" t="s">
        <v>289</v>
      </c>
      <c r="S548" s="20" t="s">
        <v>289</v>
      </c>
      <c r="T548" s="20" t="s">
        <v>289</v>
      </c>
      <c r="U548" s="20" t="s">
        <v>289</v>
      </c>
      <c r="V548" s="20" t="s">
        <v>289</v>
      </c>
      <c r="AD548" s="24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Z548" s="5"/>
    </row>
    <row r="549" spans="2:52" ht="13.15">
      <c r="C549" s="9" t="s">
        <v>3026</v>
      </c>
      <c r="D549" s="122">
        <f>SUM(D547:D548)</f>
        <v>0</v>
      </c>
      <c r="E549" s="122">
        <f>SUM(E547:E548)</f>
        <v>0</v>
      </c>
      <c r="F549" s="122">
        <f>SUM(F547:F548)</f>
        <v>0</v>
      </c>
      <c r="G549" s="122">
        <f t="shared" ref="G549:R549" si="387">SUM(G547:G548)</f>
        <v>0</v>
      </c>
      <c r="H549" s="122">
        <f t="shared" si="387"/>
        <v>0</v>
      </c>
      <c r="I549" s="122">
        <f t="shared" si="387"/>
        <v>0</v>
      </c>
      <c r="J549" s="122">
        <f t="shared" si="387"/>
        <v>0</v>
      </c>
      <c r="K549" s="122">
        <f t="shared" si="387"/>
        <v>0</v>
      </c>
      <c r="L549" s="122">
        <f t="shared" si="387"/>
        <v>0</v>
      </c>
      <c r="M549" s="122">
        <f t="shared" si="387"/>
        <v>0</v>
      </c>
      <c r="N549" s="122">
        <f t="shared" si="387"/>
        <v>0</v>
      </c>
      <c r="O549" s="122">
        <f t="shared" si="387"/>
        <v>0</v>
      </c>
      <c r="P549" s="122">
        <f t="shared" si="387"/>
        <v>-20.8</v>
      </c>
      <c r="Q549" s="122">
        <f t="shared" si="387"/>
        <v>0</v>
      </c>
      <c r="R549" s="122">
        <f t="shared" si="387"/>
        <v>0</v>
      </c>
    </row>
    <row r="552" spans="2:52">
      <c r="B552" s="5" t="s">
        <v>3023</v>
      </c>
      <c r="C552" s="44" t="str">
        <f>B552</f>
        <v>ARD_STOCK_BASED_COMPENSATION</v>
      </c>
      <c r="D552" s="99" t="s">
        <v>289</v>
      </c>
      <c r="E552" s="99" t="s">
        <v>289</v>
      </c>
      <c r="F552" s="99" t="s">
        <v>289</v>
      </c>
      <c r="G552" s="99" t="s">
        <v>289</v>
      </c>
      <c r="H552" s="99" t="s">
        <v>289</v>
      </c>
      <c r="I552" s="99" t="s">
        <v>289</v>
      </c>
      <c r="J552" s="99" t="s">
        <v>289</v>
      </c>
      <c r="K552" s="99" t="s">
        <v>289</v>
      </c>
      <c r="L552" s="99" t="s">
        <v>289</v>
      </c>
      <c r="M552" s="99" t="s">
        <v>289</v>
      </c>
      <c r="N552" s="99" t="s">
        <v>289</v>
      </c>
      <c r="O552" s="99" t="s">
        <v>289</v>
      </c>
      <c r="P552" s="99" t="s">
        <v>289</v>
      </c>
      <c r="Q552" s="99" t="s">
        <v>289</v>
      </c>
      <c r="R552" s="99" t="s">
        <v>289</v>
      </c>
      <c r="S552" s="20" t="s">
        <v>289</v>
      </c>
      <c r="T552" s="20" t="s">
        <v>289</v>
      </c>
      <c r="U552" s="20" t="s">
        <v>289</v>
      </c>
      <c r="V552" s="20" t="s">
        <v>289</v>
      </c>
      <c r="AD552" s="24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Z552" s="5"/>
    </row>
    <row r="553" spans="2:52">
      <c r="B553" s="5" t="s">
        <v>2492</v>
      </c>
      <c r="C553" s="44" t="str">
        <f>B553</f>
        <v>ARDR_STOCK_BASED_COMPENSATION</v>
      </c>
      <c r="D553" s="99" t="s">
        <v>289</v>
      </c>
      <c r="E553" s="99" t="s">
        <v>289</v>
      </c>
      <c r="F553" s="99" t="s">
        <v>289</v>
      </c>
      <c r="G553" s="99" t="s">
        <v>289</v>
      </c>
      <c r="H553" s="99" t="s">
        <v>289</v>
      </c>
      <c r="I553" s="99" t="s">
        <v>289</v>
      </c>
      <c r="J553" s="99" t="s">
        <v>289</v>
      </c>
      <c r="K553" s="99" t="s">
        <v>289</v>
      </c>
      <c r="L553" s="99" t="s">
        <v>289</v>
      </c>
      <c r="M553" s="99" t="s">
        <v>289</v>
      </c>
      <c r="N553" s="99" t="s">
        <v>289</v>
      </c>
      <c r="O553" s="99" t="s">
        <v>289</v>
      </c>
      <c r="P553" s="99" t="s">
        <v>289</v>
      </c>
      <c r="Q553" s="99" t="s">
        <v>289</v>
      </c>
      <c r="R553" s="99" t="s">
        <v>289</v>
      </c>
      <c r="S553" s="20" t="s">
        <v>289</v>
      </c>
      <c r="T553" s="20" t="s">
        <v>289</v>
      </c>
      <c r="U553" s="20" t="s">
        <v>289</v>
      </c>
      <c r="V553" s="20" t="s">
        <v>289</v>
      </c>
      <c r="AD553" s="24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Z553" s="5"/>
    </row>
    <row r="554" spans="2:52" ht="13.15">
      <c r="C554" s="9" t="s">
        <v>3025</v>
      </c>
      <c r="D554" s="122">
        <f t="shared" ref="D554:Q554" si="388">SUM(D552:D553)</f>
        <v>0</v>
      </c>
      <c r="E554" s="122">
        <f t="shared" si="388"/>
        <v>0</v>
      </c>
      <c r="F554" s="122">
        <f t="shared" si="388"/>
        <v>0</v>
      </c>
      <c r="G554" s="122">
        <f t="shared" si="388"/>
        <v>0</v>
      </c>
      <c r="H554" s="122">
        <f t="shared" si="388"/>
        <v>0</v>
      </c>
      <c r="I554" s="122">
        <f t="shared" si="388"/>
        <v>0</v>
      </c>
      <c r="J554" s="122">
        <f t="shared" si="388"/>
        <v>0</v>
      </c>
      <c r="K554" s="122">
        <f t="shared" si="388"/>
        <v>0</v>
      </c>
      <c r="L554" s="122">
        <f t="shared" si="388"/>
        <v>0</v>
      </c>
      <c r="M554" s="122">
        <f t="shared" si="388"/>
        <v>0</v>
      </c>
      <c r="N554" s="122">
        <f t="shared" si="388"/>
        <v>0</v>
      </c>
      <c r="O554" s="122">
        <f t="shared" si="388"/>
        <v>0</v>
      </c>
      <c r="P554" s="122">
        <f t="shared" si="388"/>
        <v>0</v>
      </c>
      <c r="Q554" s="122">
        <f t="shared" si="388"/>
        <v>0</v>
      </c>
      <c r="R554" s="122">
        <f>SUM(R552:R553)</f>
        <v>0</v>
      </c>
      <c r="AD554" s="24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Z554" s="5"/>
    </row>
    <row r="557" spans="2:52">
      <c r="B557" s="5" t="s">
        <v>3068</v>
      </c>
      <c r="C557" s="44" t="s">
        <v>3068</v>
      </c>
      <c r="D557" s="16" t="s">
        <v>289</v>
      </c>
      <c r="E557" s="16" t="s">
        <v>289</v>
      </c>
      <c r="F557" s="16" t="s">
        <v>289</v>
      </c>
      <c r="G557" s="16" t="s">
        <v>289</v>
      </c>
      <c r="H557" s="16" t="s">
        <v>289</v>
      </c>
      <c r="I557" s="16" t="s">
        <v>289</v>
      </c>
      <c r="J557" s="16" t="s">
        <v>289</v>
      </c>
      <c r="K557" s="99" t="s">
        <v>289</v>
      </c>
      <c r="L557" s="99" t="s">
        <v>289</v>
      </c>
      <c r="M557" s="99" t="s">
        <v>289</v>
      </c>
      <c r="N557" s="99" t="s">
        <v>289</v>
      </c>
      <c r="O557" s="99" t="s">
        <v>289</v>
      </c>
      <c r="P557" s="99">
        <v>-2</v>
      </c>
      <c r="Q557" s="99">
        <v>-4.8</v>
      </c>
      <c r="R557" s="99">
        <v>-6.9</v>
      </c>
      <c r="AD557" s="24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Z557" s="5"/>
    </row>
    <row r="558" spans="2:52" ht="13.15">
      <c r="C558" s="9" t="s">
        <v>3066</v>
      </c>
      <c r="D558" s="122">
        <f t="shared" ref="D558:R558" si="389">SUM(D556:D557)</f>
        <v>0</v>
      </c>
      <c r="E558" s="122">
        <f t="shared" si="389"/>
        <v>0</v>
      </c>
      <c r="F558" s="122">
        <f t="shared" si="389"/>
        <v>0</v>
      </c>
      <c r="G558" s="122">
        <f t="shared" si="389"/>
        <v>0</v>
      </c>
      <c r="H558" s="122">
        <f t="shared" si="389"/>
        <v>0</v>
      </c>
      <c r="I558" s="122">
        <f t="shared" si="389"/>
        <v>0</v>
      </c>
      <c r="J558" s="122">
        <f t="shared" si="389"/>
        <v>0</v>
      </c>
      <c r="K558" s="122">
        <f t="shared" si="389"/>
        <v>0</v>
      </c>
      <c r="L558" s="122">
        <f t="shared" si="389"/>
        <v>0</v>
      </c>
      <c r="M558" s="122">
        <f t="shared" si="389"/>
        <v>0</v>
      </c>
      <c r="N558" s="122">
        <f t="shared" si="389"/>
        <v>0</v>
      </c>
      <c r="O558" s="122">
        <f t="shared" si="389"/>
        <v>0</v>
      </c>
      <c r="P558" s="122">
        <f t="shared" si="389"/>
        <v>-2</v>
      </c>
      <c r="Q558" s="122">
        <f t="shared" si="389"/>
        <v>-4.8</v>
      </c>
      <c r="R558" s="122">
        <f t="shared" si="389"/>
        <v>-6.9</v>
      </c>
      <c r="AD558" s="24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Z558" s="5"/>
    </row>
    <row r="560" spans="2:52">
      <c r="B560" s="5" t="s">
        <v>2493</v>
      </c>
      <c r="C560" s="44" t="str">
        <f>B560</f>
        <v>ARDR_OTHER_NON_CASH_ITEMS</v>
      </c>
      <c r="D560" s="16" t="s">
        <v>289</v>
      </c>
      <c r="E560" s="16" t="s">
        <v>289</v>
      </c>
      <c r="F560" s="16" t="s">
        <v>289</v>
      </c>
      <c r="G560" s="16" t="s">
        <v>289</v>
      </c>
      <c r="H560" s="16" t="s">
        <v>289</v>
      </c>
      <c r="I560" s="16" t="s">
        <v>289</v>
      </c>
      <c r="J560" s="16" t="s">
        <v>289</v>
      </c>
      <c r="K560" s="99" t="s">
        <v>289</v>
      </c>
      <c r="L560" s="99" t="s">
        <v>289</v>
      </c>
      <c r="M560" s="99" t="s">
        <v>289</v>
      </c>
      <c r="N560" s="99" t="s">
        <v>289</v>
      </c>
      <c r="O560" s="99" t="s">
        <v>289</v>
      </c>
      <c r="P560" s="99" t="s">
        <v>289</v>
      </c>
      <c r="Q560" s="99" t="s">
        <v>289</v>
      </c>
      <c r="R560" s="99" t="s">
        <v>289</v>
      </c>
      <c r="S560" s="20">
        <v>-1980</v>
      </c>
      <c r="T560" s="20">
        <v>-9184</v>
      </c>
      <c r="U560" s="20">
        <v>-9332</v>
      </c>
      <c r="V560" s="20" t="s">
        <v>289</v>
      </c>
      <c r="AD560" s="24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Z560" s="5"/>
    </row>
    <row r="561" spans="2:52" ht="13.15">
      <c r="C561" s="9" t="s">
        <v>3067</v>
      </c>
      <c r="D561" s="122">
        <f t="shared" ref="D561:Q561" si="390">SUM(D559:D560)</f>
        <v>0</v>
      </c>
      <c r="E561" s="122">
        <f t="shared" si="390"/>
        <v>0</v>
      </c>
      <c r="F561" s="122">
        <f t="shared" si="390"/>
        <v>0</v>
      </c>
      <c r="G561" s="122">
        <f t="shared" si="390"/>
        <v>0</v>
      </c>
      <c r="H561" s="122">
        <f t="shared" si="390"/>
        <v>0</v>
      </c>
      <c r="I561" s="122">
        <f t="shared" si="390"/>
        <v>0</v>
      </c>
      <c r="J561" s="122">
        <f t="shared" si="390"/>
        <v>0</v>
      </c>
      <c r="K561" s="122">
        <f t="shared" si="390"/>
        <v>0</v>
      </c>
      <c r="L561" s="122">
        <f t="shared" si="390"/>
        <v>0</v>
      </c>
      <c r="M561" s="122">
        <f t="shared" si="390"/>
        <v>0</v>
      </c>
      <c r="N561" s="122">
        <f t="shared" si="390"/>
        <v>0</v>
      </c>
      <c r="O561" s="122">
        <f t="shared" si="390"/>
        <v>0</v>
      </c>
      <c r="P561" s="122">
        <f t="shared" si="390"/>
        <v>0</v>
      </c>
      <c r="Q561" s="122">
        <f t="shared" si="390"/>
        <v>0</v>
      </c>
      <c r="R561" s="122">
        <f>SUM(R559:R560)</f>
        <v>0</v>
      </c>
      <c r="AD561" s="24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Z561" s="5"/>
    </row>
    <row r="562" spans="2:52" ht="13.15">
      <c r="C562" s="9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AD562" s="24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Z562" s="5"/>
    </row>
    <row r="563" spans="2:52">
      <c r="B563" s="5" t="s">
        <v>3065</v>
      </c>
      <c r="C563" s="44" t="str">
        <f>B563</f>
        <v>ARD_GAIN_LOSS_SALES_FIXED_ASSETS</v>
      </c>
      <c r="D563" s="20" t="s">
        <v>289</v>
      </c>
      <c r="E563" s="20" t="s">
        <v>289</v>
      </c>
      <c r="F563" s="20" t="s">
        <v>289</v>
      </c>
      <c r="G563" s="20" t="s">
        <v>289</v>
      </c>
      <c r="H563" s="20" t="s">
        <v>289</v>
      </c>
      <c r="I563" s="20" t="s">
        <v>289</v>
      </c>
      <c r="J563" s="20" t="s">
        <v>289</v>
      </c>
      <c r="K563" s="20" t="s">
        <v>289</v>
      </c>
      <c r="L563" s="20" t="s">
        <v>289</v>
      </c>
      <c r="M563" s="20" t="s">
        <v>289</v>
      </c>
      <c r="N563" s="20" t="s">
        <v>289</v>
      </c>
      <c r="O563" s="20" t="s">
        <v>289</v>
      </c>
      <c r="P563" s="20" t="s">
        <v>289</v>
      </c>
      <c r="Q563" s="20" t="s">
        <v>289</v>
      </c>
      <c r="R563" s="20" t="s">
        <v>289</v>
      </c>
      <c r="S563" s="20" t="s">
        <v>289</v>
      </c>
      <c r="T563" s="20" t="s">
        <v>289</v>
      </c>
      <c r="U563" s="20" t="s">
        <v>289</v>
      </c>
      <c r="V563" s="20" t="s">
        <v>289</v>
      </c>
    </row>
    <row r="564" spans="2:52">
      <c r="B564" s="5" t="s">
        <v>2495</v>
      </c>
      <c r="C564" s="44" t="str">
        <f>B564</f>
        <v>ARDR_GAIN_LOSS_SALES_FIX_ASSETS</v>
      </c>
      <c r="D564" s="16" t="s">
        <v>289</v>
      </c>
      <c r="E564" s="16" t="s">
        <v>289</v>
      </c>
      <c r="F564" s="16" t="s">
        <v>289</v>
      </c>
      <c r="G564" s="16" t="s">
        <v>289</v>
      </c>
      <c r="H564" s="16" t="s">
        <v>289</v>
      </c>
      <c r="I564" s="16" t="s">
        <v>289</v>
      </c>
      <c r="J564" s="16" t="s">
        <v>289</v>
      </c>
      <c r="K564" s="99" t="s">
        <v>289</v>
      </c>
      <c r="L564" s="99" t="s">
        <v>289</v>
      </c>
      <c r="M564" s="99" t="s">
        <v>289</v>
      </c>
      <c r="N564" s="99" t="s">
        <v>289</v>
      </c>
      <c r="O564" s="99" t="s">
        <v>289</v>
      </c>
      <c r="P564" s="99" t="s">
        <v>289</v>
      </c>
      <c r="Q564" s="99" t="s">
        <v>289</v>
      </c>
      <c r="R564" s="99" t="s">
        <v>289</v>
      </c>
      <c r="S564" s="20" t="s">
        <v>289</v>
      </c>
      <c r="T564" s="20" t="s">
        <v>289</v>
      </c>
      <c r="U564" s="20" t="s">
        <v>289</v>
      </c>
      <c r="V564" s="20" t="s">
        <v>289</v>
      </c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Z564" s="5"/>
    </row>
    <row r="565" spans="2:52" ht="13.15">
      <c r="C565" s="9" t="s">
        <v>3028</v>
      </c>
      <c r="D565" s="122">
        <f t="shared" ref="D565:R565" si="391">SUM(D563:D564)</f>
        <v>0</v>
      </c>
      <c r="E565" s="122">
        <f t="shared" si="391"/>
        <v>0</v>
      </c>
      <c r="F565" s="122">
        <f t="shared" si="391"/>
        <v>0</v>
      </c>
      <c r="G565" s="122">
        <f t="shared" si="391"/>
        <v>0</v>
      </c>
      <c r="H565" s="122">
        <f t="shared" si="391"/>
        <v>0</v>
      </c>
      <c r="I565" s="122">
        <f t="shared" si="391"/>
        <v>0</v>
      </c>
      <c r="J565" s="122">
        <f t="shared" si="391"/>
        <v>0</v>
      </c>
      <c r="K565" s="122">
        <f t="shared" si="391"/>
        <v>0</v>
      </c>
      <c r="L565" s="122">
        <f t="shared" si="391"/>
        <v>0</v>
      </c>
      <c r="M565" s="122">
        <f t="shared" si="391"/>
        <v>0</v>
      </c>
      <c r="N565" s="122">
        <f t="shared" si="391"/>
        <v>0</v>
      </c>
      <c r="O565" s="122">
        <f t="shared" si="391"/>
        <v>0</v>
      </c>
      <c r="P565" s="122">
        <f t="shared" si="391"/>
        <v>0</v>
      </c>
      <c r="Q565" s="122">
        <f t="shared" si="391"/>
        <v>0</v>
      </c>
      <c r="R565" s="122">
        <f t="shared" si="391"/>
        <v>0</v>
      </c>
      <c r="AD565" s="24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Z565" s="5"/>
    </row>
    <row r="566" spans="2:52" ht="13.15">
      <c r="C566" s="9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AD566" s="24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Z566" s="5"/>
    </row>
    <row r="567" spans="2:52" ht="13.15">
      <c r="C567" s="9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AD567" s="24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Z567" s="5"/>
    </row>
    <row r="568" spans="2:52">
      <c r="B568" s="5" t="s">
        <v>2498</v>
      </c>
      <c r="C568" s="44" t="str">
        <f>B568</f>
        <v>ARD_CASH_PAID_FOR_TAXES</v>
      </c>
      <c r="D568" s="16">
        <v>-21</v>
      </c>
      <c r="E568" s="16">
        <v>-354</v>
      </c>
      <c r="F568" s="16">
        <v>-888</v>
      </c>
      <c r="G568" s="16">
        <v>-1172</v>
      </c>
      <c r="H568" s="16">
        <v>-2075</v>
      </c>
      <c r="I568" s="16">
        <v>-529</v>
      </c>
      <c r="J568" s="16">
        <v>-1554</v>
      </c>
      <c r="K568" s="99">
        <v>-3269</v>
      </c>
      <c r="L568" s="99">
        <v>-5056</v>
      </c>
      <c r="M568" s="99">
        <v>-3107</v>
      </c>
      <c r="N568" s="99">
        <v>-4040</v>
      </c>
      <c r="O568" s="99">
        <v>-3238</v>
      </c>
      <c r="P568" s="99">
        <v>-3315</v>
      </c>
      <c r="Q568" s="99">
        <v>-3664</v>
      </c>
      <c r="R568" s="99">
        <v>-3804</v>
      </c>
      <c r="S568" s="20">
        <v>-2914</v>
      </c>
      <c r="T568" s="20">
        <v>-2646</v>
      </c>
      <c r="U568" s="20">
        <v>-4216</v>
      </c>
      <c r="V568" s="20" t="s">
        <v>289</v>
      </c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Z568" s="5"/>
    </row>
    <row r="569" spans="2:52" ht="13.15">
      <c r="D569" s="122">
        <f t="shared" ref="D569:R569" si="392">SUM(D567:D568)</f>
        <v>-21</v>
      </c>
      <c r="E569" s="122">
        <f t="shared" si="392"/>
        <v>-354</v>
      </c>
      <c r="F569" s="122">
        <f t="shared" si="392"/>
        <v>-888</v>
      </c>
      <c r="G569" s="122">
        <f t="shared" si="392"/>
        <v>-1172</v>
      </c>
      <c r="H569" s="122">
        <f t="shared" si="392"/>
        <v>-2075</v>
      </c>
      <c r="I569" s="122">
        <f t="shared" si="392"/>
        <v>-529</v>
      </c>
      <c r="J569" s="122">
        <f t="shared" si="392"/>
        <v>-1554</v>
      </c>
      <c r="K569" s="122">
        <f t="shared" si="392"/>
        <v>-3269</v>
      </c>
      <c r="L569" s="122">
        <f t="shared" si="392"/>
        <v>-5056</v>
      </c>
      <c r="M569" s="122">
        <f t="shared" si="392"/>
        <v>-3107</v>
      </c>
      <c r="N569" s="122">
        <f t="shared" si="392"/>
        <v>-4040</v>
      </c>
      <c r="O569" s="122">
        <f t="shared" si="392"/>
        <v>-3238</v>
      </c>
      <c r="P569" s="122">
        <f t="shared" si="392"/>
        <v>-3315</v>
      </c>
      <c r="Q569" s="122">
        <f t="shared" si="392"/>
        <v>-3664</v>
      </c>
      <c r="R569" s="122">
        <f t="shared" si="392"/>
        <v>-3804</v>
      </c>
      <c r="AD569" s="24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Z569" s="5"/>
    </row>
    <row r="570" spans="2:52">
      <c r="B570" s="5" t="s">
        <v>3063</v>
      </c>
      <c r="C570" s="44"/>
      <c r="D570" s="16">
        <v>21</v>
      </c>
      <c r="E570" s="16">
        <v>354</v>
      </c>
      <c r="F570" s="16">
        <v>888</v>
      </c>
      <c r="G570" s="16">
        <v>1172</v>
      </c>
      <c r="H570" s="16">
        <v>2075</v>
      </c>
      <c r="I570" s="16">
        <v>529</v>
      </c>
      <c r="J570" s="16">
        <v>1554</v>
      </c>
      <c r="K570" s="99">
        <v>3269</v>
      </c>
      <c r="L570" s="99">
        <v>5056</v>
      </c>
      <c r="M570" s="99">
        <v>3107</v>
      </c>
      <c r="N570" s="99">
        <v>4040</v>
      </c>
      <c r="O570" s="99">
        <v>3238</v>
      </c>
      <c r="P570" s="99">
        <v>3315</v>
      </c>
      <c r="Q570" s="99">
        <v>3664</v>
      </c>
      <c r="R570" s="99">
        <v>3804</v>
      </c>
      <c r="S570" s="20">
        <v>2914</v>
      </c>
      <c r="T570" s="20">
        <v>2646</v>
      </c>
      <c r="U570" s="20">
        <v>4216</v>
      </c>
      <c r="V570" s="20" t="s">
        <v>289</v>
      </c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Z570" s="5"/>
    </row>
    <row r="571" spans="2:52">
      <c r="C571" s="44"/>
      <c r="D571" s="16"/>
      <c r="E571" s="16"/>
      <c r="F571" s="16"/>
      <c r="G571" s="16"/>
      <c r="H571" s="16"/>
      <c r="I571" s="16"/>
      <c r="J571" s="16"/>
      <c r="K571" s="99"/>
      <c r="L571" s="99"/>
      <c r="M571" s="99"/>
      <c r="N571" s="99"/>
      <c r="O571" s="99"/>
      <c r="P571" s="99"/>
      <c r="Q571" s="99"/>
      <c r="R571" s="99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Z571" s="5"/>
    </row>
    <row r="572" spans="2:52">
      <c r="B572" s="5" t="s">
        <v>2497</v>
      </c>
      <c r="C572" s="44" t="str">
        <f>B572</f>
        <v>ARD_CASH_PAID_FOR_INTEREST</v>
      </c>
      <c r="D572" s="16" t="s">
        <v>289</v>
      </c>
      <c r="E572" s="16" t="s">
        <v>289</v>
      </c>
      <c r="F572" s="16" t="s">
        <v>289</v>
      </c>
      <c r="G572" s="16" t="s">
        <v>289</v>
      </c>
      <c r="H572" s="16" t="s">
        <v>289</v>
      </c>
      <c r="I572" s="16" t="s">
        <v>289</v>
      </c>
      <c r="J572" s="16" t="s">
        <v>289</v>
      </c>
      <c r="K572" s="99" t="s">
        <v>289</v>
      </c>
      <c r="L572" s="99" t="s">
        <v>289</v>
      </c>
      <c r="M572" s="99" t="s">
        <v>289</v>
      </c>
      <c r="N572" s="99" t="s">
        <v>289</v>
      </c>
      <c r="O572" s="99" t="s">
        <v>289</v>
      </c>
      <c r="P572" s="99" t="s">
        <v>289</v>
      </c>
      <c r="Q572" s="99" t="s">
        <v>289</v>
      </c>
      <c r="R572" s="99" t="s">
        <v>289</v>
      </c>
      <c r="S572" s="20" t="s">
        <v>289</v>
      </c>
      <c r="T572" s="20" t="s">
        <v>289</v>
      </c>
      <c r="U572" s="20" t="s">
        <v>289</v>
      </c>
      <c r="V572" s="20" t="s">
        <v>289</v>
      </c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Z572" s="5"/>
    </row>
    <row r="573" spans="2:52" ht="13.15">
      <c r="D573" s="122">
        <f t="shared" ref="D573:R573" si="393">SUM(D570:D572)</f>
        <v>21</v>
      </c>
      <c r="E573" s="122">
        <f t="shared" si="393"/>
        <v>354</v>
      </c>
      <c r="F573" s="122">
        <f t="shared" si="393"/>
        <v>888</v>
      </c>
      <c r="G573" s="122">
        <f t="shared" si="393"/>
        <v>1172</v>
      </c>
      <c r="H573" s="122">
        <f t="shared" si="393"/>
        <v>2075</v>
      </c>
      <c r="I573" s="122">
        <f t="shared" si="393"/>
        <v>529</v>
      </c>
      <c r="J573" s="122">
        <f t="shared" si="393"/>
        <v>1554</v>
      </c>
      <c r="K573" s="122">
        <f t="shared" si="393"/>
        <v>3269</v>
      </c>
      <c r="L573" s="122">
        <f t="shared" si="393"/>
        <v>5056</v>
      </c>
      <c r="M573" s="122">
        <f t="shared" si="393"/>
        <v>3107</v>
      </c>
      <c r="N573" s="122">
        <f t="shared" si="393"/>
        <v>4040</v>
      </c>
      <c r="O573" s="122">
        <f t="shared" si="393"/>
        <v>3238</v>
      </c>
      <c r="P573" s="122">
        <f t="shared" si="393"/>
        <v>3315</v>
      </c>
      <c r="Q573" s="122">
        <f t="shared" si="393"/>
        <v>3664</v>
      </c>
      <c r="R573" s="122">
        <f t="shared" si="393"/>
        <v>3804</v>
      </c>
      <c r="AD573" s="24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Z573" s="5"/>
    </row>
    <row r="574" spans="2:52">
      <c r="B574" s="5" t="s">
        <v>3064</v>
      </c>
      <c r="D574" s="20">
        <v>2335</v>
      </c>
      <c r="E574" s="20">
        <v>2729</v>
      </c>
      <c r="F574" s="20">
        <v>3184</v>
      </c>
      <c r="G574" s="20">
        <v>2934</v>
      </c>
      <c r="H574" s="20">
        <v>3404</v>
      </c>
      <c r="I574" s="20">
        <v>3172</v>
      </c>
      <c r="J574" s="20">
        <v>3049</v>
      </c>
      <c r="K574" s="20">
        <v>4796</v>
      </c>
      <c r="L574" s="20">
        <v>3915</v>
      </c>
      <c r="M574" s="20">
        <v>3864</v>
      </c>
      <c r="N574" s="20">
        <v>3397</v>
      </c>
      <c r="O574" s="20">
        <v>2440</v>
      </c>
      <c r="P574" s="20">
        <v>2716</v>
      </c>
      <c r="Q574" s="20">
        <v>2332</v>
      </c>
      <c r="R574" s="20" t="s">
        <v>289</v>
      </c>
      <c r="S574" s="20">
        <v>2604</v>
      </c>
      <c r="T574" s="20">
        <v>2677</v>
      </c>
      <c r="U574" s="20">
        <v>2471</v>
      </c>
      <c r="V574" s="20" t="s">
        <v>289</v>
      </c>
      <c r="AD574" s="24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Z574" s="5"/>
    </row>
    <row r="575" spans="2:52">
      <c r="AD575" s="24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Z575" s="5"/>
    </row>
    <row r="576" spans="2:52">
      <c r="B576" s="5" t="s">
        <v>2496</v>
      </c>
      <c r="C576" s="44" t="str">
        <f>B576</f>
        <v>ARD_INT_REC_FROM_INVESTING_ACT</v>
      </c>
      <c r="D576" s="16" t="s">
        <v>289</v>
      </c>
      <c r="E576" s="16" t="s">
        <v>289</v>
      </c>
      <c r="F576" s="16" t="s">
        <v>289</v>
      </c>
      <c r="G576" s="16" t="s">
        <v>289</v>
      </c>
      <c r="H576" s="16" t="s">
        <v>289</v>
      </c>
      <c r="I576" s="16" t="s">
        <v>289</v>
      </c>
      <c r="J576" s="16" t="s">
        <v>289</v>
      </c>
      <c r="K576" s="99" t="s">
        <v>289</v>
      </c>
      <c r="L576" s="99" t="s">
        <v>289</v>
      </c>
      <c r="M576" s="99" t="s">
        <v>289</v>
      </c>
      <c r="N576" s="99" t="s">
        <v>289</v>
      </c>
      <c r="O576" s="99" t="s">
        <v>289</v>
      </c>
      <c r="P576" s="99" t="s">
        <v>289</v>
      </c>
      <c r="Q576" s="99" t="s">
        <v>289</v>
      </c>
      <c r="R576" s="99" t="s">
        <v>289</v>
      </c>
      <c r="S576" s="20" t="s">
        <v>289</v>
      </c>
      <c r="T576" s="20" t="s">
        <v>289</v>
      </c>
      <c r="U576" s="20" t="s">
        <v>289</v>
      </c>
      <c r="V576" s="20" t="s">
        <v>289</v>
      </c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Z576" s="5"/>
    </row>
    <row r="577" spans="2:52" ht="13.15">
      <c r="D577" s="122">
        <f>SUM(D574:D576)</f>
        <v>2335</v>
      </c>
      <c r="E577" s="122">
        <f>SUM(E574:E576)</f>
        <v>2729</v>
      </c>
      <c r="F577" s="122">
        <f>SUM(F574:F576)</f>
        <v>3184</v>
      </c>
      <c r="G577" s="122">
        <f t="shared" ref="G577:R577" si="394">SUM(G574:G576)</f>
        <v>2934</v>
      </c>
      <c r="H577" s="122">
        <f t="shared" si="394"/>
        <v>3404</v>
      </c>
      <c r="I577" s="122">
        <f t="shared" si="394"/>
        <v>3172</v>
      </c>
      <c r="J577" s="122">
        <f t="shared" si="394"/>
        <v>3049</v>
      </c>
      <c r="K577" s="122">
        <f t="shared" si="394"/>
        <v>4796</v>
      </c>
      <c r="L577" s="122">
        <f t="shared" si="394"/>
        <v>3915</v>
      </c>
      <c r="M577" s="122">
        <f t="shared" si="394"/>
        <v>3864</v>
      </c>
      <c r="N577" s="122">
        <f t="shared" si="394"/>
        <v>3397</v>
      </c>
      <c r="O577" s="122">
        <f t="shared" si="394"/>
        <v>2440</v>
      </c>
      <c r="P577" s="122">
        <f t="shared" si="394"/>
        <v>2716</v>
      </c>
      <c r="Q577" s="122">
        <f t="shared" si="394"/>
        <v>2332</v>
      </c>
      <c r="R577" s="122">
        <f t="shared" si="394"/>
        <v>0</v>
      </c>
      <c r="AD577" s="24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Z577" s="5"/>
    </row>
    <row r="578" spans="2:52" ht="13.15"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AD578" s="24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Z578" s="5"/>
    </row>
    <row r="579" spans="2:52" ht="13.15"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AD579" s="24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Z579" s="5"/>
    </row>
    <row r="580" spans="2:52" ht="13.15"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AD580" s="24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Z580" s="5"/>
    </row>
    <row r="582" spans="2:52">
      <c r="B582" s="5" t="s">
        <v>2490</v>
      </c>
      <c r="C582" s="123" t="str">
        <f>B582</f>
        <v>CF_CASH_FROM_OPER</v>
      </c>
      <c r="D582" s="99">
        <v>9515</v>
      </c>
      <c r="E582" s="99">
        <v>7759</v>
      </c>
      <c r="F582" s="99">
        <v>11942</v>
      </c>
      <c r="G582" s="99">
        <v>12899</v>
      </c>
      <c r="H582" s="99">
        <v>7744</v>
      </c>
      <c r="I582" s="99">
        <v>12741</v>
      </c>
      <c r="J582" s="99">
        <v>11455</v>
      </c>
      <c r="K582" s="99">
        <v>8500</v>
      </c>
      <c r="L582" s="99">
        <v>7208</v>
      </c>
      <c r="M582" s="99">
        <v>12595</v>
      </c>
      <c r="N582" s="99">
        <v>10784</v>
      </c>
      <c r="O582" s="99">
        <v>13679</v>
      </c>
      <c r="P582" s="99">
        <v>9430</v>
      </c>
      <c r="Q582" s="99">
        <v>-1186</v>
      </c>
      <c r="R582" s="99">
        <v>7271</v>
      </c>
      <c r="S582" s="20">
        <v>17983</v>
      </c>
      <c r="T582" s="20">
        <v>24902</v>
      </c>
      <c r="U582" s="20">
        <v>38632</v>
      </c>
      <c r="V582" s="20" t="s">
        <v>289</v>
      </c>
      <c r="AD582" s="24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Z582" s="5"/>
    </row>
    <row r="583" spans="2:52">
      <c r="B583" s="5" t="s">
        <v>2491</v>
      </c>
      <c r="C583" s="5" t="str">
        <f>B583</f>
        <v>CF_FREE_CASH_FLOW_FIRM</v>
      </c>
      <c r="D583" s="99">
        <v>4410.2344000000003</v>
      </c>
      <c r="E583" s="99">
        <v>3858.7446</v>
      </c>
      <c r="F583" s="99" t="s">
        <v>289</v>
      </c>
      <c r="G583" s="99">
        <v>8916.8156999999992</v>
      </c>
      <c r="H583" s="99">
        <v>1576.1186</v>
      </c>
      <c r="I583" s="99">
        <v>7608.7452000000003</v>
      </c>
      <c r="J583" s="99">
        <v>6622.6731</v>
      </c>
      <c r="K583" s="99">
        <v>1369.7156</v>
      </c>
      <c r="L583" s="99">
        <v>-2083.9360000000001</v>
      </c>
      <c r="M583" s="99">
        <v>2323.3235</v>
      </c>
      <c r="N583" s="99">
        <v>-154.41749999999999</v>
      </c>
      <c r="O583" s="99" t="s">
        <v>289</v>
      </c>
      <c r="P583" s="99">
        <v>-2740.9151999999999</v>
      </c>
      <c r="Q583" s="99">
        <v>-12295.5023</v>
      </c>
      <c r="R583" s="99">
        <v>-5256.1403</v>
      </c>
      <c r="S583" s="20">
        <v>6034.3557000000001</v>
      </c>
      <c r="T583" s="20">
        <v>15014.5805</v>
      </c>
      <c r="U583" s="20">
        <v>21401.141199999998</v>
      </c>
      <c r="V583" s="20" t="s">
        <v>289</v>
      </c>
      <c r="AD583" s="24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Z583" s="5"/>
    </row>
    <row r="584" spans="2:52" ht="14.25">
      <c r="B584"/>
    </row>
    <row r="586" spans="2:52">
      <c r="B586" s="5" t="s">
        <v>2669</v>
      </c>
      <c r="C586" s="44" t="str">
        <f t="shared" ref="C586:C593" si="395">B586</f>
        <v>ARD_CHANGE_IN_OTHER_CUR_ASSETS</v>
      </c>
      <c r="D586" s="99">
        <v>-4</v>
      </c>
      <c r="E586" s="99">
        <v>-757</v>
      </c>
      <c r="F586" s="99">
        <v>736</v>
      </c>
      <c r="G586" s="99">
        <v>-942</v>
      </c>
      <c r="H586" s="99" t="s">
        <v>289</v>
      </c>
      <c r="I586" s="99">
        <v>-254</v>
      </c>
      <c r="J586" s="99">
        <v>-3102</v>
      </c>
      <c r="K586" s="99">
        <v>-6811</v>
      </c>
      <c r="L586" s="99">
        <v>-7814</v>
      </c>
      <c r="M586" s="99">
        <v>-6688</v>
      </c>
      <c r="N586" s="99">
        <v>-8808</v>
      </c>
      <c r="O586" s="99">
        <v>-7663</v>
      </c>
      <c r="P586" s="99">
        <v>-9490</v>
      </c>
      <c r="Q586" s="99">
        <v>-11891</v>
      </c>
      <c r="R586" s="99">
        <v>-7282</v>
      </c>
      <c r="S586" s="20">
        <v>-13204</v>
      </c>
      <c r="T586" s="20">
        <v>-12914</v>
      </c>
      <c r="U586" s="20">
        <v>-16205</v>
      </c>
      <c r="V586" s="20" t="s">
        <v>289</v>
      </c>
      <c r="AD586" s="24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Z586" s="5"/>
    </row>
    <row r="587" spans="2:52">
      <c r="B587" s="5" t="s">
        <v>2670</v>
      </c>
      <c r="C587" s="44" t="str">
        <f t="shared" si="395"/>
        <v>ARD_CHANGE_IN_PREPAID_EXP</v>
      </c>
      <c r="D587" s="99" t="s">
        <v>289</v>
      </c>
      <c r="E587" s="99" t="s">
        <v>289</v>
      </c>
      <c r="F587" s="99" t="s">
        <v>289</v>
      </c>
      <c r="G587" s="99" t="s">
        <v>289</v>
      </c>
      <c r="H587" s="99" t="s">
        <v>289</v>
      </c>
      <c r="I587" s="99" t="s">
        <v>289</v>
      </c>
      <c r="J587" s="99" t="s">
        <v>289</v>
      </c>
      <c r="K587" s="99" t="s">
        <v>289</v>
      </c>
      <c r="L587" s="99" t="s">
        <v>289</v>
      </c>
      <c r="M587" s="99" t="s">
        <v>289</v>
      </c>
      <c r="N587" s="99" t="s">
        <v>289</v>
      </c>
      <c r="O587" s="99" t="s">
        <v>289</v>
      </c>
      <c r="P587" s="99" t="s">
        <v>289</v>
      </c>
      <c r="Q587" s="99" t="s">
        <v>289</v>
      </c>
      <c r="R587" s="99" t="s">
        <v>289</v>
      </c>
      <c r="S587" s="20" t="s">
        <v>289</v>
      </c>
      <c r="T587" s="20" t="s">
        <v>289</v>
      </c>
      <c r="U587" s="20" t="s">
        <v>289</v>
      </c>
      <c r="V587" s="20" t="s">
        <v>289</v>
      </c>
      <c r="AD587" s="24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Z587" s="5"/>
    </row>
    <row r="588" spans="2:52">
      <c r="B588" s="5" t="s">
        <v>2671</v>
      </c>
      <c r="C588" s="44" t="str">
        <f t="shared" si="395"/>
        <v>ARD_CHG_IN_ACC_COMP_PAY_EXP</v>
      </c>
      <c r="D588" s="99" t="s">
        <v>289</v>
      </c>
      <c r="E588" s="99" t="s">
        <v>289</v>
      </c>
      <c r="F588" s="99" t="s">
        <v>289</v>
      </c>
      <c r="G588" s="99" t="s">
        <v>289</v>
      </c>
      <c r="H588" s="99" t="s">
        <v>289</v>
      </c>
      <c r="I588" s="99" t="s">
        <v>289</v>
      </c>
      <c r="J588" s="99" t="s">
        <v>289</v>
      </c>
      <c r="K588" s="99" t="s">
        <v>289</v>
      </c>
      <c r="L588" s="99" t="s">
        <v>289</v>
      </c>
      <c r="M588" s="99" t="s">
        <v>289</v>
      </c>
      <c r="N588" s="99" t="s">
        <v>289</v>
      </c>
      <c r="O588" s="99" t="s">
        <v>289</v>
      </c>
      <c r="P588" s="99" t="s">
        <v>289</v>
      </c>
      <c r="Q588" s="99" t="s">
        <v>289</v>
      </c>
      <c r="R588" s="99" t="s">
        <v>289</v>
      </c>
      <c r="S588" s="20" t="s">
        <v>289</v>
      </c>
      <c r="T588" s="20" t="s">
        <v>289</v>
      </c>
      <c r="U588" s="20" t="s">
        <v>289</v>
      </c>
      <c r="V588" s="20" t="s">
        <v>289</v>
      </c>
      <c r="AD588" s="24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Z588" s="5"/>
    </row>
    <row r="589" spans="2:52">
      <c r="B589" s="5" t="s">
        <v>2674</v>
      </c>
      <c r="C589" s="44" t="str">
        <f t="shared" si="395"/>
        <v>ARD_CHNG_TRADE_PAY_OTH_CUR_LIAB</v>
      </c>
      <c r="D589" s="99" t="s">
        <v>289</v>
      </c>
      <c r="E589" s="99" t="s">
        <v>289</v>
      </c>
      <c r="F589" s="99" t="s">
        <v>289</v>
      </c>
      <c r="G589" s="99" t="s">
        <v>289</v>
      </c>
      <c r="H589" s="99" t="s">
        <v>289</v>
      </c>
      <c r="I589" s="99" t="s">
        <v>289</v>
      </c>
      <c r="J589" s="99" t="s">
        <v>289</v>
      </c>
      <c r="K589" s="99" t="s">
        <v>289</v>
      </c>
      <c r="L589" s="99" t="s">
        <v>289</v>
      </c>
      <c r="M589" s="99" t="s">
        <v>289</v>
      </c>
      <c r="N589" s="99" t="s">
        <v>289</v>
      </c>
      <c r="O589" s="99" t="s">
        <v>289</v>
      </c>
      <c r="P589" s="99" t="s">
        <v>289</v>
      </c>
      <c r="Q589" s="99" t="s">
        <v>289</v>
      </c>
      <c r="R589" s="99" t="s">
        <v>289</v>
      </c>
      <c r="S589" s="20" t="s">
        <v>289</v>
      </c>
      <c r="T589" s="20" t="s">
        <v>289</v>
      </c>
      <c r="U589" s="20" t="s">
        <v>289</v>
      </c>
      <c r="V589" s="20" t="s">
        <v>289</v>
      </c>
      <c r="AD589" s="24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Z589" s="5"/>
    </row>
    <row r="590" spans="2:52">
      <c r="B590" s="5" t="s">
        <v>2677</v>
      </c>
      <c r="C590" s="44" t="str">
        <f t="shared" si="395"/>
        <v>ARDR_CHG_IN_INC_TAX_PAYABLE_REC</v>
      </c>
      <c r="D590" s="99" t="s">
        <v>289</v>
      </c>
      <c r="E590" s="99" t="s">
        <v>289</v>
      </c>
      <c r="F590" s="99" t="s">
        <v>289</v>
      </c>
      <c r="G590" s="99" t="s">
        <v>289</v>
      </c>
      <c r="H590" s="99" t="s">
        <v>289</v>
      </c>
      <c r="I590" s="99" t="s">
        <v>289</v>
      </c>
      <c r="J590" s="99" t="s">
        <v>289</v>
      </c>
      <c r="K590" s="99" t="s">
        <v>289</v>
      </c>
      <c r="L590" s="99" t="s">
        <v>289</v>
      </c>
      <c r="M590" s="99" t="s">
        <v>289</v>
      </c>
      <c r="N590" s="99" t="s">
        <v>289</v>
      </c>
      <c r="O590" s="99" t="s">
        <v>289</v>
      </c>
      <c r="P590" s="99" t="s">
        <v>289</v>
      </c>
      <c r="Q590" s="99" t="s">
        <v>289</v>
      </c>
      <c r="R590" s="99" t="s">
        <v>289</v>
      </c>
      <c r="S590" s="20" t="s">
        <v>289</v>
      </c>
      <c r="T590" s="20" t="s">
        <v>289</v>
      </c>
      <c r="U590" s="20" t="s">
        <v>289</v>
      </c>
      <c r="V590" s="20" t="s">
        <v>289</v>
      </c>
      <c r="AD590" s="24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Z590" s="5"/>
    </row>
    <row r="591" spans="2:52">
      <c r="B591" s="5" t="s">
        <v>2678</v>
      </c>
      <c r="C591" s="44" t="str">
        <f t="shared" si="395"/>
        <v>ARDR_CHNG_TRADE_PAY_OTH_CUR_LIAB</v>
      </c>
      <c r="D591" s="99" t="s">
        <v>289</v>
      </c>
      <c r="E591" s="99" t="s">
        <v>289</v>
      </c>
      <c r="F591" s="99" t="s">
        <v>289</v>
      </c>
      <c r="G591" s="99" t="s">
        <v>289</v>
      </c>
      <c r="H591" s="99" t="s">
        <v>289</v>
      </c>
      <c r="I591" s="99" t="s">
        <v>289</v>
      </c>
      <c r="J591" s="99" t="s">
        <v>289</v>
      </c>
      <c r="K591" s="99" t="s">
        <v>289</v>
      </c>
      <c r="L591" s="99" t="s">
        <v>289</v>
      </c>
      <c r="M591" s="99" t="s">
        <v>289</v>
      </c>
      <c r="N591" s="99" t="s">
        <v>289</v>
      </c>
      <c r="O591" s="99" t="s">
        <v>289</v>
      </c>
      <c r="P591" s="99" t="s">
        <v>289</v>
      </c>
      <c r="Q591" s="99" t="s">
        <v>289</v>
      </c>
      <c r="R591" s="99" t="s">
        <v>289</v>
      </c>
      <c r="S591" s="20" t="s">
        <v>289</v>
      </c>
      <c r="T591" s="20" t="s">
        <v>289</v>
      </c>
      <c r="U591" s="20" t="s">
        <v>289</v>
      </c>
      <c r="V591" s="20" t="s">
        <v>289</v>
      </c>
      <c r="AD591" s="24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Z591" s="5"/>
    </row>
    <row r="592" spans="2:52">
      <c r="B592" s="5" t="s">
        <v>2679</v>
      </c>
      <c r="C592" s="44" t="str">
        <f t="shared" si="395"/>
        <v>ARDR_INCR_DECR_IN_PROVISIONS</v>
      </c>
      <c r="D592" s="99" t="s">
        <v>289</v>
      </c>
      <c r="E592" s="99" t="s">
        <v>289</v>
      </c>
      <c r="F592" s="99" t="s">
        <v>289</v>
      </c>
      <c r="G592" s="99" t="s">
        <v>289</v>
      </c>
      <c r="H592" s="99" t="s">
        <v>289</v>
      </c>
      <c r="I592" s="99" t="s">
        <v>289</v>
      </c>
      <c r="J592" s="99" t="s">
        <v>289</v>
      </c>
      <c r="K592" s="99" t="s">
        <v>289</v>
      </c>
      <c r="L592" s="99" t="s">
        <v>289</v>
      </c>
      <c r="M592" s="99" t="s">
        <v>289</v>
      </c>
      <c r="N592" s="99" t="s">
        <v>289</v>
      </c>
      <c r="O592" s="99" t="s">
        <v>289</v>
      </c>
      <c r="P592" s="99" t="s">
        <v>289</v>
      </c>
      <c r="Q592" s="99" t="s">
        <v>289</v>
      </c>
      <c r="R592" s="99" t="s">
        <v>289</v>
      </c>
      <c r="S592" s="20" t="s">
        <v>289</v>
      </c>
      <c r="T592" s="20" t="s">
        <v>289</v>
      </c>
      <c r="U592" s="20" t="s">
        <v>289</v>
      </c>
      <c r="V592" s="20" t="s">
        <v>289</v>
      </c>
      <c r="AD592" s="24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Z592" s="5"/>
    </row>
    <row r="593" spans="2:52">
      <c r="B593" s="5" t="s">
        <v>2680</v>
      </c>
      <c r="C593" s="44" t="str">
        <f t="shared" si="395"/>
        <v>ARDR_INCR_DECR_IN_TRADE_OTH_REC</v>
      </c>
      <c r="D593" s="99" t="s">
        <v>289</v>
      </c>
      <c r="E593" s="99" t="s">
        <v>289</v>
      </c>
      <c r="F593" s="99" t="s">
        <v>289</v>
      </c>
      <c r="G593" s="99" t="s">
        <v>289</v>
      </c>
      <c r="H593" s="99" t="s">
        <v>289</v>
      </c>
      <c r="I593" s="99" t="s">
        <v>289</v>
      </c>
      <c r="J593" s="99" t="s">
        <v>289</v>
      </c>
      <c r="K593" s="99" t="s">
        <v>289</v>
      </c>
      <c r="L593" s="99" t="s">
        <v>289</v>
      </c>
      <c r="M593" s="99" t="s">
        <v>289</v>
      </c>
      <c r="N593" s="99" t="s">
        <v>289</v>
      </c>
      <c r="O593" s="99" t="s">
        <v>289</v>
      </c>
      <c r="P593" s="99" t="s">
        <v>289</v>
      </c>
      <c r="Q593" s="99" t="s">
        <v>289</v>
      </c>
      <c r="R593" s="99" t="s">
        <v>289</v>
      </c>
      <c r="S593" s="20" t="s">
        <v>289</v>
      </c>
      <c r="T593" s="20" t="s">
        <v>289</v>
      </c>
      <c r="U593" s="20" t="s">
        <v>289</v>
      </c>
      <c r="V593" s="20" t="s">
        <v>289</v>
      </c>
      <c r="AD593" s="24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Z593" s="5"/>
    </row>
    <row r="597" spans="2:52">
      <c r="AD597" s="24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Z597" s="5"/>
    </row>
    <row r="598" spans="2:52">
      <c r="AD598" s="24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Z598" s="5"/>
    </row>
    <row r="599" spans="2:52">
      <c r="AD599" s="24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Z599" s="5"/>
    </row>
    <row r="602" spans="2:52" ht="13.15">
      <c r="B602" s="5" t="s">
        <v>2665</v>
      </c>
      <c r="C602" s="9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Z602" s="5"/>
    </row>
    <row r="603" spans="2:52">
      <c r="B603" s="5" t="s">
        <v>2499</v>
      </c>
      <c r="C603" s="44" t="str">
        <f>B603</f>
        <v>OTHER_NON_CASH_ADJ_LESS_DETAILED</v>
      </c>
      <c r="D603" s="99">
        <v>-341</v>
      </c>
      <c r="E603" s="99">
        <v>-961</v>
      </c>
      <c r="F603" s="99">
        <v>-472</v>
      </c>
      <c r="G603" s="99">
        <v>275</v>
      </c>
      <c r="H603" s="99">
        <v>-1841</v>
      </c>
      <c r="I603" s="99">
        <v>-1241</v>
      </c>
      <c r="J603" s="99">
        <v>-1944</v>
      </c>
      <c r="K603" s="99">
        <v>-7033</v>
      </c>
      <c r="L603" s="99">
        <v>-19972</v>
      </c>
      <c r="M603" s="99">
        <v>-4124</v>
      </c>
      <c r="N603" s="99">
        <v>-9301</v>
      </c>
      <c r="O603" s="99">
        <v>5205</v>
      </c>
      <c r="P603" s="99">
        <v>-6498</v>
      </c>
      <c r="Q603" s="99">
        <v>-22222</v>
      </c>
      <c r="R603" s="99">
        <v>-11847</v>
      </c>
      <c r="S603" s="20">
        <v>1315</v>
      </c>
      <c r="T603" s="20">
        <v>-449</v>
      </c>
      <c r="U603" s="20">
        <v>32</v>
      </c>
      <c r="V603" s="20" t="s">
        <v>289</v>
      </c>
      <c r="AD603" s="24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Z603" s="5"/>
    </row>
    <row r="604" spans="2:52" ht="14.25">
      <c r="B604" t="s">
        <v>2990</v>
      </c>
      <c r="C604" s="44" t="str">
        <f>B604</f>
        <v>CF_CHNG_NON_CASH_WORK_CAP</v>
      </c>
      <c r="D604" s="99">
        <v>861</v>
      </c>
      <c r="E604" s="99">
        <v>-1048</v>
      </c>
      <c r="F604" s="99">
        <v>1289</v>
      </c>
      <c r="G604" s="99">
        <v>-554</v>
      </c>
      <c r="H604" s="99">
        <v>-3574</v>
      </c>
      <c r="I604" s="99">
        <v>4161</v>
      </c>
      <c r="J604" s="99">
        <v>-3525</v>
      </c>
      <c r="K604" s="99">
        <v>-10209</v>
      </c>
      <c r="L604" s="99">
        <v>-7646</v>
      </c>
      <c r="M604" s="99">
        <v>-6997</v>
      </c>
      <c r="N604" s="99">
        <v>-7691</v>
      </c>
      <c r="O604" s="99">
        <v>-9812</v>
      </c>
      <c r="P604" s="99">
        <v>-10234</v>
      </c>
      <c r="Q604" s="99">
        <v>-12447</v>
      </c>
      <c r="R604" s="99">
        <v>-15409</v>
      </c>
      <c r="S604" s="20">
        <v>-21624</v>
      </c>
      <c r="T604" s="20">
        <v>-9265</v>
      </c>
      <c r="U604" s="20">
        <v>-4063</v>
      </c>
      <c r="V604" s="20" t="s">
        <v>289</v>
      </c>
    </row>
    <row r="605" spans="2:52">
      <c r="B605" s="5" t="s">
        <v>2684</v>
      </c>
      <c r="C605" s="44" t="str">
        <f>B605</f>
        <v>INC_DEC_IN_OT_OP_AST_LIAB_DETAIL</v>
      </c>
      <c r="D605" s="99">
        <v>683</v>
      </c>
      <c r="E605" s="99">
        <v>-328</v>
      </c>
      <c r="F605" s="99">
        <v>1436</v>
      </c>
      <c r="G605" s="99">
        <v>1302</v>
      </c>
      <c r="H605" s="99">
        <v>815</v>
      </c>
      <c r="I605" s="99">
        <v>6</v>
      </c>
      <c r="J605" s="99">
        <v>962</v>
      </c>
      <c r="K605" s="99">
        <v>-3734</v>
      </c>
      <c r="L605" s="99">
        <v>-8050</v>
      </c>
      <c r="M605" s="99">
        <v>-4325</v>
      </c>
      <c r="N605" s="99">
        <v>-4044</v>
      </c>
      <c r="O605" s="99">
        <v>-4856</v>
      </c>
      <c r="P605" s="99">
        <v>-4442</v>
      </c>
      <c r="Q605" s="99">
        <v>-6589</v>
      </c>
      <c r="R605" s="99">
        <v>-3637</v>
      </c>
      <c r="S605" s="20">
        <v>-20057</v>
      </c>
      <c r="T605" s="20">
        <v>-11311</v>
      </c>
      <c r="U605" s="20">
        <v>-8061</v>
      </c>
      <c r="V605" s="20" t="s">
        <v>289</v>
      </c>
      <c r="AD605" s="24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Z605" s="5"/>
    </row>
    <row r="606" spans="2:52" ht="13.15">
      <c r="C606" s="9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Z606" s="5"/>
    </row>
    <row r="607" spans="2:52">
      <c r="B607" s="5" t="s">
        <v>1778</v>
      </c>
      <c r="C607" s="44" t="str">
        <f>B607</f>
        <v>CF_ACQ_OF_FXD_&amp;_INTANGIBLES</v>
      </c>
      <c r="D607" s="115" t="s">
        <v>289</v>
      </c>
      <c r="E607" s="115" t="s">
        <v>289</v>
      </c>
      <c r="F607" s="115" t="s">
        <v>289</v>
      </c>
      <c r="G607" s="115" t="s">
        <v>289</v>
      </c>
      <c r="H607" s="115" t="s">
        <v>289</v>
      </c>
      <c r="I607" s="115">
        <v>-7911</v>
      </c>
      <c r="J607" s="115">
        <v>-7425</v>
      </c>
      <c r="K607" s="115">
        <v>-9753</v>
      </c>
      <c r="L607" s="115">
        <v>-13108</v>
      </c>
      <c r="M607" s="115">
        <v>-15406</v>
      </c>
      <c r="N607" s="115">
        <v>-16613</v>
      </c>
      <c r="O607" s="115">
        <v>-18234</v>
      </c>
      <c r="P607" s="115">
        <v>-18902</v>
      </c>
      <c r="Q607" s="115">
        <v>-18312</v>
      </c>
      <c r="R607" s="115">
        <v>-18963</v>
      </c>
      <c r="S607" s="20">
        <v>-19401</v>
      </c>
      <c r="T607" s="20">
        <v>-17746</v>
      </c>
      <c r="U607" s="20">
        <v>-18498</v>
      </c>
      <c r="V607" s="20" t="s">
        <v>289</v>
      </c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Z607" s="5"/>
    </row>
    <row r="608" spans="2:52">
      <c r="B608" s="5" t="s">
        <v>1779</v>
      </c>
      <c r="C608" s="44" t="str">
        <f>B608</f>
        <v>CF_ACQUISITION_OF_INTANG_ASSETS</v>
      </c>
      <c r="D608" s="115" t="s">
        <v>289</v>
      </c>
      <c r="E608" s="115" t="s">
        <v>289</v>
      </c>
      <c r="F608" s="115" t="s">
        <v>289</v>
      </c>
      <c r="G608" s="115" t="s">
        <v>289</v>
      </c>
      <c r="H608" s="115" t="s">
        <v>289</v>
      </c>
      <c r="I608" s="115">
        <v>-1948</v>
      </c>
      <c r="J608" s="115">
        <v>-1667</v>
      </c>
      <c r="K608" s="115">
        <v>-1666</v>
      </c>
      <c r="L608" s="115">
        <v>-2615</v>
      </c>
      <c r="M608" s="115">
        <v>-4021</v>
      </c>
      <c r="N608" s="115">
        <v>-4601</v>
      </c>
      <c r="O608" s="115">
        <v>-5021</v>
      </c>
      <c r="P608" s="115">
        <v>-5750</v>
      </c>
      <c r="Q608" s="115">
        <v>-5260</v>
      </c>
      <c r="R608" s="115">
        <v>-5234</v>
      </c>
      <c r="S608" s="20">
        <v>-5171</v>
      </c>
      <c r="T608" s="20">
        <v>-6473</v>
      </c>
      <c r="U608" s="20" t="s">
        <v>289</v>
      </c>
      <c r="V608" s="20" t="s">
        <v>289</v>
      </c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Z608" s="5"/>
    </row>
    <row r="629" spans="2:70">
      <c r="B629" s="5" t="s">
        <v>1780</v>
      </c>
      <c r="C629" s="44" t="str">
        <f>B629</f>
        <v>ARDR_PURCHASE_OF_INTANGIBLES</v>
      </c>
      <c r="D629" s="16" t="s">
        <v>289</v>
      </c>
      <c r="E629" s="16" t="s">
        <v>289</v>
      </c>
      <c r="F629" s="16" t="s">
        <v>289</v>
      </c>
      <c r="G629" s="16" t="s">
        <v>289</v>
      </c>
      <c r="H629" s="16" t="s">
        <v>289</v>
      </c>
      <c r="I629" s="16" t="s">
        <v>289</v>
      </c>
      <c r="J629" s="16" t="s">
        <v>289</v>
      </c>
      <c r="K629" s="16" t="s">
        <v>289</v>
      </c>
      <c r="L629" s="16" t="s">
        <v>289</v>
      </c>
      <c r="M629" s="16" t="s">
        <v>289</v>
      </c>
      <c r="N629" s="16" t="s">
        <v>289</v>
      </c>
      <c r="O629" s="16" t="s">
        <v>289</v>
      </c>
      <c r="P629" s="16" t="s">
        <v>289</v>
      </c>
      <c r="Q629" s="16" t="s">
        <v>289</v>
      </c>
      <c r="R629" s="16" t="s">
        <v>289</v>
      </c>
      <c r="S629" s="20" t="s">
        <v>289</v>
      </c>
      <c r="T629" s="20" t="s">
        <v>289</v>
      </c>
      <c r="U629" s="20" t="s">
        <v>289</v>
      </c>
      <c r="V629" s="20" t="s">
        <v>289</v>
      </c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Z629" s="5"/>
    </row>
    <row r="630" spans="2:70">
      <c r="B630" s="5" t="s">
        <v>1781</v>
      </c>
      <c r="C630" s="44" t="str">
        <f>B630</f>
        <v>ARD_ADDITIONS_FIXED_INTANG_ASSET</v>
      </c>
      <c r="D630" s="16">
        <v>-5550</v>
      </c>
      <c r="E630" s="16">
        <v>-4434</v>
      </c>
      <c r="F630" s="16">
        <v>-3728</v>
      </c>
      <c r="G630" s="16">
        <v>-4638</v>
      </c>
      <c r="H630" s="16">
        <v>-6883</v>
      </c>
      <c r="I630" s="16" t="s">
        <v>289</v>
      </c>
      <c r="J630" s="16" t="s">
        <v>289</v>
      </c>
      <c r="K630" s="16" t="s">
        <v>289</v>
      </c>
      <c r="L630" s="16" t="s">
        <v>289</v>
      </c>
      <c r="M630" s="16" t="s">
        <v>289</v>
      </c>
      <c r="N630" s="16" t="s">
        <v>289</v>
      </c>
      <c r="O630" s="16" t="s">
        <v>289</v>
      </c>
      <c r="P630" s="16" t="s">
        <v>289</v>
      </c>
      <c r="Q630" s="16" t="s">
        <v>289</v>
      </c>
      <c r="R630" s="16" t="s">
        <v>289</v>
      </c>
      <c r="S630" s="20" t="s">
        <v>289</v>
      </c>
      <c r="T630" s="20" t="s">
        <v>289</v>
      </c>
      <c r="U630" s="20" t="s">
        <v>289</v>
      </c>
      <c r="V630" s="20" t="s">
        <v>289</v>
      </c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Z630" s="5"/>
    </row>
    <row r="631" spans="2:70">
      <c r="B631" s="5" t="s">
        <v>1782</v>
      </c>
      <c r="C631" s="44" t="str">
        <f>B631</f>
        <v>IS_R&amp;D_GAAP</v>
      </c>
      <c r="D631" s="16" t="s">
        <v>289</v>
      </c>
      <c r="E631" s="16" t="s">
        <v>289</v>
      </c>
      <c r="F631" s="16" t="s">
        <v>289</v>
      </c>
      <c r="G631" s="16" t="s">
        <v>289</v>
      </c>
      <c r="H631" s="16" t="s">
        <v>289</v>
      </c>
      <c r="I631" s="16" t="s">
        <v>289</v>
      </c>
      <c r="J631" s="16" t="s">
        <v>289</v>
      </c>
      <c r="K631" s="16" t="s">
        <v>289</v>
      </c>
      <c r="L631" s="16" t="s">
        <v>289</v>
      </c>
      <c r="M631" s="16" t="s">
        <v>289</v>
      </c>
      <c r="N631" s="16" t="s">
        <v>289</v>
      </c>
      <c r="O631" s="16" t="s">
        <v>289</v>
      </c>
      <c r="P631" s="16" t="s">
        <v>289</v>
      </c>
      <c r="Q631" s="16" t="s">
        <v>289</v>
      </c>
      <c r="R631" s="16" t="s">
        <v>289</v>
      </c>
      <c r="S631" s="20" t="s">
        <v>289</v>
      </c>
      <c r="T631" s="20" t="s">
        <v>289</v>
      </c>
      <c r="U631" s="20" t="s">
        <v>289</v>
      </c>
      <c r="V631" s="20" t="s">
        <v>289</v>
      </c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Z631" s="5"/>
    </row>
    <row r="632" spans="2:70">
      <c r="B632" s="5" t="s">
        <v>1783</v>
      </c>
      <c r="C632" s="44" t="str">
        <f>B632</f>
        <v>IS_OPEX_R&amp;D_GAAP</v>
      </c>
      <c r="D632" s="16" t="s">
        <v>289</v>
      </c>
      <c r="E632" s="16" t="s">
        <v>289</v>
      </c>
      <c r="F632" s="16" t="s">
        <v>289</v>
      </c>
      <c r="G632" s="16" t="s">
        <v>289</v>
      </c>
      <c r="H632" s="16" t="s">
        <v>289</v>
      </c>
      <c r="I632" s="16">
        <v>5429</v>
      </c>
      <c r="J632" s="16">
        <v>6257</v>
      </c>
      <c r="K632" s="16">
        <v>7234</v>
      </c>
      <c r="L632" s="16">
        <v>8851</v>
      </c>
      <c r="M632" s="16">
        <v>10186</v>
      </c>
      <c r="N632" s="16">
        <v>11545</v>
      </c>
      <c r="O632" s="16">
        <v>11853</v>
      </c>
      <c r="P632" s="16">
        <v>11509</v>
      </c>
      <c r="Q632" s="16">
        <v>11614</v>
      </c>
      <c r="R632" s="16">
        <v>12116</v>
      </c>
      <c r="S632" s="20">
        <v>13199</v>
      </c>
      <c r="T632" s="20">
        <v>12056</v>
      </c>
      <c r="U632" s="20">
        <v>12790</v>
      </c>
      <c r="V632" s="20" t="s">
        <v>289</v>
      </c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Z632" s="5"/>
    </row>
    <row r="634" spans="2:70">
      <c r="B634" s="5" t="s">
        <v>1785</v>
      </c>
      <c r="C634" s="44" t="str">
        <f t="shared" ref="C634:C643" si="396">B634</f>
        <v>IS_R&amp;D_EXPENSE_NONGAAP_ADJUST</v>
      </c>
      <c r="D634" s="16" t="s">
        <v>289</v>
      </c>
      <c r="E634" s="16" t="s">
        <v>289</v>
      </c>
      <c r="F634" s="16" t="s">
        <v>289</v>
      </c>
      <c r="G634" s="16" t="s">
        <v>289</v>
      </c>
      <c r="H634" s="16" t="s">
        <v>289</v>
      </c>
      <c r="I634" s="16">
        <v>0</v>
      </c>
      <c r="J634" s="16">
        <v>0</v>
      </c>
      <c r="K634" s="16">
        <v>0</v>
      </c>
      <c r="L634" s="16">
        <v>0</v>
      </c>
      <c r="M634" s="16">
        <v>0</v>
      </c>
      <c r="N634" s="16">
        <v>0</v>
      </c>
      <c r="O634" s="16">
        <v>0</v>
      </c>
      <c r="P634" s="16">
        <v>0</v>
      </c>
      <c r="Q634" s="16">
        <v>0</v>
      </c>
      <c r="R634" s="16">
        <v>0</v>
      </c>
      <c r="S634" s="20">
        <v>0</v>
      </c>
      <c r="T634" s="20">
        <v>0</v>
      </c>
      <c r="U634" s="20">
        <v>0</v>
      </c>
      <c r="V634" s="20" t="s">
        <v>289</v>
      </c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Z634" s="5"/>
      <c r="BK634" s="22"/>
      <c r="BL634" s="23"/>
      <c r="BM634" s="22"/>
      <c r="BN634" s="22"/>
      <c r="BO634" s="22"/>
      <c r="BP634" s="22"/>
      <c r="BQ634" s="22"/>
      <c r="BR634" s="24"/>
    </row>
    <row r="635" spans="2:70">
      <c r="B635" s="5" t="s">
        <v>1786</v>
      </c>
      <c r="C635" s="44" t="str">
        <f t="shared" si="396"/>
        <v>ARD_ACQUIRED_IN_PROCESS_R&amp;D</v>
      </c>
      <c r="D635" s="16" t="s">
        <v>289</v>
      </c>
      <c r="E635" s="16" t="s">
        <v>289</v>
      </c>
      <c r="F635" s="16" t="s">
        <v>289</v>
      </c>
      <c r="G635" s="16" t="s">
        <v>289</v>
      </c>
      <c r="H635" s="16" t="s">
        <v>289</v>
      </c>
      <c r="I635" s="16" t="s">
        <v>289</v>
      </c>
      <c r="J635" s="16" t="s">
        <v>289</v>
      </c>
      <c r="K635" s="16" t="s">
        <v>289</v>
      </c>
      <c r="L635" s="16" t="s">
        <v>289</v>
      </c>
      <c r="M635" s="16" t="s">
        <v>289</v>
      </c>
      <c r="N635" s="16" t="s">
        <v>289</v>
      </c>
      <c r="O635" s="16" t="s">
        <v>289</v>
      </c>
      <c r="P635" s="16" t="s">
        <v>289</v>
      </c>
      <c r="Q635" s="16" t="s">
        <v>289</v>
      </c>
      <c r="R635" s="16" t="s">
        <v>289</v>
      </c>
      <c r="S635" s="20" t="s">
        <v>289</v>
      </c>
      <c r="T635" s="20" t="s">
        <v>289</v>
      </c>
      <c r="U635" s="20" t="s">
        <v>289</v>
      </c>
      <c r="V635" s="20" t="s">
        <v>289</v>
      </c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Z635" s="5"/>
      <c r="BK635" s="22"/>
      <c r="BL635" s="23"/>
      <c r="BM635" s="22"/>
      <c r="BN635" s="22"/>
      <c r="BO635" s="22"/>
      <c r="BP635" s="22"/>
      <c r="BQ635" s="22"/>
      <c r="BR635" s="24"/>
    </row>
    <row r="636" spans="2:70">
      <c r="B636" s="5" t="s">
        <v>1787</v>
      </c>
      <c r="C636" s="44" t="str">
        <f t="shared" si="396"/>
        <v>ARDR_ACQUIRED_IN_PROCESS_R&amp;D</v>
      </c>
      <c r="D636" s="16" t="s">
        <v>289</v>
      </c>
      <c r="E636" s="16" t="s">
        <v>289</v>
      </c>
      <c r="F636" s="16" t="s">
        <v>289</v>
      </c>
      <c r="G636" s="16" t="s">
        <v>289</v>
      </c>
      <c r="H636" s="16" t="s">
        <v>289</v>
      </c>
      <c r="I636" s="16" t="s">
        <v>289</v>
      </c>
      <c r="J636" s="16" t="s">
        <v>289</v>
      </c>
      <c r="K636" s="16" t="s">
        <v>289</v>
      </c>
      <c r="L636" s="16" t="s">
        <v>289</v>
      </c>
      <c r="M636" s="16" t="s">
        <v>289</v>
      </c>
      <c r="N636" s="16" t="s">
        <v>289</v>
      </c>
      <c r="O636" s="16" t="s">
        <v>289</v>
      </c>
      <c r="P636" s="16" t="s">
        <v>289</v>
      </c>
      <c r="Q636" s="16" t="s">
        <v>289</v>
      </c>
      <c r="R636" s="16" t="s">
        <v>289</v>
      </c>
      <c r="S636" s="20" t="s">
        <v>289</v>
      </c>
      <c r="T636" s="20" t="s">
        <v>289</v>
      </c>
      <c r="U636" s="20" t="s">
        <v>289</v>
      </c>
      <c r="V636" s="20" t="s">
        <v>289</v>
      </c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Z636" s="5"/>
      <c r="BK636" s="22"/>
      <c r="BL636" s="23"/>
      <c r="BM636" s="22"/>
      <c r="BN636" s="22"/>
      <c r="BO636" s="22"/>
      <c r="BP636" s="22"/>
      <c r="BQ636" s="22"/>
      <c r="BR636" s="24"/>
    </row>
    <row r="637" spans="2:70">
      <c r="B637" s="5" t="s">
        <v>1788</v>
      </c>
      <c r="C637" s="44" t="str">
        <f t="shared" si="396"/>
        <v>ARD_R&amp;D_EXPENSES_WITHIN_SGA</v>
      </c>
      <c r="D637" s="16" t="s">
        <v>289</v>
      </c>
      <c r="E637" s="16" t="s">
        <v>289</v>
      </c>
      <c r="F637" s="16" t="s">
        <v>289</v>
      </c>
      <c r="G637" s="16" t="s">
        <v>289</v>
      </c>
      <c r="H637" s="16" t="s">
        <v>289</v>
      </c>
      <c r="I637" s="16" t="s">
        <v>289</v>
      </c>
      <c r="J637" s="16" t="s">
        <v>289</v>
      </c>
      <c r="K637" s="16" t="s">
        <v>289</v>
      </c>
      <c r="L637" s="16" t="s">
        <v>289</v>
      </c>
      <c r="M637" s="16" t="s">
        <v>289</v>
      </c>
      <c r="N637" s="16" t="s">
        <v>289</v>
      </c>
      <c r="O637" s="16" t="s">
        <v>289</v>
      </c>
      <c r="P637" s="16" t="s">
        <v>289</v>
      </c>
      <c r="Q637" s="16" t="s">
        <v>289</v>
      </c>
      <c r="R637" s="16" t="s">
        <v>289</v>
      </c>
      <c r="S637" s="20" t="s">
        <v>289</v>
      </c>
      <c r="T637" s="20" t="s">
        <v>289</v>
      </c>
      <c r="U637" s="20" t="s">
        <v>289</v>
      </c>
      <c r="V637" s="20" t="s">
        <v>289</v>
      </c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Z637" s="5"/>
      <c r="BK637" s="22"/>
      <c r="BL637" s="23"/>
      <c r="BM637" s="22"/>
      <c r="BN637" s="22"/>
      <c r="BO637" s="22"/>
      <c r="BP637" s="22"/>
      <c r="BQ637" s="22"/>
      <c r="BR637" s="24"/>
    </row>
    <row r="638" spans="2:70">
      <c r="B638" s="5" t="s">
        <v>1789</v>
      </c>
      <c r="C638" s="44" t="str">
        <f t="shared" si="396"/>
        <v>ARD_R&amp;D_EXPENSES_WITHIN_CGS</v>
      </c>
      <c r="D638" s="16" t="s">
        <v>289</v>
      </c>
      <c r="E638" s="16" t="s">
        <v>289</v>
      </c>
      <c r="F638" s="16" t="s">
        <v>289</v>
      </c>
      <c r="G638" s="16" t="s">
        <v>289</v>
      </c>
      <c r="H638" s="16" t="s">
        <v>289</v>
      </c>
      <c r="I638" s="16" t="s">
        <v>289</v>
      </c>
      <c r="J638" s="16" t="s">
        <v>289</v>
      </c>
      <c r="K638" s="16" t="s">
        <v>289</v>
      </c>
      <c r="L638" s="16" t="s">
        <v>289</v>
      </c>
      <c r="M638" s="16" t="s">
        <v>289</v>
      </c>
      <c r="N638" s="16" t="s">
        <v>289</v>
      </c>
      <c r="O638" s="16" t="s">
        <v>289</v>
      </c>
      <c r="P638" s="16" t="s">
        <v>289</v>
      </c>
      <c r="Q638" s="16" t="s">
        <v>289</v>
      </c>
      <c r="R638" s="16" t="s">
        <v>289</v>
      </c>
      <c r="S638" s="20" t="s">
        <v>289</v>
      </c>
      <c r="T638" s="20" t="s">
        <v>289</v>
      </c>
      <c r="U638" s="20" t="s">
        <v>289</v>
      </c>
      <c r="V638" s="20" t="s">
        <v>289</v>
      </c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Z638" s="5"/>
      <c r="BK638" s="22"/>
      <c r="BL638" s="23"/>
      <c r="BM638" s="22"/>
      <c r="BN638" s="22"/>
      <c r="BO638" s="22"/>
      <c r="BP638" s="22"/>
      <c r="BQ638" s="22"/>
      <c r="BR638" s="24"/>
    </row>
    <row r="639" spans="2:70">
      <c r="B639" s="5" t="s">
        <v>1790</v>
      </c>
      <c r="C639" s="44" t="str">
        <f t="shared" si="396"/>
        <v>ARDR_R&amp;D_EXPENDITURES</v>
      </c>
      <c r="D639" s="16">
        <v>3797</v>
      </c>
      <c r="E639" s="16">
        <v>4075</v>
      </c>
      <c r="F639" s="16">
        <v>4240</v>
      </c>
      <c r="G639" s="16">
        <v>4923</v>
      </c>
      <c r="H639" s="16">
        <v>5926</v>
      </c>
      <c r="I639" s="16">
        <v>5429</v>
      </c>
      <c r="J639" s="16">
        <v>6257</v>
      </c>
      <c r="K639" s="16">
        <v>7234</v>
      </c>
      <c r="L639" s="16">
        <v>8851</v>
      </c>
      <c r="M639" s="16">
        <v>10186</v>
      </c>
      <c r="N639" s="16">
        <v>11545</v>
      </c>
      <c r="O639" s="16">
        <v>11853</v>
      </c>
      <c r="P639" s="16">
        <v>11509</v>
      </c>
      <c r="Q639" s="16">
        <v>11614</v>
      </c>
      <c r="R639" s="16">
        <v>12116</v>
      </c>
      <c r="S639" s="20">
        <v>13199</v>
      </c>
      <c r="T639" s="20">
        <v>12056</v>
      </c>
      <c r="U639" s="20">
        <v>12790</v>
      </c>
      <c r="V639" s="20" t="s">
        <v>289</v>
      </c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Z639" s="5"/>
      <c r="BK639" s="22"/>
      <c r="BL639" s="23"/>
      <c r="BM639" s="22"/>
      <c r="BN639" s="22"/>
      <c r="BO639" s="22"/>
      <c r="BP639" s="22"/>
      <c r="BQ639" s="22"/>
      <c r="BR639" s="24"/>
    </row>
    <row r="640" spans="2:70">
      <c r="B640" s="5" t="s">
        <v>1791</v>
      </c>
      <c r="C640" s="44" t="str">
        <f t="shared" si="396"/>
        <v>ARDR_EXPEND_INCUR_ON_R&amp;D_RECUR</v>
      </c>
      <c r="D640" s="16" t="s">
        <v>289</v>
      </c>
      <c r="E640" s="16" t="s">
        <v>289</v>
      </c>
      <c r="F640" s="16" t="s">
        <v>289</v>
      </c>
      <c r="G640" s="16" t="s">
        <v>289</v>
      </c>
      <c r="H640" s="16" t="s">
        <v>289</v>
      </c>
      <c r="I640" s="16" t="s">
        <v>289</v>
      </c>
      <c r="J640" s="16" t="s">
        <v>289</v>
      </c>
      <c r="K640" s="16" t="s">
        <v>289</v>
      </c>
      <c r="L640" s="16" t="s">
        <v>289</v>
      </c>
      <c r="M640" s="16" t="s">
        <v>289</v>
      </c>
      <c r="N640" s="16" t="s">
        <v>289</v>
      </c>
      <c r="O640" s="16" t="s">
        <v>289</v>
      </c>
      <c r="P640" s="16" t="s">
        <v>289</v>
      </c>
      <c r="Q640" s="16" t="s">
        <v>289</v>
      </c>
      <c r="R640" s="16" t="s">
        <v>289</v>
      </c>
      <c r="S640" s="20" t="s">
        <v>289</v>
      </c>
      <c r="T640" s="20" t="s">
        <v>289</v>
      </c>
      <c r="U640" s="20" t="s">
        <v>289</v>
      </c>
      <c r="V640" s="20" t="s">
        <v>289</v>
      </c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Z640" s="5"/>
      <c r="BK640" s="22"/>
      <c r="BL640" s="23"/>
      <c r="BM640" s="22"/>
      <c r="BN640" s="22"/>
      <c r="BO640" s="22"/>
      <c r="BP640" s="22"/>
      <c r="BQ640" s="22"/>
      <c r="BR640" s="24"/>
    </row>
    <row r="641" spans="1:72">
      <c r="B641" s="5" t="s">
        <v>1792</v>
      </c>
      <c r="C641" s="44" t="str">
        <f t="shared" si="396"/>
        <v>ARDR_R&amp;D_EXPENSES_WITHIN_SGA</v>
      </c>
      <c r="D641" s="16" t="s">
        <v>289</v>
      </c>
      <c r="E641" s="16" t="s">
        <v>289</v>
      </c>
      <c r="F641" s="16" t="s">
        <v>289</v>
      </c>
      <c r="G641" s="16" t="s">
        <v>289</v>
      </c>
      <c r="H641" s="16" t="s">
        <v>289</v>
      </c>
      <c r="I641" s="16" t="s">
        <v>289</v>
      </c>
      <c r="J641" s="16" t="s">
        <v>289</v>
      </c>
      <c r="K641" s="16" t="s">
        <v>289</v>
      </c>
      <c r="L641" s="16" t="s">
        <v>289</v>
      </c>
      <c r="M641" s="16" t="s">
        <v>289</v>
      </c>
      <c r="N641" s="16" t="s">
        <v>289</v>
      </c>
      <c r="O641" s="16" t="s">
        <v>289</v>
      </c>
      <c r="P641" s="16" t="s">
        <v>289</v>
      </c>
      <c r="Q641" s="16" t="s">
        <v>289</v>
      </c>
      <c r="R641" s="16" t="s">
        <v>289</v>
      </c>
      <c r="S641" s="20" t="s">
        <v>289</v>
      </c>
      <c r="T641" s="20" t="s">
        <v>289</v>
      </c>
      <c r="U641" s="20" t="s">
        <v>289</v>
      </c>
      <c r="V641" s="20" t="s">
        <v>289</v>
      </c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Z641" s="5"/>
      <c r="BK641" s="22"/>
      <c r="BL641" s="23"/>
      <c r="BM641" s="22"/>
      <c r="BN641" s="22"/>
      <c r="BO641" s="22"/>
      <c r="BP641" s="22"/>
      <c r="BQ641" s="22"/>
      <c r="BR641" s="24"/>
    </row>
    <row r="642" spans="1:72">
      <c r="B642" s="5" t="s">
        <v>1793</v>
      </c>
      <c r="C642" s="44" t="str">
        <f t="shared" si="396"/>
        <v>ARDR_R_D_EXPENSES_COG</v>
      </c>
      <c r="D642" s="16" t="s">
        <v>289</v>
      </c>
      <c r="E642" s="16" t="s">
        <v>289</v>
      </c>
      <c r="F642" s="16" t="s">
        <v>289</v>
      </c>
      <c r="G642" s="16" t="s">
        <v>289</v>
      </c>
      <c r="H642" s="16" t="s">
        <v>289</v>
      </c>
      <c r="I642" s="16" t="s">
        <v>289</v>
      </c>
      <c r="J642" s="16" t="s">
        <v>289</v>
      </c>
      <c r="K642" s="16" t="s">
        <v>289</v>
      </c>
      <c r="L642" s="16" t="s">
        <v>289</v>
      </c>
      <c r="M642" s="16" t="s">
        <v>289</v>
      </c>
      <c r="N642" s="16" t="s">
        <v>289</v>
      </c>
      <c r="O642" s="16" t="s">
        <v>289</v>
      </c>
      <c r="P642" s="16" t="s">
        <v>289</v>
      </c>
      <c r="Q642" s="16" t="s">
        <v>289</v>
      </c>
      <c r="R642" s="16" t="s">
        <v>289</v>
      </c>
      <c r="S642" s="20" t="s">
        <v>289</v>
      </c>
      <c r="T642" s="20" t="s">
        <v>289</v>
      </c>
      <c r="U642" s="20" t="s">
        <v>289</v>
      </c>
      <c r="V642" s="20" t="s">
        <v>289</v>
      </c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Z642" s="5"/>
      <c r="BK642" s="22"/>
      <c r="BL642" s="23"/>
      <c r="BM642" s="22"/>
      <c r="BN642" s="22"/>
      <c r="BO642" s="22"/>
      <c r="BP642" s="22"/>
      <c r="BQ642" s="22"/>
      <c r="BR642" s="24"/>
    </row>
    <row r="643" spans="1:72">
      <c r="B643" s="5" t="s">
        <v>1794</v>
      </c>
      <c r="C643" s="44" t="str">
        <f t="shared" si="396"/>
        <v>ARDR_NON_GAAP_R&amp;D</v>
      </c>
      <c r="D643" s="16" t="s">
        <v>289</v>
      </c>
      <c r="E643" s="16" t="s">
        <v>289</v>
      </c>
      <c r="F643" s="16" t="s">
        <v>289</v>
      </c>
      <c r="G643" s="16" t="s">
        <v>289</v>
      </c>
      <c r="H643" s="16" t="s">
        <v>289</v>
      </c>
      <c r="I643" s="16" t="s">
        <v>289</v>
      </c>
      <c r="J643" s="16" t="s">
        <v>289</v>
      </c>
      <c r="K643" s="16" t="s">
        <v>289</v>
      </c>
      <c r="L643" s="16" t="s">
        <v>289</v>
      </c>
      <c r="M643" s="16" t="s">
        <v>289</v>
      </c>
      <c r="N643" s="16" t="s">
        <v>289</v>
      </c>
      <c r="O643" s="16" t="s">
        <v>289</v>
      </c>
      <c r="P643" s="16" t="s">
        <v>289</v>
      </c>
      <c r="Q643" s="16" t="s">
        <v>289</v>
      </c>
      <c r="R643" s="16" t="s">
        <v>289</v>
      </c>
      <c r="S643" s="20" t="s">
        <v>289</v>
      </c>
      <c r="T643" s="20" t="s">
        <v>289</v>
      </c>
      <c r="U643" s="20" t="s">
        <v>289</v>
      </c>
      <c r="V643" s="20" t="s">
        <v>289</v>
      </c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Z643" s="5"/>
      <c r="BK643" s="22"/>
      <c r="BL643" s="23"/>
      <c r="BM643" s="22"/>
      <c r="BN643" s="22"/>
      <c r="BO643" s="22"/>
      <c r="BP643" s="22"/>
      <c r="BQ643" s="22"/>
      <c r="BR643" s="24"/>
    </row>
    <row r="644" spans="1:72"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Z644" s="5"/>
      <c r="BK644" s="22"/>
      <c r="BL644" s="23"/>
      <c r="BM644" s="22"/>
      <c r="BN644" s="22"/>
      <c r="BO644" s="22"/>
      <c r="BP644" s="22"/>
      <c r="BQ644" s="22"/>
      <c r="BR644" s="24"/>
    </row>
    <row r="645" spans="1:72"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Z645" s="5"/>
      <c r="BK645" s="22"/>
      <c r="BL645" s="23"/>
      <c r="BM645" s="22"/>
      <c r="BN645" s="22"/>
      <c r="BO645" s="22"/>
      <c r="BP645" s="22"/>
      <c r="BQ645" s="22"/>
      <c r="BR645" s="24"/>
    </row>
    <row r="646" spans="1:72"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Z646" s="5"/>
      <c r="BK646" s="22"/>
      <c r="BL646" s="23"/>
      <c r="BM646" s="22"/>
      <c r="BN646" s="22"/>
      <c r="BO646" s="22"/>
      <c r="BP646" s="22"/>
      <c r="BQ646" s="22"/>
      <c r="BR646" s="24"/>
    </row>
    <row r="647" spans="1:72" s="33" customFormat="1">
      <c r="A647" s="5"/>
      <c r="B647" s="5" t="s">
        <v>180</v>
      </c>
      <c r="C647" s="5"/>
      <c r="D647" s="16" t="s">
        <v>289</v>
      </c>
      <c r="E647" s="16" t="s">
        <v>289</v>
      </c>
      <c r="F647" s="16" t="s">
        <v>289</v>
      </c>
      <c r="G647" s="16" t="s">
        <v>289</v>
      </c>
      <c r="H647" s="16" t="s">
        <v>289</v>
      </c>
      <c r="I647" s="16" t="s">
        <v>289</v>
      </c>
      <c r="J647" s="16" t="s">
        <v>289</v>
      </c>
      <c r="K647" s="16" t="s">
        <v>289</v>
      </c>
      <c r="L647" s="16" t="s">
        <v>289</v>
      </c>
      <c r="M647" s="16" t="s">
        <v>289</v>
      </c>
      <c r="N647" s="16" t="s">
        <v>289</v>
      </c>
      <c r="O647" s="16" t="s">
        <v>289</v>
      </c>
      <c r="P647" s="16" t="s">
        <v>289</v>
      </c>
      <c r="Q647" s="16" t="s">
        <v>289</v>
      </c>
      <c r="R647" s="16" t="s">
        <v>289</v>
      </c>
      <c r="S647" s="16" t="s">
        <v>289</v>
      </c>
      <c r="T647" s="16" t="s">
        <v>289</v>
      </c>
      <c r="U647" s="16" t="s">
        <v>289</v>
      </c>
      <c r="V647" s="16" t="s">
        <v>289</v>
      </c>
      <c r="W647" s="16"/>
      <c r="X647" s="16"/>
      <c r="Y647" s="16"/>
      <c r="Z647" s="16"/>
      <c r="AA647" s="16"/>
      <c r="AB647" s="25"/>
      <c r="AC647" s="25"/>
      <c r="AD647" s="24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16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22"/>
      <c r="BL647" s="23"/>
      <c r="BM647" s="22"/>
      <c r="BN647" s="22"/>
      <c r="BO647" s="22"/>
      <c r="BP647" s="22"/>
      <c r="BQ647" s="22"/>
      <c r="BR647" s="42"/>
      <c r="BS647" s="5"/>
      <c r="BT647" s="5"/>
    </row>
    <row r="648" spans="1:72">
      <c r="AD648" s="24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Z648" s="5"/>
      <c r="BJ648" s="24"/>
      <c r="BK648" s="22"/>
      <c r="BL648" s="23"/>
      <c r="BM648" s="22"/>
      <c r="BN648" s="22"/>
      <c r="BO648" s="22"/>
      <c r="BP648" s="22"/>
      <c r="BQ648" s="22"/>
      <c r="BR648" s="24"/>
    </row>
    <row r="649" spans="1:72">
      <c r="B649" s="5" t="s">
        <v>182</v>
      </c>
      <c r="D649" s="16" t="s">
        <v>289</v>
      </c>
      <c r="E649" s="16" t="s">
        <v>289</v>
      </c>
      <c r="F649" s="16" t="s">
        <v>289</v>
      </c>
      <c r="G649" s="16" t="s">
        <v>289</v>
      </c>
      <c r="H649" s="16" t="s">
        <v>289</v>
      </c>
      <c r="I649" s="16" t="s">
        <v>289</v>
      </c>
      <c r="J649" s="16" t="s">
        <v>289</v>
      </c>
      <c r="K649" s="16" t="s">
        <v>289</v>
      </c>
      <c r="L649" s="16" t="s">
        <v>289</v>
      </c>
      <c r="M649" s="16" t="s">
        <v>289</v>
      </c>
      <c r="N649" s="16" t="s">
        <v>289</v>
      </c>
      <c r="O649" s="16" t="s">
        <v>289</v>
      </c>
      <c r="P649" s="16" t="s">
        <v>289</v>
      </c>
      <c r="Q649" s="16" t="s">
        <v>289</v>
      </c>
      <c r="R649" s="16" t="s">
        <v>289</v>
      </c>
      <c r="S649" s="16" t="s">
        <v>289</v>
      </c>
      <c r="T649" s="16" t="s">
        <v>289</v>
      </c>
      <c r="U649" s="16" t="s">
        <v>289</v>
      </c>
      <c r="V649" s="16" t="s">
        <v>289</v>
      </c>
      <c r="W649" s="16"/>
      <c r="X649" s="16"/>
      <c r="Y649" s="16"/>
      <c r="Z649" s="16"/>
      <c r="AA649" s="16"/>
      <c r="AB649" s="25"/>
      <c r="AC649" s="25"/>
      <c r="AD649" s="24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16"/>
      <c r="AZ649" s="5"/>
      <c r="BK649" s="22"/>
      <c r="BL649" s="23"/>
      <c r="BM649" s="22"/>
      <c r="BN649" s="22"/>
      <c r="BO649" s="22"/>
      <c r="BP649" s="22"/>
      <c r="BQ649" s="22"/>
      <c r="BR649" s="24"/>
    </row>
    <row r="650" spans="1:72">
      <c r="B650" s="5" t="s">
        <v>183</v>
      </c>
      <c r="D650" s="16" t="s">
        <v>289</v>
      </c>
      <c r="E650" s="16" t="s">
        <v>289</v>
      </c>
      <c r="F650" s="16" t="s">
        <v>289</v>
      </c>
      <c r="G650" s="16" t="s">
        <v>289</v>
      </c>
      <c r="H650" s="16" t="s">
        <v>289</v>
      </c>
      <c r="I650" s="16" t="s">
        <v>289</v>
      </c>
      <c r="J650" s="16" t="s">
        <v>289</v>
      </c>
      <c r="K650" s="16" t="s">
        <v>289</v>
      </c>
      <c r="L650" s="16" t="s">
        <v>289</v>
      </c>
      <c r="M650" s="16" t="s">
        <v>289</v>
      </c>
      <c r="N650" s="16" t="s">
        <v>289</v>
      </c>
      <c r="O650" s="16" t="s">
        <v>289</v>
      </c>
      <c r="P650" s="16" t="s">
        <v>289</v>
      </c>
      <c r="Q650" s="16" t="s">
        <v>289</v>
      </c>
      <c r="R650" s="16" t="s">
        <v>289</v>
      </c>
      <c r="S650" s="16" t="s">
        <v>289</v>
      </c>
      <c r="T650" s="16" t="s">
        <v>289</v>
      </c>
      <c r="U650" s="16" t="s">
        <v>289</v>
      </c>
      <c r="V650" s="16" t="s">
        <v>289</v>
      </c>
      <c r="W650" s="16"/>
      <c r="X650" s="16"/>
      <c r="Y650" s="16"/>
      <c r="Z650" s="16"/>
      <c r="AA650" s="16"/>
      <c r="AB650" s="25"/>
      <c r="AC650" s="25"/>
      <c r="AD650" s="24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16"/>
      <c r="AZ650" s="5"/>
      <c r="BK650" s="22"/>
      <c r="BL650" s="23"/>
      <c r="BM650" s="22"/>
      <c r="BN650" s="22"/>
      <c r="BO650" s="22"/>
      <c r="BP650" s="22"/>
      <c r="BQ650" s="22"/>
      <c r="BR650" s="24"/>
    </row>
    <row r="651" spans="1:72">
      <c r="B651" s="5" t="s">
        <v>184</v>
      </c>
      <c r="D651" s="16" t="s">
        <v>289</v>
      </c>
      <c r="E651" s="16" t="s">
        <v>289</v>
      </c>
      <c r="F651" s="16" t="s">
        <v>289</v>
      </c>
      <c r="G651" s="16" t="s">
        <v>289</v>
      </c>
      <c r="H651" s="16" t="s">
        <v>289</v>
      </c>
      <c r="I651" s="16" t="s">
        <v>289</v>
      </c>
      <c r="J651" s="16" t="s">
        <v>289</v>
      </c>
      <c r="K651" s="16" t="s">
        <v>289</v>
      </c>
      <c r="L651" s="16" t="s">
        <v>289</v>
      </c>
      <c r="M651" s="16" t="s">
        <v>289</v>
      </c>
      <c r="N651" s="16" t="s">
        <v>289</v>
      </c>
      <c r="O651" s="16" t="s">
        <v>289</v>
      </c>
      <c r="P651" s="16" t="s">
        <v>289</v>
      </c>
      <c r="Q651" s="16" t="s">
        <v>289</v>
      </c>
      <c r="R651" s="16" t="s">
        <v>289</v>
      </c>
      <c r="S651" s="16" t="s">
        <v>289</v>
      </c>
      <c r="T651" s="16" t="s">
        <v>289</v>
      </c>
      <c r="U651" s="16" t="s">
        <v>289</v>
      </c>
      <c r="V651" s="16" t="s">
        <v>289</v>
      </c>
      <c r="W651" s="16"/>
      <c r="X651" s="16"/>
      <c r="Y651" s="16"/>
      <c r="Z651" s="16"/>
      <c r="AA651" s="16"/>
      <c r="AB651" s="25"/>
      <c r="AC651" s="2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16"/>
      <c r="AZ651" s="5"/>
      <c r="BK651" s="22"/>
      <c r="BL651" s="23"/>
      <c r="BM651" s="22"/>
      <c r="BN651" s="22"/>
      <c r="BO651" s="22"/>
      <c r="BP651" s="22"/>
      <c r="BQ651" s="22"/>
      <c r="BR651" s="24"/>
    </row>
    <row r="652" spans="1:72"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Z652" s="5"/>
      <c r="BK652" s="22"/>
      <c r="BL652" s="23"/>
      <c r="BM652" s="22"/>
      <c r="BN652" s="22"/>
      <c r="BO652" s="22"/>
      <c r="BP652" s="22"/>
      <c r="BQ652" s="22"/>
      <c r="BR652" s="24"/>
    </row>
    <row r="653" spans="1:72"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25"/>
      <c r="AZ653" s="5"/>
      <c r="BK653" s="22"/>
      <c r="BL653" s="23"/>
      <c r="BM653" s="22"/>
      <c r="BN653" s="22"/>
      <c r="BO653" s="22"/>
      <c r="BP653" s="22"/>
      <c r="BQ653" s="22"/>
      <c r="BR653" s="24"/>
    </row>
    <row r="654" spans="1:72">
      <c r="B654" s="5" t="s">
        <v>185</v>
      </c>
      <c r="D654" s="16" t="s">
        <v>289</v>
      </c>
      <c r="E654" s="16" t="s">
        <v>289</v>
      </c>
      <c r="F654" s="16" t="s">
        <v>289</v>
      </c>
      <c r="G654" s="16" t="s">
        <v>289</v>
      </c>
      <c r="H654" s="16" t="s">
        <v>289</v>
      </c>
      <c r="I654" s="16" t="s">
        <v>289</v>
      </c>
      <c r="J654" s="16" t="s">
        <v>289</v>
      </c>
      <c r="K654" s="16" t="s">
        <v>289</v>
      </c>
      <c r="L654" s="16" t="s">
        <v>289</v>
      </c>
      <c r="M654" s="16" t="s">
        <v>289</v>
      </c>
      <c r="N654" s="16" t="s">
        <v>289</v>
      </c>
      <c r="O654" s="16" t="s">
        <v>289</v>
      </c>
      <c r="P654" s="16" t="s">
        <v>289</v>
      </c>
      <c r="Q654" s="16" t="s">
        <v>289</v>
      </c>
      <c r="R654" s="16" t="s">
        <v>289</v>
      </c>
      <c r="S654" s="16" t="s">
        <v>289</v>
      </c>
      <c r="T654" s="16" t="s">
        <v>289</v>
      </c>
      <c r="U654" s="16" t="s">
        <v>289</v>
      </c>
      <c r="V654" s="16" t="s">
        <v>289</v>
      </c>
      <c r="W654" s="16"/>
      <c r="X654" s="16"/>
      <c r="Y654" s="16"/>
      <c r="Z654" s="16"/>
      <c r="AA654" s="16"/>
      <c r="AB654" s="25"/>
      <c r="AC654" s="2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16"/>
      <c r="AZ654" s="5"/>
      <c r="BK654" s="25"/>
      <c r="BL654" s="25"/>
      <c r="BM654" s="25"/>
      <c r="BN654" s="25"/>
      <c r="BO654" s="25"/>
      <c r="BP654" s="25"/>
      <c r="BQ654" s="25"/>
      <c r="BR654" s="24"/>
    </row>
    <row r="655" spans="1:72">
      <c r="B655" s="5" t="s">
        <v>186</v>
      </c>
      <c r="D655" s="16">
        <v>7422</v>
      </c>
      <c r="E655" s="16" t="s">
        <v>289</v>
      </c>
      <c r="F655" s="16" t="s">
        <v>289</v>
      </c>
      <c r="G655" s="16" t="s">
        <v>289</v>
      </c>
      <c r="H655" s="16" t="s">
        <v>289</v>
      </c>
      <c r="I655" s="16" t="s">
        <v>289</v>
      </c>
      <c r="J655" s="16" t="s">
        <v>289</v>
      </c>
      <c r="K655" s="16" t="s">
        <v>289</v>
      </c>
      <c r="L655" s="16" t="s">
        <v>289</v>
      </c>
      <c r="M655" s="16" t="s">
        <v>289</v>
      </c>
      <c r="N655" s="16" t="s">
        <v>289</v>
      </c>
      <c r="O655" s="16" t="s">
        <v>289</v>
      </c>
      <c r="P655" s="16" t="s">
        <v>289</v>
      </c>
      <c r="Q655" s="16" t="s">
        <v>289</v>
      </c>
      <c r="R655" s="16" t="s">
        <v>289</v>
      </c>
      <c r="S655" s="16">
        <v>24439</v>
      </c>
      <c r="T655" s="16">
        <v>27070</v>
      </c>
      <c r="U655" s="16">
        <v>27473</v>
      </c>
      <c r="V655" s="16" t="s">
        <v>289</v>
      </c>
      <c r="W655" s="16"/>
      <c r="X655" s="16"/>
      <c r="Y655" s="16"/>
      <c r="Z655" s="16"/>
      <c r="AA655" s="16"/>
      <c r="AB655" s="25"/>
      <c r="AC655" s="2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16"/>
      <c r="AZ655" s="5"/>
      <c r="BK655" s="22"/>
      <c r="BL655" s="23"/>
      <c r="BM655" s="22"/>
      <c r="BN655" s="22"/>
      <c r="BO655" s="22"/>
      <c r="BP655" s="22"/>
      <c r="BQ655" s="22"/>
      <c r="BR655" s="24"/>
    </row>
    <row r="656" spans="1:72">
      <c r="B656" s="5" t="s">
        <v>187</v>
      </c>
      <c r="D656" s="16" t="s">
        <v>289</v>
      </c>
      <c r="E656" s="16" t="s">
        <v>289</v>
      </c>
      <c r="F656" s="16" t="s">
        <v>289</v>
      </c>
      <c r="G656" s="16" t="s">
        <v>289</v>
      </c>
      <c r="H656" s="16" t="s">
        <v>289</v>
      </c>
      <c r="I656" s="16" t="s">
        <v>289</v>
      </c>
      <c r="J656" s="16" t="s">
        <v>289</v>
      </c>
      <c r="K656" s="16" t="s">
        <v>289</v>
      </c>
      <c r="L656" s="16" t="s">
        <v>289</v>
      </c>
      <c r="M656" s="16" t="s">
        <v>289</v>
      </c>
      <c r="N656" s="16" t="s">
        <v>289</v>
      </c>
      <c r="O656" s="16" t="s">
        <v>289</v>
      </c>
      <c r="P656" s="16" t="s">
        <v>289</v>
      </c>
      <c r="Q656" s="16" t="s">
        <v>289</v>
      </c>
      <c r="R656" s="16" t="s">
        <v>289</v>
      </c>
      <c r="S656" s="16" t="s">
        <v>289</v>
      </c>
      <c r="T656" s="16" t="s">
        <v>289</v>
      </c>
      <c r="U656" s="16" t="s">
        <v>289</v>
      </c>
      <c r="V656" s="16" t="s">
        <v>289</v>
      </c>
      <c r="W656" s="16"/>
      <c r="X656" s="16"/>
      <c r="Y656" s="16"/>
      <c r="Z656" s="16"/>
      <c r="AA656" s="16"/>
      <c r="AB656" s="25"/>
      <c r="AC656" s="2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16"/>
      <c r="AZ656" s="5"/>
      <c r="BK656" s="22"/>
      <c r="BL656" s="23"/>
      <c r="BM656" s="22"/>
      <c r="BN656" s="22"/>
      <c r="BO656" s="22"/>
      <c r="BP656" s="22"/>
      <c r="BQ656" s="22"/>
      <c r="BR656" s="24"/>
    </row>
    <row r="657" spans="1:72">
      <c r="B657" s="5" t="s">
        <v>188</v>
      </c>
      <c r="D657" s="16" t="s">
        <v>289</v>
      </c>
      <c r="E657" s="16" t="s">
        <v>289</v>
      </c>
      <c r="F657" s="16" t="s">
        <v>289</v>
      </c>
      <c r="G657" s="16" t="s">
        <v>289</v>
      </c>
      <c r="H657" s="16" t="s">
        <v>289</v>
      </c>
      <c r="I657" s="16" t="s">
        <v>289</v>
      </c>
      <c r="J657" s="16" t="s">
        <v>289</v>
      </c>
      <c r="K657" s="16" t="s">
        <v>289</v>
      </c>
      <c r="L657" s="16" t="s">
        <v>289</v>
      </c>
      <c r="M657" s="16" t="s">
        <v>289</v>
      </c>
      <c r="N657" s="16" t="s">
        <v>289</v>
      </c>
      <c r="O657" s="16" t="s">
        <v>289</v>
      </c>
      <c r="P657" s="16" t="s">
        <v>289</v>
      </c>
      <c r="Q657" s="16" t="s">
        <v>289</v>
      </c>
      <c r="R657" s="16" t="s">
        <v>289</v>
      </c>
      <c r="S657" s="16" t="s">
        <v>289</v>
      </c>
      <c r="T657" s="16" t="s">
        <v>289</v>
      </c>
      <c r="U657" s="16" t="s">
        <v>289</v>
      </c>
      <c r="V657" s="16" t="s">
        <v>289</v>
      </c>
      <c r="W657" s="16"/>
      <c r="X657" s="16"/>
      <c r="Y657" s="16"/>
      <c r="Z657" s="16"/>
      <c r="AA657" s="16"/>
      <c r="AB657" s="25"/>
      <c r="AC657" s="2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16"/>
      <c r="AZ657" s="5"/>
      <c r="BK657" s="22"/>
      <c r="BL657" s="23"/>
      <c r="BM657" s="22"/>
      <c r="BN657" s="22"/>
      <c r="BO657" s="22"/>
      <c r="BP657" s="22"/>
      <c r="BQ657" s="22"/>
      <c r="BR657" s="24"/>
    </row>
    <row r="658" spans="1:72">
      <c r="B658" s="5" t="s">
        <v>189</v>
      </c>
      <c r="D658" s="16" t="s">
        <v>289</v>
      </c>
      <c r="E658" s="16" t="s">
        <v>289</v>
      </c>
      <c r="F658" s="16" t="s">
        <v>289</v>
      </c>
      <c r="G658" s="16" t="s">
        <v>289</v>
      </c>
      <c r="H658" s="16" t="s">
        <v>289</v>
      </c>
      <c r="I658" s="16" t="s">
        <v>289</v>
      </c>
      <c r="J658" s="16" t="s">
        <v>289</v>
      </c>
      <c r="K658" s="16" t="s">
        <v>289</v>
      </c>
      <c r="L658" s="16" t="s">
        <v>289</v>
      </c>
      <c r="M658" s="16" t="s">
        <v>289</v>
      </c>
      <c r="N658" s="16" t="s">
        <v>289</v>
      </c>
      <c r="O658" s="16" t="s">
        <v>289</v>
      </c>
      <c r="P658" s="16" t="s">
        <v>289</v>
      </c>
      <c r="Q658" s="16" t="s">
        <v>289</v>
      </c>
      <c r="R658" s="16" t="s">
        <v>289</v>
      </c>
      <c r="S658" s="16" t="s">
        <v>289</v>
      </c>
      <c r="T658" s="16" t="s">
        <v>289</v>
      </c>
      <c r="U658" s="16" t="s">
        <v>289</v>
      </c>
      <c r="V658" s="16" t="s">
        <v>289</v>
      </c>
      <c r="W658" s="16"/>
      <c r="X658" s="16"/>
      <c r="Y658" s="16"/>
      <c r="Z658" s="16"/>
      <c r="AA658" s="16"/>
      <c r="AB658" s="25"/>
      <c r="AC658" s="2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16"/>
      <c r="AZ658" s="5"/>
      <c r="BK658" s="22"/>
      <c r="BL658" s="23"/>
      <c r="BM658" s="22"/>
      <c r="BN658" s="22"/>
      <c r="BO658" s="22"/>
      <c r="BP658" s="22"/>
      <c r="BQ658" s="22"/>
      <c r="BR658" s="24"/>
      <c r="BT658" s="33"/>
    </row>
    <row r="659" spans="1:72"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Z659" s="5"/>
      <c r="BK659" s="22"/>
      <c r="BL659" s="23"/>
      <c r="BM659" s="22"/>
      <c r="BN659" s="22"/>
      <c r="BO659" s="22"/>
      <c r="BP659" s="22"/>
      <c r="BQ659" s="22"/>
      <c r="BR659" s="24"/>
      <c r="BT659" s="33"/>
    </row>
    <row r="660" spans="1:72">
      <c r="B660" s="5" t="s">
        <v>190</v>
      </c>
      <c r="D660" s="16">
        <v>0</v>
      </c>
      <c r="E660" s="16">
        <v>0</v>
      </c>
      <c r="F660" s="16">
        <v>0</v>
      </c>
      <c r="G660" s="16" t="s">
        <v>289</v>
      </c>
      <c r="H660" s="16" t="s">
        <v>289</v>
      </c>
      <c r="I660" s="16" t="s">
        <v>289</v>
      </c>
      <c r="J660" s="16" t="s">
        <v>289</v>
      </c>
      <c r="K660" s="16" t="s">
        <v>289</v>
      </c>
      <c r="L660" s="16" t="s">
        <v>289</v>
      </c>
      <c r="M660" s="16" t="s">
        <v>289</v>
      </c>
      <c r="N660" s="16" t="s">
        <v>289</v>
      </c>
      <c r="O660" s="16" t="s">
        <v>289</v>
      </c>
      <c r="P660" s="16" t="s">
        <v>289</v>
      </c>
      <c r="Q660" s="16" t="s">
        <v>289</v>
      </c>
      <c r="R660" s="16" t="s">
        <v>289</v>
      </c>
      <c r="S660" s="16" t="s">
        <v>289</v>
      </c>
      <c r="T660" s="16" t="s">
        <v>289</v>
      </c>
      <c r="U660" s="16" t="s">
        <v>289</v>
      </c>
      <c r="V660" s="16" t="s">
        <v>289</v>
      </c>
      <c r="W660" s="16"/>
      <c r="X660" s="16"/>
      <c r="Y660" s="16"/>
      <c r="Z660" s="16"/>
      <c r="AA660" s="16"/>
      <c r="AB660" s="25"/>
      <c r="AC660" s="2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16"/>
      <c r="AZ660" s="5"/>
      <c r="BJ660" s="24"/>
      <c r="BK660" s="22"/>
      <c r="BL660" s="23"/>
      <c r="BM660" s="22"/>
      <c r="BN660" s="22"/>
      <c r="BO660" s="22"/>
      <c r="BP660" s="22"/>
      <c r="BQ660" s="22"/>
      <c r="BR660" s="24"/>
      <c r="BT660" s="33"/>
    </row>
    <row r="661" spans="1:72" s="33" customFormat="1">
      <c r="A661" s="5"/>
      <c r="B661" s="5" t="s">
        <v>191</v>
      </c>
      <c r="C661" s="5"/>
      <c r="D661" s="16" t="s">
        <v>289</v>
      </c>
      <c r="E661" s="16" t="s">
        <v>289</v>
      </c>
      <c r="F661" s="16" t="s">
        <v>289</v>
      </c>
      <c r="G661" s="16" t="s">
        <v>289</v>
      </c>
      <c r="H661" s="16" t="s">
        <v>289</v>
      </c>
      <c r="I661" s="16" t="s">
        <v>289</v>
      </c>
      <c r="J661" s="16" t="s">
        <v>289</v>
      </c>
      <c r="K661" s="16" t="s">
        <v>289</v>
      </c>
      <c r="L661" s="16" t="s">
        <v>289</v>
      </c>
      <c r="M661" s="16" t="s">
        <v>289</v>
      </c>
      <c r="N661" s="16" t="s">
        <v>289</v>
      </c>
      <c r="O661" s="16" t="s">
        <v>289</v>
      </c>
      <c r="P661" s="16" t="s">
        <v>289</v>
      </c>
      <c r="Q661" s="16" t="s">
        <v>289</v>
      </c>
      <c r="R661" s="16" t="s">
        <v>289</v>
      </c>
      <c r="S661" s="16" t="s">
        <v>289</v>
      </c>
      <c r="T661" s="16" t="s">
        <v>289</v>
      </c>
      <c r="U661" s="16" t="s">
        <v>289</v>
      </c>
      <c r="V661" s="16" t="s">
        <v>289</v>
      </c>
      <c r="W661" s="16"/>
      <c r="X661" s="16"/>
      <c r="Y661" s="16"/>
      <c r="Z661" s="16"/>
      <c r="AA661" s="16"/>
      <c r="AB661" s="25"/>
      <c r="AC661" s="2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16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24"/>
      <c r="BK661" s="22"/>
      <c r="BL661" s="23"/>
      <c r="BM661" s="22"/>
      <c r="BN661" s="22"/>
      <c r="BO661" s="22"/>
      <c r="BP661" s="22"/>
      <c r="BQ661" s="22"/>
      <c r="BR661" s="24"/>
      <c r="BS661" s="5"/>
    </row>
    <row r="662" spans="1:72" s="33" customFormat="1">
      <c r="A662" s="5"/>
      <c r="B662" s="5" t="s">
        <v>192</v>
      </c>
      <c r="C662" s="5"/>
      <c r="D662" s="16" t="s">
        <v>289</v>
      </c>
      <c r="E662" s="16" t="s">
        <v>289</v>
      </c>
      <c r="F662" s="16" t="s">
        <v>289</v>
      </c>
      <c r="G662" s="16" t="s">
        <v>289</v>
      </c>
      <c r="H662" s="16" t="s">
        <v>289</v>
      </c>
      <c r="I662" s="16" t="s">
        <v>289</v>
      </c>
      <c r="J662" s="16" t="s">
        <v>289</v>
      </c>
      <c r="K662" s="16" t="s">
        <v>289</v>
      </c>
      <c r="L662" s="16" t="s">
        <v>289</v>
      </c>
      <c r="M662" s="16" t="s">
        <v>289</v>
      </c>
      <c r="N662" s="16" t="s">
        <v>289</v>
      </c>
      <c r="O662" s="16" t="s">
        <v>289</v>
      </c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25"/>
      <c r="AC662" s="2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16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24"/>
      <c r="BK662" s="22"/>
      <c r="BL662" s="23"/>
      <c r="BM662" s="22"/>
      <c r="BN662" s="22"/>
      <c r="BO662" s="22"/>
      <c r="BP662" s="22"/>
      <c r="BQ662" s="22"/>
      <c r="BR662" s="24"/>
      <c r="BS662" s="5"/>
    </row>
    <row r="663" spans="1:72" s="33" customFormat="1">
      <c r="A663" s="5"/>
      <c r="B663" s="5" t="s">
        <v>193</v>
      </c>
      <c r="C663" s="5"/>
      <c r="D663" s="16" t="s">
        <v>289</v>
      </c>
      <c r="E663" s="16" t="s">
        <v>289</v>
      </c>
      <c r="F663" s="16" t="s">
        <v>289</v>
      </c>
      <c r="G663" s="16" t="s">
        <v>289</v>
      </c>
      <c r="H663" s="16" t="s">
        <v>289</v>
      </c>
      <c r="I663" s="16" t="s">
        <v>289</v>
      </c>
      <c r="J663" s="16" t="s">
        <v>289</v>
      </c>
      <c r="K663" s="16" t="s">
        <v>289</v>
      </c>
      <c r="L663" s="16" t="s">
        <v>289</v>
      </c>
      <c r="M663" s="16" t="s">
        <v>289</v>
      </c>
      <c r="N663" s="16" t="s">
        <v>289</v>
      </c>
      <c r="O663" s="16" t="s">
        <v>289</v>
      </c>
      <c r="P663" s="16" t="s">
        <v>289</v>
      </c>
      <c r="Q663" s="16" t="s">
        <v>289</v>
      </c>
      <c r="R663" s="16" t="s">
        <v>289</v>
      </c>
      <c r="S663" s="16" t="s">
        <v>289</v>
      </c>
      <c r="T663" s="16" t="s">
        <v>289</v>
      </c>
      <c r="U663" s="16" t="s">
        <v>289</v>
      </c>
      <c r="V663" s="16" t="s">
        <v>289</v>
      </c>
      <c r="W663" s="16"/>
      <c r="X663" s="16"/>
      <c r="Y663" s="16"/>
      <c r="Z663" s="16"/>
      <c r="AA663" s="16"/>
      <c r="AB663" s="25"/>
      <c r="AC663" s="2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16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24"/>
      <c r="BK663" s="22"/>
      <c r="BL663" s="23"/>
      <c r="BM663" s="22"/>
      <c r="BN663" s="22"/>
      <c r="BO663" s="22"/>
      <c r="BP663" s="22"/>
      <c r="BQ663" s="22"/>
      <c r="BR663" s="24"/>
      <c r="BS663" s="5"/>
    </row>
    <row r="664" spans="1:72" s="33" customFormat="1">
      <c r="A664" s="5"/>
      <c r="B664" s="5" t="s">
        <v>194</v>
      </c>
      <c r="C664" s="5"/>
      <c r="D664" s="16" t="s">
        <v>289</v>
      </c>
      <c r="E664" s="16" t="s">
        <v>289</v>
      </c>
      <c r="F664" s="16" t="s">
        <v>289</v>
      </c>
      <c r="G664" s="16" t="s">
        <v>289</v>
      </c>
      <c r="H664" s="16" t="s">
        <v>289</v>
      </c>
      <c r="I664" s="16" t="s">
        <v>289</v>
      </c>
      <c r="J664" s="16" t="s">
        <v>289</v>
      </c>
      <c r="K664" s="16" t="s">
        <v>289</v>
      </c>
      <c r="L664" s="16" t="s">
        <v>289</v>
      </c>
      <c r="M664" s="16" t="s">
        <v>289</v>
      </c>
      <c r="N664" s="16" t="s">
        <v>289</v>
      </c>
      <c r="O664" s="16" t="s">
        <v>289</v>
      </c>
      <c r="P664" s="16" t="s">
        <v>289</v>
      </c>
      <c r="Q664" s="16" t="s">
        <v>289</v>
      </c>
      <c r="R664" s="16" t="s">
        <v>289</v>
      </c>
      <c r="S664" s="16" t="s">
        <v>289</v>
      </c>
      <c r="T664" s="16" t="s">
        <v>289</v>
      </c>
      <c r="U664" s="16" t="s">
        <v>289</v>
      </c>
      <c r="V664" s="16" t="s">
        <v>289</v>
      </c>
      <c r="W664" s="16"/>
      <c r="X664" s="16"/>
      <c r="Y664" s="16"/>
      <c r="Z664" s="16"/>
      <c r="AA664" s="16"/>
      <c r="AB664" s="25"/>
      <c r="AC664" s="2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16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24"/>
      <c r="BK664" s="22"/>
      <c r="BL664" s="23"/>
      <c r="BM664" s="22"/>
      <c r="BN664" s="22"/>
      <c r="BO664" s="22"/>
      <c r="BP664" s="22"/>
      <c r="BQ664" s="22"/>
      <c r="BR664" s="24"/>
      <c r="BS664" s="5"/>
      <c r="BT664" s="5"/>
    </row>
    <row r="665" spans="1:72" s="33" customFormat="1">
      <c r="A665" s="5"/>
      <c r="B665" s="5" t="s">
        <v>195</v>
      </c>
      <c r="C665" s="5"/>
      <c r="D665" s="16" t="s">
        <v>289</v>
      </c>
      <c r="E665" s="16" t="s">
        <v>289</v>
      </c>
      <c r="F665" s="16" t="s">
        <v>289</v>
      </c>
      <c r="G665" s="16" t="s">
        <v>289</v>
      </c>
      <c r="H665" s="16" t="s">
        <v>289</v>
      </c>
      <c r="I665" s="16" t="s">
        <v>289</v>
      </c>
      <c r="J665" s="16" t="s">
        <v>289</v>
      </c>
      <c r="K665" s="16" t="s">
        <v>289</v>
      </c>
      <c r="L665" s="16" t="s">
        <v>289</v>
      </c>
      <c r="M665" s="16" t="s">
        <v>289</v>
      </c>
      <c r="N665" s="16" t="s">
        <v>289</v>
      </c>
      <c r="O665" s="16" t="s">
        <v>289</v>
      </c>
      <c r="P665" s="16" t="s">
        <v>289</v>
      </c>
      <c r="Q665" s="16" t="s">
        <v>289</v>
      </c>
      <c r="R665" s="16" t="s">
        <v>289</v>
      </c>
      <c r="S665" s="16" t="s">
        <v>289</v>
      </c>
      <c r="T665" s="16" t="s">
        <v>289</v>
      </c>
      <c r="U665" s="16" t="s">
        <v>289</v>
      </c>
      <c r="V665" s="16" t="s">
        <v>289</v>
      </c>
      <c r="W665" s="16"/>
      <c r="X665" s="16"/>
      <c r="Y665" s="16"/>
      <c r="Z665" s="16"/>
      <c r="AA665" s="16"/>
      <c r="AB665" s="25"/>
      <c r="AC665" s="2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16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22"/>
      <c r="BL665" s="23"/>
      <c r="BM665" s="22"/>
      <c r="BN665" s="22"/>
      <c r="BO665" s="22"/>
      <c r="BP665" s="22"/>
      <c r="BQ665" s="22"/>
      <c r="BR665" s="24"/>
      <c r="BS665" s="5"/>
      <c r="BT665" s="5"/>
    </row>
    <row r="666" spans="1:72" s="33" customFormat="1">
      <c r="A666" s="5"/>
      <c r="B666" s="5" t="s">
        <v>196</v>
      </c>
      <c r="C666" s="5"/>
      <c r="D666" s="16" t="s">
        <v>289</v>
      </c>
      <c r="E666" s="16" t="s">
        <v>289</v>
      </c>
      <c r="F666" s="16" t="s">
        <v>289</v>
      </c>
      <c r="G666" s="16" t="s">
        <v>289</v>
      </c>
      <c r="H666" s="16" t="s">
        <v>289</v>
      </c>
      <c r="I666" s="16" t="s">
        <v>289</v>
      </c>
      <c r="J666" s="16" t="s">
        <v>289</v>
      </c>
      <c r="K666" s="16" t="s">
        <v>289</v>
      </c>
      <c r="L666" s="16" t="s">
        <v>289</v>
      </c>
      <c r="M666" s="16" t="s">
        <v>289</v>
      </c>
      <c r="N666" s="16" t="s">
        <v>289</v>
      </c>
      <c r="O666" s="16" t="s">
        <v>289</v>
      </c>
      <c r="P666" s="16" t="s">
        <v>289</v>
      </c>
      <c r="Q666" s="16" t="s">
        <v>289</v>
      </c>
      <c r="R666" s="16" t="s">
        <v>289</v>
      </c>
      <c r="S666" s="16" t="s">
        <v>289</v>
      </c>
      <c r="T666" s="16" t="s">
        <v>289</v>
      </c>
      <c r="U666" s="16" t="s">
        <v>289</v>
      </c>
      <c r="V666" s="16" t="s">
        <v>289</v>
      </c>
      <c r="W666" s="16"/>
      <c r="X666" s="16"/>
      <c r="Y666" s="16"/>
      <c r="Z666" s="16"/>
      <c r="AA666" s="16"/>
      <c r="AB666" s="25"/>
      <c r="AC666" s="2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16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22"/>
      <c r="BL666" s="23"/>
      <c r="BM666" s="22"/>
      <c r="BN666" s="22"/>
      <c r="BO666" s="22"/>
      <c r="BP666" s="22"/>
      <c r="BQ666" s="22"/>
      <c r="BR666" s="24"/>
      <c r="BS666" s="5"/>
      <c r="BT666" s="5"/>
    </row>
    <row r="667" spans="1:72" s="33" customFormat="1">
      <c r="A667" s="5"/>
      <c r="B667" s="5"/>
      <c r="C667" s="5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20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22"/>
      <c r="BL667" s="23"/>
      <c r="BM667" s="22"/>
      <c r="BN667" s="22"/>
      <c r="BO667" s="22"/>
      <c r="BP667" s="22"/>
      <c r="BQ667" s="22"/>
      <c r="BR667" s="24"/>
      <c r="BS667" s="5"/>
      <c r="BT667" s="5"/>
    </row>
    <row r="668" spans="1:72" s="33" customFormat="1">
      <c r="A668" s="5"/>
      <c r="B668" s="5"/>
      <c r="C668" s="5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20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22"/>
      <c r="BL668" s="23"/>
      <c r="BM668" s="22"/>
      <c r="BN668" s="22"/>
      <c r="BO668" s="22"/>
      <c r="BP668" s="22"/>
      <c r="BQ668" s="22"/>
      <c r="BR668" s="24"/>
      <c r="BS668" s="5"/>
      <c r="BT668" s="5"/>
    </row>
    <row r="669" spans="1:72" s="33" customFormat="1">
      <c r="A669" s="5"/>
      <c r="B669" s="5" t="s">
        <v>197</v>
      </c>
      <c r="C669" s="5"/>
      <c r="D669" s="16" t="s">
        <v>289</v>
      </c>
      <c r="E669" s="16" t="s">
        <v>289</v>
      </c>
      <c r="F669" s="16" t="s">
        <v>289</v>
      </c>
      <c r="G669" s="16" t="s">
        <v>289</v>
      </c>
      <c r="H669" s="16" t="s">
        <v>289</v>
      </c>
      <c r="I669" s="16" t="s">
        <v>289</v>
      </c>
      <c r="J669" s="16" t="s">
        <v>289</v>
      </c>
      <c r="K669" s="16" t="s">
        <v>289</v>
      </c>
      <c r="L669" s="16" t="s">
        <v>289</v>
      </c>
      <c r="M669" s="16" t="s">
        <v>289</v>
      </c>
      <c r="N669" s="16" t="s">
        <v>289</v>
      </c>
      <c r="O669" s="16" t="s">
        <v>289</v>
      </c>
      <c r="P669" s="16" t="s">
        <v>289</v>
      </c>
      <c r="Q669" s="16" t="s">
        <v>289</v>
      </c>
      <c r="R669" s="16" t="s">
        <v>289</v>
      </c>
      <c r="S669" s="16" t="s">
        <v>289</v>
      </c>
      <c r="T669" s="16" t="s">
        <v>289</v>
      </c>
      <c r="U669" s="16" t="s">
        <v>289</v>
      </c>
      <c r="V669" s="16" t="s">
        <v>289</v>
      </c>
      <c r="W669" s="16"/>
      <c r="X669" s="16"/>
      <c r="Y669" s="16"/>
      <c r="Z669" s="16"/>
      <c r="AA669" s="16"/>
      <c r="AB669" s="25"/>
      <c r="AC669" s="2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16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22"/>
      <c r="BL669" s="23"/>
      <c r="BM669" s="22"/>
      <c r="BN669" s="22"/>
      <c r="BO669" s="22"/>
      <c r="BP669" s="22"/>
      <c r="BQ669" s="22"/>
      <c r="BR669" s="24"/>
      <c r="BS669" s="5"/>
      <c r="BT669" s="5"/>
    </row>
    <row r="670" spans="1:72" s="33" customFormat="1">
      <c r="A670" s="5"/>
      <c r="B670" s="5" t="s">
        <v>198</v>
      </c>
      <c r="C670" s="5"/>
      <c r="D670" s="16" t="s">
        <v>289</v>
      </c>
      <c r="E670" s="16" t="s">
        <v>289</v>
      </c>
      <c r="F670" s="16" t="s">
        <v>289</v>
      </c>
      <c r="G670" s="16" t="s">
        <v>289</v>
      </c>
      <c r="H670" s="16" t="s">
        <v>289</v>
      </c>
      <c r="I670" s="16" t="s">
        <v>289</v>
      </c>
      <c r="J670" s="16" t="s">
        <v>289</v>
      </c>
      <c r="K670" s="16" t="s">
        <v>289</v>
      </c>
      <c r="L670" s="16" t="s">
        <v>289</v>
      </c>
      <c r="M670" s="16" t="s">
        <v>289</v>
      </c>
      <c r="N670" s="16" t="s">
        <v>289</v>
      </c>
      <c r="O670" s="16" t="s">
        <v>289</v>
      </c>
      <c r="P670" s="16" t="s">
        <v>289</v>
      </c>
      <c r="Q670" s="16" t="s">
        <v>289</v>
      </c>
      <c r="R670" s="16" t="s">
        <v>289</v>
      </c>
      <c r="S670" s="16" t="s">
        <v>289</v>
      </c>
      <c r="T670" s="16" t="s">
        <v>289</v>
      </c>
      <c r="U670" s="16" t="s">
        <v>289</v>
      </c>
      <c r="V670" s="16" t="s">
        <v>289</v>
      </c>
      <c r="W670" s="16"/>
      <c r="X670" s="16"/>
      <c r="Y670" s="16"/>
      <c r="Z670" s="16"/>
      <c r="AA670" s="16"/>
      <c r="AB670" s="25"/>
      <c r="AC670" s="2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16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22"/>
      <c r="BL670" s="23"/>
      <c r="BM670" s="22"/>
      <c r="BN670" s="22"/>
      <c r="BO670" s="22"/>
      <c r="BP670" s="22"/>
      <c r="BQ670" s="22"/>
      <c r="BR670" s="24"/>
      <c r="BS670" s="5"/>
      <c r="BT670" s="5"/>
    </row>
    <row r="671" spans="1:72" s="33" customFormat="1">
      <c r="A671" s="5"/>
      <c r="B671" s="5" t="s">
        <v>1777</v>
      </c>
      <c r="C671" s="5"/>
      <c r="D671" s="20">
        <v>12633</v>
      </c>
      <c r="E671" s="20">
        <v>14003</v>
      </c>
      <c r="F671" s="20">
        <v>13854</v>
      </c>
      <c r="G671" s="20">
        <v>12603</v>
      </c>
      <c r="H671" s="20">
        <v>12955</v>
      </c>
      <c r="I671" s="20">
        <v>13936</v>
      </c>
      <c r="J671" s="20">
        <v>15432</v>
      </c>
      <c r="K671" s="20">
        <v>16787</v>
      </c>
      <c r="L671" s="20">
        <v>23939</v>
      </c>
      <c r="M671" s="20">
        <v>21774</v>
      </c>
      <c r="N671" s="20">
        <v>29806</v>
      </c>
      <c r="O671" s="20">
        <v>27535</v>
      </c>
      <c r="P671" s="20">
        <v>33012</v>
      </c>
      <c r="Q671" s="20">
        <v>32730</v>
      </c>
      <c r="R671" s="20">
        <v>33097</v>
      </c>
      <c r="S671" s="20">
        <v>41389</v>
      </c>
      <c r="T671" s="20">
        <v>45081</v>
      </c>
      <c r="U671" s="20">
        <v>41550</v>
      </c>
      <c r="V671" s="20" t="s">
        <v>289</v>
      </c>
      <c r="W671" s="20"/>
      <c r="X671" s="20"/>
      <c r="Y671" s="20"/>
      <c r="Z671" s="20"/>
      <c r="AA671" s="20"/>
      <c r="AB671" s="20"/>
      <c r="AC671" s="20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20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22"/>
      <c r="BL671" s="23"/>
      <c r="BM671" s="22"/>
      <c r="BN671" s="22"/>
      <c r="BO671" s="22"/>
      <c r="BP671" s="22"/>
      <c r="BQ671" s="22"/>
      <c r="BR671" s="24"/>
      <c r="BS671" s="5"/>
      <c r="BT671" s="5"/>
    </row>
    <row r="672" spans="1:72" s="33" customFormat="1">
      <c r="A672" s="5"/>
      <c r="B672" s="5"/>
      <c r="C672" s="5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20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22"/>
      <c r="BL672" s="23"/>
      <c r="BM672" s="22"/>
      <c r="BN672" s="22"/>
      <c r="BO672" s="22"/>
      <c r="BP672" s="22"/>
      <c r="BQ672" s="22"/>
      <c r="BR672" s="24"/>
      <c r="BS672" s="5"/>
      <c r="BT672" s="5"/>
    </row>
    <row r="673" spans="1:72" s="33" customFormat="1">
      <c r="A673" s="5"/>
      <c r="B673" s="5" t="s">
        <v>170</v>
      </c>
      <c r="C673" s="5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25"/>
      <c r="AC673" s="2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16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22"/>
      <c r="BL673" s="23"/>
      <c r="BM673" s="22"/>
      <c r="BN673" s="22"/>
      <c r="BO673" s="22"/>
      <c r="BP673" s="22"/>
      <c r="BQ673" s="22"/>
      <c r="BR673" s="24"/>
      <c r="BS673" s="5"/>
      <c r="BT673" s="5"/>
    </row>
    <row r="674" spans="1:72" s="33" customFormat="1">
      <c r="A674" s="5"/>
      <c r="B674" s="5" t="s">
        <v>199</v>
      </c>
      <c r="C674" s="5"/>
      <c r="D674" s="16" t="s">
        <v>289</v>
      </c>
      <c r="E674" s="16">
        <v>8648</v>
      </c>
      <c r="F674" s="16">
        <v>9363</v>
      </c>
      <c r="G674" s="16">
        <v>9058</v>
      </c>
      <c r="H674" s="16">
        <v>8406</v>
      </c>
      <c r="I674" s="16">
        <v>8861</v>
      </c>
      <c r="J674" s="16">
        <v>10089</v>
      </c>
      <c r="K674" s="16">
        <v>10333</v>
      </c>
      <c r="L674" s="16">
        <v>13114</v>
      </c>
      <c r="M674" s="16">
        <v>14650</v>
      </c>
      <c r="N674" s="16">
        <v>16791</v>
      </c>
      <c r="O674" s="16">
        <v>19656</v>
      </c>
      <c r="P674" s="16">
        <v>20793</v>
      </c>
      <c r="Q674" s="16">
        <v>22030</v>
      </c>
      <c r="R674" s="16">
        <v>22391</v>
      </c>
      <c r="S674" s="16" t="s">
        <v>289</v>
      </c>
      <c r="T674" s="16" t="s">
        <v>289</v>
      </c>
      <c r="U674" s="16" t="s">
        <v>289</v>
      </c>
      <c r="V674" s="16" t="s">
        <v>289</v>
      </c>
      <c r="W674" s="16"/>
      <c r="X674" s="16"/>
      <c r="Y674" s="16"/>
      <c r="Z674" s="16"/>
      <c r="AA674" s="16"/>
      <c r="AB674" s="25"/>
      <c r="AC674" s="2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16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22"/>
      <c r="BL674" s="23"/>
      <c r="BM674" s="22"/>
      <c r="BN674" s="22"/>
      <c r="BO674" s="22"/>
      <c r="BP674" s="22"/>
      <c r="BQ674" s="22"/>
      <c r="BR674" s="24"/>
      <c r="BS674" s="5"/>
      <c r="BT674" s="5"/>
    </row>
    <row r="675" spans="1:72" s="33" customFormat="1">
      <c r="A675" s="5"/>
      <c r="B675" s="5" t="s">
        <v>200</v>
      </c>
      <c r="C675" s="5"/>
      <c r="D675" s="16" t="s">
        <v>289</v>
      </c>
      <c r="E675" s="16" t="s">
        <v>289</v>
      </c>
      <c r="F675" s="16" t="s">
        <v>289</v>
      </c>
      <c r="G675" s="16" t="s">
        <v>289</v>
      </c>
      <c r="H675" s="16" t="s">
        <v>289</v>
      </c>
      <c r="I675" s="16" t="s">
        <v>289</v>
      </c>
      <c r="J675" s="16" t="s">
        <v>289</v>
      </c>
      <c r="K675" s="16" t="s">
        <v>289</v>
      </c>
      <c r="L675" s="16" t="s">
        <v>289</v>
      </c>
      <c r="M675" s="16" t="s">
        <v>289</v>
      </c>
      <c r="N675" s="16" t="s">
        <v>289</v>
      </c>
      <c r="O675" s="16" t="s">
        <v>289</v>
      </c>
      <c r="P675" s="16" t="s">
        <v>289</v>
      </c>
      <c r="Q675" s="16" t="s">
        <v>289</v>
      </c>
      <c r="R675" s="16" t="s">
        <v>289</v>
      </c>
      <c r="S675" s="16" t="s">
        <v>289</v>
      </c>
      <c r="T675" s="16" t="s">
        <v>289</v>
      </c>
      <c r="U675" s="16" t="s">
        <v>289</v>
      </c>
      <c r="V675" s="16" t="s">
        <v>289</v>
      </c>
      <c r="W675" s="16"/>
      <c r="X675" s="16"/>
      <c r="Y675" s="16"/>
      <c r="Z675" s="16"/>
      <c r="AA675" s="16"/>
      <c r="AB675" s="25"/>
      <c r="AC675" s="2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16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22"/>
      <c r="BL675" s="23"/>
      <c r="BM675" s="22"/>
      <c r="BN675" s="22"/>
      <c r="BO675" s="22"/>
      <c r="BP675" s="22"/>
      <c r="BQ675" s="22"/>
      <c r="BR675" s="24"/>
      <c r="BS675" s="5"/>
      <c r="BT675" s="5"/>
    </row>
    <row r="676" spans="1:72" s="33" customFormat="1">
      <c r="A676" s="5"/>
      <c r="B676" s="5" t="s">
        <v>175</v>
      </c>
      <c r="C676" s="5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25"/>
      <c r="AC676" s="2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16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22"/>
      <c r="BL676" s="23"/>
      <c r="BM676" s="22"/>
      <c r="BN676" s="22"/>
      <c r="BO676" s="22"/>
      <c r="BP676" s="22"/>
      <c r="BQ676" s="22"/>
      <c r="BR676" s="24"/>
      <c r="BS676" s="5"/>
      <c r="BT676" s="5"/>
    </row>
    <row r="677" spans="1:72" s="33" customFormat="1">
      <c r="A677" s="5"/>
      <c r="B677" s="5" t="s">
        <v>201</v>
      </c>
      <c r="C677" s="5"/>
      <c r="D677" s="16" t="s">
        <v>289</v>
      </c>
      <c r="E677" s="16" t="s">
        <v>289</v>
      </c>
      <c r="F677" s="16" t="s">
        <v>289</v>
      </c>
      <c r="G677" s="16" t="s">
        <v>289</v>
      </c>
      <c r="H677" s="16" t="s">
        <v>289</v>
      </c>
      <c r="I677" s="16" t="s">
        <v>289</v>
      </c>
      <c r="J677" s="16" t="s">
        <v>289</v>
      </c>
      <c r="K677" s="16" t="s">
        <v>289</v>
      </c>
      <c r="L677" s="16" t="s">
        <v>289</v>
      </c>
      <c r="M677" s="16" t="s">
        <v>289</v>
      </c>
      <c r="N677" s="16" t="s">
        <v>289</v>
      </c>
      <c r="O677" s="16" t="s">
        <v>289</v>
      </c>
      <c r="P677" s="16" t="s">
        <v>289</v>
      </c>
      <c r="Q677" s="16" t="s">
        <v>289</v>
      </c>
      <c r="R677" s="16" t="s">
        <v>289</v>
      </c>
      <c r="S677" s="16" t="s">
        <v>289</v>
      </c>
      <c r="T677" s="16" t="s">
        <v>289</v>
      </c>
      <c r="U677" s="16" t="s">
        <v>289</v>
      </c>
      <c r="V677" s="16" t="s">
        <v>289</v>
      </c>
      <c r="W677" s="16"/>
      <c r="X677" s="16"/>
      <c r="Y677" s="16"/>
      <c r="Z677" s="16"/>
      <c r="AA677" s="16"/>
      <c r="AB677" s="25"/>
      <c r="AC677" s="2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16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22"/>
      <c r="BL677" s="23"/>
      <c r="BM677" s="22"/>
      <c r="BN677" s="22"/>
      <c r="BO677" s="22"/>
      <c r="BP677" s="22"/>
      <c r="BQ677" s="22"/>
      <c r="BR677" s="24"/>
      <c r="BS677" s="5"/>
    </row>
    <row r="678" spans="1:72" s="33" customFormat="1">
      <c r="A678" s="5"/>
      <c r="B678" s="5" t="s">
        <v>202</v>
      </c>
      <c r="C678" s="5"/>
      <c r="D678" s="16" t="s">
        <v>289</v>
      </c>
      <c r="E678" s="16" t="s">
        <v>289</v>
      </c>
      <c r="F678" s="16" t="s">
        <v>289</v>
      </c>
      <c r="G678" s="16" t="s">
        <v>289</v>
      </c>
      <c r="H678" s="16" t="s">
        <v>289</v>
      </c>
      <c r="I678" s="16" t="s">
        <v>289</v>
      </c>
      <c r="J678" s="16" t="s">
        <v>289</v>
      </c>
      <c r="K678" s="16" t="s">
        <v>289</v>
      </c>
      <c r="L678" s="16" t="s">
        <v>289</v>
      </c>
      <c r="M678" s="16" t="s">
        <v>289</v>
      </c>
      <c r="N678" s="16" t="s">
        <v>289</v>
      </c>
      <c r="O678" s="16" t="s">
        <v>289</v>
      </c>
      <c r="P678" s="16" t="s">
        <v>289</v>
      </c>
      <c r="Q678" s="16" t="s">
        <v>289</v>
      </c>
      <c r="R678" s="16" t="s">
        <v>289</v>
      </c>
      <c r="S678" s="16">
        <v>4731</v>
      </c>
      <c r="T678" s="16">
        <v>5249</v>
      </c>
      <c r="U678" s="16">
        <v>5829</v>
      </c>
      <c r="V678" s="16" t="s">
        <v>289</v>
      </c>
      <c r="W678" s="16"/>
      <c r="X678" s="16"/>
      <c r="Y678" s="16"/>
      <c r="Z678" s="16"/>
      <c r="AA678" s="16"/>
      <c r="AB678" s="25"/>
      <c r="AC678" s="2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16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22"/>
      <c r="BL678" s="23"/>
      <c r="BM678" s="22"/>
      <c r="BN678" s="22"/>
      <c r="BO678" s="22"/>
      <c r="BP678" s="22"/>
      <c r="BQ678" s="22"/>
      <c r="BR678" s="24"/>
      <c r="BS678" s="5"/>
    </row>
    <row r="679" spans="1:72"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Z679" s="5"/>
      <c r="BK679" s="22"/>
      <c r="BL679" s="23"/>
      <c r="BM679" s="22"/>
      <c r="BN679" s="22"/>
      <c r="BO679" s="22"/>
      <c r="BP679" s="22"/>
      <c r="BQ679" s="22"/>
      <c r="BR679" s="24"/>
    </row>
    <row r="680" spans="1:72">
      <c r="B680" s="5" t="s">
        <v>1762</v>
      </c>
      <c r="C680" s="43" t="s">
        <v>361</v>
      </c>
      <c r="D680" s="16" t="s">
        <v>289</v>
      </c>
      <c r="E680" s="16" t="s">
        <v>289</v>
      </c>
      <c r="F680" s="16" t="s">
        <v>289</v>
      </c>
      <c r="G680" s="16" t="s">
        <v>289</v>
      </c>
      <c r="H680" s="16" t="s">
        <v>289</v>
      </c>
      <c r="I680" s="16" t="s">
        <v>289</v>
      </c>
      <c r="J680" s="16" t="s">
        <v>289</v>
      </c>
      <c r="K680" s="16" t="s">
        <v>289</v>
      </c>
      <c r="L680" s="16" t="s">
        <v>289</v>
      </c>
      <c r="M680" s="16" t="s">
        <v>289</v>
      </c>
      <c r="N680" s="16" t="s">
        <v>289</v>
      </c>
      <c r="O680" s="16" t="s">
        <v>289</v>
      </c>
      <c r="P680" s="16" t="s">
        <v>289</v>
      </c>
      <c r="Q680" s="20" t="s">
        <v>289</v>
      </c>
      <c r="R680" s="20" t="s">
        <v>289</v>
      </c>
      <c r="S680" s="20" t="s">
        <v>289</v>
      </c>
      <c r="T680" s="20" t="s">
        <v>289</v>
      </c>
      <c r="U680" s="20" t="s">
        <v>289</v>
      </c>
      <c r="V680" s="20" t="s">
        <v>289</v>
      </c>
      <c r="AD680" s="24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Z680" s="5"/>
    </row>
    <row r="681" spans="1:72"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Z681" s="5"/>
      <c r="BK681" s="22"/>
      <c r="BL681" s="23"/>
      <c r="BM681" s="22"/>
      <c r="BN681" s="22"/>
      <c r="BO681" s="22"/>
      <c r="BP681" s="22"/>
      <c r="BQ681" s="22"/>
      <c r="BR681" s="24"/>
    </row>
    <row r="682" spans="1:72">
      <c r="D682" s="5"/>
      <c r="E682" s="5"/>
      <c r="F682" s="5"/>
      <c r="G682" s="5"/>
      <c r="H682" s="5"/>
      <c r="I682" s="5"/>
      <c r="J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Z682" s="5"/>
      <c r="BK682" s="22"/>
      <c r="BL682" s="23"/>
      <c r="BM682" s="22"/>
      <c r="BN682" s="22"/>
      <c r="BO682" s="22"/>
      <c r="BP682" s="22"/>
      <c r="BQ682" s="22"/>
      <c r="BR682" s="24"/>
    </row>
    <row r="683" spans="1:72">
      <c r="D683" s="5"/>
      <c r="E683" s="5"/>
      <c r="F683" s="5"/>
      <c r="G683" s="5"/>
      <c r="H683" s="5"/>
      <c r="I683" s="5"/>
      <c r="J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Z683" s="5"/>
      <c r="BK683" s="22"/>
      <c r="BL683" s="23"/>
      <c r="BM683" s="22"/>
      <c r="BN683" s="22"/>
      <c r="BO683" s="22"/>
      <c r="BP683" s="22"/>
      <c r="BQ683" s="22"/>
      <c r="BR683" s="24"/>
    </row>
    <row r="684" spans="1:72">
      <c r="D684" s="5"/>
      <c r="E684" s="5"/>
      <c r="F684" s="5"/>
      <c r="G684" s="5"/>
      <c r="H684" s="5"/>
      <c r="I684" s="5"/>
      <c r="J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Z684" s="5"/>
      <c r="BK684" s="22"/>
      <c r="BL684" s="23"/>
      <c r="BM684" s="22"/>
      <c r="BN684" s="22"/>
      <c r="BO684" s="22"/>
      <c r="BP684" s="22"/>
      <c r="BQ684" s="22"/>
      <c r="BR684" s="24"/>
    </row>
    <row r="685" spans="1:72">
      <c r="D685" s="5"/>
      <c r="E685" s="5"/>
      <c r="F685" s="5"/>
      <c r="G685" s="5"/>
      <c r="H685" s="5"/>
      <c r="I685" s="5"/>
      <c r="J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Z685" s="5"/>
      <c r="BK685" s="22"/>
      <c r="BL685" s="23"/>
      <c r="BM685" s="22"/>
      <c r="BN685" s="22"/>
      <c r="BO685" s="22"/>
      <c r="BP685" s="22"/>
      <c r="BQ685" s="22"/>
      <c r="BR685" s="24"/>
    </row>
    <row r="686" spans="1:72">
      <c r="D686" s="5"/>
      <c r="E686" s="5"/>
      <c r="F686" s="5"/>
      <c r="G686" s="5"/>
      <c r="H686" s="5"/>
      <c r="I686" s="5"/>
      <c r="J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Z686" s="5"/>
      <c r="BK686" s="22"/>
      <c r="BL686" s="23"/>
      <c r="BM686" s="22"/>
      <c r="BN686" s="22"/>
      <c r="BO686" s="22"/>
      <c r="BP686" s="22"/>
      <c r="BQ686" s="22"/>
      <c r="BR686" s="24"/>
    </row>
    <row r="687" spans="1:72">
      <c r="D687" s="5"/>
      <c r="E687" s="5"/>
      <c r="F687" s="5"/>
      <c r="G687" s="5"/>
      <c r="H687" s="5"/>
      <c r="I687" s="5"/>
      <c r="J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Z687" s="5"/>
      <c r="BK687" s="22"/>
      <c r="BL687" s="23"/>
      <c r="BM687" s="22"/>
      <c r="BN687" s="22"/>
      <c r="BO687" s="22"/>
      <c r="BP687" s="22"/>
      <c r="BQ687" s="22"/>
      <c r="BR687" s="24"/>
    </row>
    <row r="688" spans="1:72">
      <c r="D688" s="5"/>
      <c r="E688" s="5"/>
      <c r="F688" s="5"/>
      <c r="G688" s="5"/>
      <c r="H688" s="5"/>
      <c r="I688" s="5"/>
      <c r="J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Z688" s="5"/>
      <c r="BK688" s="22"/>
      <c r="BL688" s="23"/>
      <c r="BM688" s="22"/>
      <c r="BN688" s="22"/>
      <c r="BO688" s="22"/>
      <c r="BP688" s="22"/>
      <c r="BQ688" s="22"/>
      <c r="BR688" s="24"/>
    </row>
    <row r="689" spans="4:70">
      <c r="D689" s="5"/>
      <c r="E689" s="5"/>
      <c r="F689" s="5"/>
      <c r="G689" s="5"/>
      <c r="H689" s="5"/>
      <c r="I689" s="5"/>
      <c r="J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Z689" s="5"/>
      <c r="BK689" s="22"/>
      <c r="BL689" s="23"/>
      <c r="BM689" s="22"/>
      <c r="BN689" s="22"/>
      <c r="BO689" s="22"/>
      <c r="BP689" s="22"/>
      <c r="BQ689" s="22"/>
      <c r="BR689" s="24"/>
    </row>
    <row r="690" spans="4:70">
      <c r="D690" s="5"/>
      <c r="E690" s="5"/>
      <c r="F690" s="5"/>
      <c r="G690" s="5"/>
      <c r="H690" s="5"/>
      <c r="I690" s="5"/>
      <c r="J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Z690" s="5"/>
      <c r="BK690" s="22"/>
      <c r="BL690" s="23"/>
      <c r="BM690" s="22"/>
      <c r="BN690" s="22"/>
      <c r="BO690" s="22"/>
      <c r="BP690" s="22"/>
      <c r="BQ690" s="22"/>
      <c r="BR690" s="24"/>
    </row>
    <row r="691" spans="4:70">
      <c r="D691" s="5"/>
      <c r="E691" s="5"/>
      <c r="F691" s="5"/>
      <c r="G691" s="5"/>
      <c r="H691" s="5"/>
      <c r="I691" s="5"/>
      <c r="J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Z691" s="5"/>
      <c r="BK691" s="22"/>
      <c r="BL691" s="23"/>
      <c r="BM691" s="22"/>
      <c r="BN691" s="22"/>
      <c r="BO691" s="22"/>
      <c r="BP691" s="22"/>
      <c r="BQ691" s="22"/>
      <c r="BR691" s="24"/>
    </row>
    <row r="692" spans="4:70">
      <c r="D692" s="5"/>
      <c r="E692" s="5"/>
      <c r="F692" s="5"/>
      <c r="G692" s="5"/>
      <c r="H692" s="5"/>
      <c r="I692" s="5"/>
      <c r="J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Z692" s="5"/>
      <c r="BK692" s="22"/>
      <c r="BL692" s="23"/>
      <c r="BM692" s="22"/>
      <c r="BN692" s="22"/>
      <c r="BO692" s="22"/>
      <c r="BP692" s="22"/>
      <c r="BQ692" s="22"/>
      <c r="BR692" s="24"/>
    </row>
    <row r="693" spans="4:70">
      <c r="D693" s="5"/>
      <c r="E693" s="5"/>
      <c r="F693" s="5"/>
      <c r="G693" s="5"/>
      <c r="H693" s="5"/>
      <c r="I693" s="5"/>
      <c r="J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Z693" s="5"/>
      <c r="BK693" s="22"/>
      <c r="BL693" s="23"/>
      <c r="BM693" s="22"/>
      <c r="BN693" s="22"/>
      <c r="BO693" s="22"/>
      <c r="BP693" s="22"/>
      <c r="BQ693" s="22"/>
      <c r="BR693" s="24"/>
    </row>
    <row r="694" spans="4:70">
      <c r="D694" s="5"/>
      <c r="E694" s="5"/>
      <c r="F694" s="5"/>
      <c r="G694" s="5"/>
      <c r="H694" s="5"/>
      <c r="I694" s="5"/>
      <c r="J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Z694" s="5"/>
      <c r="BK694" s="22"/>
      <c r="BL694" s="23"/>
      <c r="BM694" s="22"/>
      <c r="BN694" s="22"/>
      <c r="BO694" s="22"/>
      <c r="BP694" s="22"/>
      <c r="BQ694" s="22"/>
      <c r="BR694" s="24"/>
    </row>
    <row r="695" spans="4:70">
      <c r="D695" s="5"/>
      <c r="E695" s="5"/>
      <c r="F695" s="5"/>
      <c r="G695" s="5"/>
      <c r="H695" s="5"/>
      <c r="I695" s="5"/>
      <c r="J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Z695" s="5"/>
      <c r="BK695" s="22"/>
      <c r="BL695" s="23"/>
      <c r="BM695" s="22"/>
      <c r="BN695" s="22"/>
      <c r="BO695" s="22"/>
      <c r="BP695" s="22"/>
      <c r="BQ695" s="22"/>
      <c r="BR695" s="24"/>
    </row>
    <row r="696" spans="4:70">
      <c r="D696" s="5"/>
      <c r="E696" s="5"/>
      <c r="F696" s="5"/>
      <c r="G696" s="5"/>
      <c r="H696" s="5"/>
      <c r="I696" s="5"/>
      <c r="J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Z696" s="5"/>
      <c r="BK696" s="22"/>
      <c r="BL696" s="23"/>
      <c r="BM696" s="22"/>
      <c r="BN696" s="22"/>
      <c r="BO696" s="22"/>
      <c r="BP696" s="22"/>
      <c r="BQ696" s="22"/>
      <c r="BR696" s="24"/>
    </row>
    <row r="697" spans="4:70">
      <c r="D697" s="5"/>
      <c r="E697" s="5"/>
      <c r="F697" s="5"/>
      <c r="G697" s="5"/>
      <c r="H697" s="5"/>
      <c r="I697" s="5"/>
      <c r="J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Z697" s="5"/>
      <c r="BK697" s="22"/>
      <c r="BL697" s="23"/>
      <c r="BM697" s="22"/>
      <c r="BN697" s="22"/>
      <c r="BO697" s="22"/>
      <c r="BP697" s="22"/>
      <c r="BQ697" s="22"/>
      <c r="BR697" s="24"/>
    </row>
    <row r="698" spans="4:70">
      <c r="D698" s="5"/>
      <c r="E698" s="5"/>
      <c r="F698" s="5"/>
      <c r="G698" s="5"/>
      <c r="H698" s="5"/>
      <c r="I698" s="5"/>
      <c r="J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Z698" s="5"/>
      <c r="BK698" s="22"/>
      <c r="BL698" s="23"/>
      <c r="BM698" s="22"/>
      <c r="BN698" s="22"/>
      <c r="BO698" s="22"/>
      <c r="BP698" s="22"/>
      <c r="BQ698" s="22"/>
      <c r="BR698" s="24"/>
    </row>
    <row r="699" spans="4:70">
      <c r="D699" s="5"/>
      <c r="E699" s="5"/>
      <c r="F699" s="5"/>
      <c r="G699" s="5"/>
      <c r="H699" s="5"/>
      <c r="I699" s="5"/>
      <c r="J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Z699" s="5"/>
      <c r="BK699" s="22"/>
      <c r="BL699" s="23"/>
      <c r="BM699" s="22"/>
      <c r="BN699" s="22"/>
      <c r="BO699" s="22"/>
      <c r="BP699" s="22"/>
      <c r="BQ699" s="22"/>
      <c r="BR699" s="24"/>
    </row>
    <row r="700" spans="4:70">
      <c r="D700" s="5"/>
      <c r="E700" s="5"/>
      <c r="F700" s="5"/>
      <c r="G700" s="5"/>
      <c r="H700" s="5"/>
      <c r="I700" s="5"/>
      <c r="J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Z700" s="5"/>
      <c r="BK700" s="22"/>
      <c r="BL700" s="23"/>
      <c r="BM700" s="22"/>
      <c r="BN700" s="22"/>
      <c r="BO700" s="22"/>
      <c r="BP700" s="22"/>
      <c r="BQ700" s="22"/>
      <c r="BR700" s="24"/>
    </row>
    <row r="701" spans="4:70">
      <c r="D701" s="5"/>
      <c r="E701" s="5"/>
      <c r="F701" s="5"/>
      <c r="G701" s="5"/>
      <c r="H701" s="5"/>
      <c r="I701" s="5"/>
      <c r="J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Z701" s="5"/>
      <c r="BK701" s="22"/>
      <c r="BL701" s="23"/>
      <c r="BM701" s="22"/>
      <c r="BN701" s="22"/>
      <c r="BO701" s="22"/>
      <c r="BP701" s="22"/>
      <c r="BQ701" s="22"/>
      <c r="BR701" s="24"/>
    </row>
    <row r="702" spans="4:70">
      <c r="D702" s="5"/>
      <c r="E702" s="5"/>
      <c r="F702" s="5"/>
      <c r="G702" s="5"/>
      <c r="H702" s="5"/>
      <c r="I702" s="5"/>
      <c r="J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Z702" s="5"/>
      <c r="BK702" s="22"/>
      <c r="BL702" s="23"/>
      <c r="BM702" s="22"/>
      <c r="BN702" s="22"/>
      <c r="BO702" s="22"/>
      <c r="BP702" s="22"/>
      <c r="BQ702" s="22"/>
      <c r="BR702" s="24"/>
    </row>
    <row r="703" spans="4:70">
      <c r="D703" s="5"/>
      <c r="E703" s="5"/>
      <c r="F703" s="5"/>
      <c r="G703" s="5"/>
      <c r="H703" s="5"/>
      <c r="I703" s="5"/>
      <c r="J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Z703" s="5"/>
      <c r="BK703" s="22"/>
      <c r="BL703" s="23"/>
      <c r="BM703" s="22"/>
      <c r="BN703" s="22"/>
      <c r="BO703" s="22"/>
      <c r="BP703" s="22"/>
      <c r="BQ703" s="22"/>
      <c r="BR703" s="24"/>
    </row>
    <row r="704" spans="4:70">
      <c r="D704" s="5"/>
      <c r="E704" s="5"/>
      <c r="F704" s="5"/>
      <c r="G704" s="5"/>
      <c r="H704" s="5"/>
      <c r="I704" s="5"/>
      <c r="J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Z704" s="5"/>
      <c r="BK704" s="22"/>
      <c r="BL704" s="23"/>
      <c r="BM704" s="22"/>
      <c r="BN704" s="22"/>
      <c r="BO704" s="22"/>
      <c r="BP704" s="22"/>
      <c r="BQ704" s="22"/>
      <c r="BR704" s="24"/>
    </row>
    <row r="705" spans="4:70">
      <c r="D705" s="5"/>
      <c r="E705" s="5"/>
      <c r="F705" s="5"/>
      <c r="G705" s="5"/>
      <c r="H705" s="5"/>
      <c r="I705" s="5"/>
      <c r="J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Z705" s="5"/>
      <c r="BK705" s="22"/>
      <c r="BL705" s="23"/>
      <c r="BM705" s="22"/>
      <c r="BN705" s="22"/>
      <c r="BO705" s="22"/>
      <c r="BP705" s="22"/>
      <c r="BQ705" s="22"/>
      <c r="BR705" s="24"/>
    </row>
    <row r="706" spans="4:70">
      <c r="D706" s="5"/>
      <c r="E706" s="5"/>
      <c r="F706" s="5"/>
      <c r="G706" s="5"/>
      <c r="H706" s="5"/>
      <c r="I706" s="5"/>
      <c r="J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Z706" s="5"/>
      <c r="BK706" s="22"/>
      <c r="BL706" s="23"/>
      <c r="BM706" s="22"/>
      <c r="BN706" s="22"/>
      <c r="BO706" s="22"/>
      <c r="BP706" s="22"/>
      <c r="BQ706" s="22"/>
      <c r="BR706" s="24"/>
    </row>
    <row r="707" spans="4:70">
      <c r="D707" s="5"/>
      <c r="E707" s="5"/>
      <c r="F707" s="5"/>
      <c r="G707" s="5"/>
      <c r="H707" s="5"/>
      <c r="I707" s="5"/>
      <c r="J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Z707" s="5"/>
      <c r="BK707" s="22"/>
      <c r="BL707" s="23"/>
      <c r="BM707" s="22"/>
      <c r="BN707" s="22"/>
      <c r="BO707" s="22"/>
      <c r="BP707" s="22"/>
      <c r="BQ707" s="22"/>
      <c r="BR707" s="24"/>
    </row>
    <row r="708" spans="4:70">
      <c r="D708" s="5"/>
      <c r="E708" s="5"/>
      <c r="F708" s="5"/>
      <c r="G708" s="5"/>
      <c r="H708" s="5"/>
      <c r="I708" s="5"/>
      <c r="J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Z708" s="5"/>
      <c r="BK708" s="22"/>
      <c r="BL708" s="23"/>
      <c r="BM708" s="22"/>
      <c r="BN708" s="22"/>
      <c r="BO708" s="22"/>
      <c r="BP708" s="22"/>
      <c r="BQ708" s="22"/>
      <c r="BR708" s="24"/>
    </row>
    <row r="709" spans="4:70">
      <c r="D709" s="5"/>
      <c r="E709" s="5"/>
      <c r="F709" s="5"/>
      <c r="G709" s="5"/>
      <c r="H709" s="5"/>
      <c r="I709" s="5"/>
      <c r="J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Z709" s="5"/>
      <c r="BK709" s="22"/>
      <c r="BL709" s="23"/>
      <c r="BM709" s="22"/>
      <c r="BN709" s="22"/>
      <c r="BO709" s="22"/>
      <c r="BP709" s="22"/>
      <c r="BQ709" s="22"/>
      <c r="BR709" s="24"/>
    </row>
    <row r="710" spans="4:70">
      <c r="D710" s="5"/>
      <c r="E710" s="5"/>
      <c r="F710" s="5"/>
      <c r="G710" s="5"/>
      <c r="H710" s="5"/>
      <c r="I710" s="5"/>
      <c r="J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Z710" s="5"/>
      <c r="BK710" s="22"/>
      <c r="BL710" s="23"/>
      <c r="BM710" s="22"/>
      <c r="BN710" s="22"/>
      <c r="BO710" s="22"/>
      <c r="BP710" s="22"/>
      <c r="BQ710" s="22"/>
      <c r="BR710" s="24"/>
    </row>
    <row r="711" spans="4:70">
      <c r="D711" s="5"/>
      <c r="E711" s="5"/>
      <c r="F711" s="5"/>
      <c r="G711" s="5"/>
      <c r="H711" s="5"/>
      <c r="I711" s="5"/>
      <c r="J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Z711" s="5"/>
      <c r="BK711" s="22"/>
      <c r="BL711" s="23"/>
      <c r="BM711" s="22"/>
      <c r="BN711" s="22"/>
      <c r="BO711" s="22"/>
      <c r="BP711" s="22"/>
      <c r="BQ711" s="22"/>
      <c r="BR711" s="24"/>
    </row>
    <row r="712" spans="4:70">
      <c r="D712" s="5"/>
      <c r="E712" s="5"/>
      <c r="F712" s="5"/>
      <c r="G712" s="5"/>
      <c r="H712" s="5"/>
      <c r="I712" s="5"/>
      <c r="J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Z712" s="5"/>
      <c r="BK712" s="22"/>
      <c r="BL712" s="23"/>
      <c r="BM712" s="22"/>
      <c r="BN712" s="22"/>
      <c r="BO712" s="22"/>
      <c r="BP712" s="22"/>
      <c r="BQ712" s="22"/>
      <c r="BR712" s="24"/>
    </row>
    <row r="713" spans="4:70">
      <c r="D713" s="5"/>
      <c r="E713" s="5"/>
      <c r="F713" s="5"/>
      <c r="G713" s="5"/>
      <c r="H713" s="5"/>
      <c r="I713" s="5"/>
      <c r="J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Z713" s="5"/>
      <c r="BK713" s="22"/>
      <c r="BL713" s="23"/>
      <c r="BM713" s="22"/>
      <c r="BN713" s="22"/>
      <c r="BO713" s="22"/>
      <c r="BP713" s="22"/>
      <c r="BQ713" s="22"/>
      <c r="BR713" s="24"/>
    </row>
    <row r="714" spans="4:70">
      <c r="D714" s="5"/>
      <c r="E714" s="5"/>
      <c r="F714" s="5"/>
      <c r="G714" s="5"/>
      <c r="H714" s="5"/>
      <c r="I714" s="5"/>
      <c r="J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Z714" s="5"/>
      <c r="BK714" s="22"/>
      <c r="BL714" s="23"/>
      <c r="BM714" s="22"/>
      <c r="BN714" s="22"/>
      <c r="BO714" s="22"/>
      <c r="BP714" s="22"/>
      <c r="BQ714" s="22"/>
      <c r="BR714" s="24"/>
    </row>
    <row r="715" spans="4:70">
      <c r="D715" s="5"/>
      <c r="E715" s="5"/>
      <c r="F715" s="5"/>
      <c r="G715" s="5"/>
      <c r="H715" s="5"/>
      <c r="I715" s="5"/>
      <c r="J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Z715" s="5"/>
      <c r="BK715" s="22"/>
      <c r="BL715" s="23"/>
      <c r="BM715" s="22"/>
      <c r="BN715" s="22"/>
      <c r="BO715" s="22"/>
      <c r="BP715" s="22"/>
      <c r="BQ715" s="22"/>
      <c r="BR715" s="24"/>
    </row>
    <row r="716" spans="4:70">
      <c r="D716" s="5"/>
      <c r="E716" s="5"/>
      <c r="F716" s="5"/>
      <c r="G716" s="5"/>
      <c r="H716" s="5"/>
      <c r="I716" s="5"/>
      <c r="J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Z716" s="5"/>
      <c r="BK716" s="22"/>
      <c r="BL716" s="23"/>
      <c r="BM716" s="22"/>
      <c r="BN716" s="22"/>
      <c r="BO716" s="22"/>
      <c r="BP716" s="22"/>
      <c r="BQ716" s="22"/>
      <c r="BR716" s="24"/>
    </row>
    <row r="717" spans="4:70">
      <c r="D717" s="5"/>
      <c r="E717" s="5"/>
      <c r="F717" s="5"/>
      <c r="G717" s="5"/>
      <c r="H717" s="5"/>
      <c r="I717" s="5"/>
      <c r="J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Z717" s="5"/>
      <c r="BK717" s="22"/>
      <c r="BL717" s="23"/>
      <c r="BM717" s="22"/>
      <c r="BN717" s="22"/>
      <c r="BO717" s="22"/>
      <c r="BP717" s="22"/>
      <c r="BQ717" s="22"/>
      <c r="BR717" s="24"/>
    </row>
    <row r="718" spans="4:70">
      <c r="D718" s="5"/>
      <c r="E718" s="5"/>
      <c r="F718" s="5"/>
      <c r="G718" s="5"/>
      <c r="H718" s="5"/>
      <c r="I718" s="5"/>
      <c r="J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Z718" s="5"/>
      <c r="BK718" s="22"/>
      <c r="BL718" s="23"/>
      <c r="BM718" s="22"/>
      <c r="BN718" s="22"/>
      <c r="BO718" s="22"/>
      <c r="BP718" s="22"/>
      <c r="BQ718" s="22"/>
      <c r="BR718" s="24"/>
    </row>
    <row r="719" spans="4:70">
      <c r="D719" s="5"/>
      <c r="E719" s="5"/>
      <c r="F719" s="5"/>
      <c r="G719" s="5"/>
      <c r="H719" s="5"/>
      <c r="I719" s="5"/>
      <c r="J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Z719" s="5"/>
      <c r="BK719" s="22"/>
      <c r="BL719" s="23"/>
      <c r="BM719" s="22"/>
      <c r="BN719" s="22"/>
      <c r="BO719" s="22"/>
      <c r="BP719" s="22"/>
      <c r="BQ719" s="22"/>
      <c r="BR719" s="24"/>
    </row>
    <row r="720" spans="4:70">
      <c r="D720" s="5"/>
      <c r="E720" s="5"/>
      <c r="F720" s="5"/>
      <c r="G720" s="5"/>
      <c r="H720" s="5"/>
      <c r="I720" s="5"/>
      <c r="J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Z720" s="5"/>
      <c r="BK720" s="22"/>
      <c r="BL720" s="23"/>
      <c r="BM720" s="22"/>
      <c r="BN720" s="22"/>
      <c r="BO720" s="22"/>
      <c r="BP720" s="22"/>
      <c r="BQ720" s="22"/>
      <c r="BR720" s="24"/>
    </row>
    <row r="721" spans="4:70">
      <c r="D721" s="5"/>
      <c r="E721" s="5"/>
      <c r="F721" s="5"/>
      <c r="G721" s="5"/>
      <c r="H721" s="5"/>
      <c r="I721" s="5"/>
      <c r="J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Z721" s="5"/>
      <c r="BK721" s="22"/>
      <c r="BL721" s="23"/>
      <c r="BM721" s="22"/>
      <c r="BN721" s="22"/>
      <c r="BO721" s="22"/>
      <c r="BP721" s="22"/>
      <c r="BQ721" s="22"/>
      <c r="BR721" s="24"/>
    </row>
    <row r="722" spans="4:70">
      <c r="D722" s="5"/>
      <c r="E722" s="5"/>
      <c r="F722" s="5"/>
      <c r="G722" s="5"/>
      <c r="H722" s="5"/>
      <c r="I722" s="5"/>
      <c r="J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Z722" s="5"/>
      <c r="BK722" s="22"/>
      <c r="BL722" s="23"/>
      <c r="BM722" s="22"/>
      <c r="BN722" s="22"/>
      <c r="BO722" s="22"/>
      <c r="BP722" s="22"/>
      <c r="BQ722" s="22"/>
      <c r="BR722" s="24"/>
    </row>
    <row r="723" spans="4:70">
      <c r="D723" s="5"/>
      <c r="E723" s="5"/>
      <c r="F723" s="5"/>
      <c r="G723" s="5"/>
      <c r="H723" s="5"/>
      <c r="I723" s="5"/>
      <c r="J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Z723" s="5"/>
      <c r="BK723" s="22"/>
      <c r="BL723" s="23"/>
      <c r="BM723" s="22"/>
      <c r="BN723" s="22"/>
      <c r="BO723" s="22"/>
      <c r="BP723" s="22"/>
      <c r="BQ723" s="22"/>
      <c r="BR723" s="24"/>
    </row>
    <row r="724" spans="4:70">
      <c r="D724" s="5"/>
      <c r="E724" s="5"/>
      <c r="F724" s="5"/>
      <c r="G724" s="5"/>
      <c r="H724" s="5"/>
      <c r="I724" s="5"/>
      <c r="J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Z724" s="5"/>
      <c r="BK724" s="22"/>
      <c r="BL724" s="23"/>
      <c r="BM724" s="22"/>
      <c r="BN724" s="22"/>
      <c r="BO724" s="22"/>
      <c r="BP724" s="22"/>
      <c r="BQ724" s="22"/>
      <c r="BR724" s="24"/>
    </row>
    <row r="725" spans="4:70">
      <c r="D725" s="5"/>
      <c r="E725" s="5"/>
      <c r="F725" s="5"/>
      <c r="G725" s="5"/>
      <c r="H725" s="5"/>
      <c r="I725" s="5"/>
      <c r="J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Z725" s="5"/>
      <c r="BK725" s="22"/>
      <c r="BL725" s="23"/>
      <c r="BM725" s="22"/>
      <c r="BN725" s="22"/>
      <c r="BO725" s="22"/>
      <c r="BP725" s="22"/>
      <c r="BQ725" s="22"/>
      <c r="BR725" s="24"/>
    </row>
    <row r="726" spans="4:70">
      <c r="D726" s="5"/>
      <c r="E726" s="5"/>
      <c r="F726" s="5"/>
      <c r="G726" s="5"/>
      <c r="H726" s="5"/>
      <c r="I726" s="5"/>
      <c r="J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Z726" s="5"/>
      <c r="BK726" s="22"/>
      <c r="BL726" s="23"/>
      <c r="BM726" s="22"/>
      <c r="BN726" s="22"/>
      <c r="BO726" s="22"/>
      <c r="BP726" s="22"/>
      <c r="BQ726" s="22"/>
      <c r="BR726" s="24"/>
    </row>
    <row r="727" spans="4:70">
      <c r="D727" s="5"/>
      <c r="E727" s="5"/>
      <c r="F727" s="5"/>
      <c r="G727" s="5"/>
      <c r="H727" s="5"/>
      <c r="I727" s="5"/>
      <c r="J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Z727" s="5"/>
      <c r="BK727" s="22"/>
      <c r="BL727" s="23"/>
      <c r="BM727" s="22"/>
      <c r="BN727" s="22"/>
      <c r="BO727" s="22"/>
      <c r="BP727" s="22"/>
      <c r="BQ727" s="22"/>
      <c r="BR727" s="24"/>
    </row>
    <row r="728" spans="4:70">
      <c r="D728" s="5"/>
      <c r="E728" s="5"/>
      <c r="F728" s="5"/>
      <c r="G728" s="5"/>
      <c r="H728" s="5"/>
      <c r="I728" s="5"/>
      <c r="J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Z728" s="5"/>
      <c r="BK728" s="22"/>
      <c r="BL728" s="23"/>
      <c r="BM728" s="22"/>
      <c r="BN728" s="22"/>
      <c r="BO728" s="22"/>
      <c r="BP728" s="22"/>
      <c r="BQ728" s="22"/>
      <c r="BR728" s="24"/>
    </row>
    <row r="729" spans="4:70">
      <c r="D729" s="5"/>
      <c r="E729" s="5"/>
      <c r="F729" s="5"/>
      <c r="G729" s="5"/>
      <c r="H729" s="5"/>
      <c r="I729" s="5"/>
      <c r="J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Z729" s="5"/>
      <c r="BK729" s="22"/>
      <c r="BL729" s="23"/>
      <c r="BM729" s="22"/>
      <c r="BN729" s="22"/>
      <c r="BO729" s="22"/>
      <c r="BP729" s="22"/>
      <c r="BQ729" s="22"/>
      <c r="BR729" s="24"/>
    </row>
    <row r="730" spans="4:70">
      <c r="D730" s="5"/>
      <c r="E730" s="5"/>
      <c r="F730" s="5"/>
      <c r="G730" s="5"/>
      <c r="H730" s="5"/>
      <c r="I730" s="5"/>
      <c r="J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Z730" s="5"/>
      <c r="BK730" s="22"/>
      <c r="BL730" s="23"/>
      <c r="BM730" s="22"/>
      <c r="BN730" s="22"/>
      <c r="BO730" s="22"/>
      <c r="BP730" s="22"/>
      <c r="BQ730" s="22"/>
      <c r="BR730" s="24"/>
    </row>
    <row r="731" spans="4:70">
      <c r="D731" s="5"/>
      <c r="E731" s="5"/>
      <c r="F731" s="5"/>
      <c r="G731" s="5"/>
      <c r="H731" s="5"/>
      <c r="I731" s="5"/>
      <c r="J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Z731" s="5"/>
      <c r="BK731" s="22"/>
      <c r="BL731" s="23"/>
      <c r="BM731" s="22"/>
      <c r="BN731" s="22"/>
      <c r="BO731" s="22"/>
      <c r="BP731" s="22"/>
      <c r="BQ731" s="22"/>
      <c r="BR731" s="24"/>
    </row>
    <row r="732" spans="4:70">
      <c r="D732" s="5"/>
      <c r="E732" s="5"/>
      <c r="F732" s="5"/>
      <c r="G732" s="5"/>
      <c r="H732" s="5"/>
      <c r="I732" s="5"/>
      <c r="J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Z732" s="5"/>
      <c r="BK732" s="22"/>
      <c r="BL732" s="23"/>
      <c r="BM732" s="22"/>
      <c r="BN732" s="22"/>
      <c r="BO732" s="22"/>
      <c r="BP732" s="22"/>
      <c r="BQ732" s="22"/>
      <c r="BR732" s="24"/>
    </row>
    <row r="733" spans="4:70">
      <c r="D733" s="5"/>
      <c r="E733" s="5"/>
      <c r="F733" s="5"/>
      <c r="G733" s="5"/>
      <c r="H733" s="5"/>
      <c r="I733" s="5"/>
      <c r="J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Z733" s="5"/>
      <c r="BK733" s="22"/>
      <c r="BL733" s="23"/>
      <c r="BM733" s="22"/>
      <c r="BN733" s="22"/>
      <c r="BO733" s="22"/>
      <c r="BP733" s="22"/>
      <c r="BQ733" s="22"/>
      <c r="BR733" s="24"/>
    </row>
    <row r="734" spans="4:70">
      <c r="D734" s="5"/>
      <c r="E734" s="5"/>
      <c r="F734" s="5"/>
      <c r="G734" s="5"/>
      <c r="H734" s="5"/>
      <c r="I734" s="5"/>
      <c r="J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Z734" s="5"/>
      <c r="BK734" s="22"/>
      <c r="BL734" s="23"/>
      <c r="BM734" s="22"/>
      <c r="BN734" s="22"/>
      <c r="BO734" s="22"/>
      <c r="BP734" s="22"/>
      <c r="BQ734" s="22"/>
      <c r="BR734" s="24"/>
    </row>
    <row r="735" spans="4:70">
      <c r="D735" s="5"/>
      <c r="E735" s="5"/>
      <c r="F735" s="5"/>
      <c r="G735" s="5"/>
      <c r="H735" s="5"/>
      <c r="I735" s="5"/>
      <c r="J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Z735" s="5"/>
      <c r="BK735" s="22"/>
      <c r="BL735" s="23"/>
      <c r="BM735" s="22"/>
      <c r="BN735" s="22"/>
      <c r="BO735" s="22"/>
      <c r="BP735" s="22"/>
      <c r="BQ735" s="22"/>
      <c r="BR735" s="24"/>
    </row>
    <row r="736" spans="4:70">
      <c r="D736" s="5"/>
      <c r="E736" s="5"/>
      <c r="F736" s="5"/>
      <c r="G736" s="5"/>
      <c r="H736" s="5"/>
      <c r="I736" s="5"/>
      <c r="J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Z736" s="5"/>
      <c r="BK736" s="22"/>
      <c r="BL736" s="23"/>
      <c r="BM736" s="22"/>
      <c r="BN736" s="22"/>
      <c r="BO736" s="22"/>
      <c r="BP736" s="22"/>
      <c r="BQ736" s="22"/>
      <c r="BR736" s="24"/>
    </row>
    <row r="737" spans="4:70">
      <c r="D737" s="5"/>
      <c r="E737" s="5"/>
      <c r="F737" s="5"/>
      <c r="G737" s="5"/>
      <c r="H737" s="5"/>
      <c r="I737" s="5"/>
      <c r="J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Z737" s="5"/>
      <c r="BK737" s="22"/>
      <c r="BL737" s="23"/>
      <c r="BM737" s="22"/>
      <c r="BN737" s="22"/>
      <c r="BO737" s="22"/>
      <c r="BP737" s="22"/>
      <c r="BQ737" s="22"/>
      <c r="BR737" s="24"/>
    </row>
    <row r="738" spans="4:70">
      <c r="D738" s="5"/>
      <c r="E738" s="5"/>
      <c r="F738" s="5"/>
      <c r="G738" s="5"/>
      <c r="H738" s="5"/>
      <c r="I738" s="5"/>
      <c r="J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Z738" s="5"/>
      <c r="BK738" s="22"/>
      <c r="BL738" s="23"/>
      <c r="BM738" s="22"/>
      <c r="BN738" s="22"/>
      <c r="BO738" s="22"/>
      <c r="BP738" s="22"/>
      <c r="BQ738" s="22"/>
      <c r="BR738" s="24"/>
    </row>
    <row r="739" spans="4:70">
      <c r="D739" s="5"/>
      <c r="E739" s="5"/>
      <c r="F739" s="5"/>
      <c r="G739" s="5"/>
      <c r="H739" s="5"/>
      <c r="I739" s="5"/>
      <c r="J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Z739" s="5"/>
      <c r="BK739" s="22"/>
      <c r="BL739" s="23"/>
      <c r="BM739" s="22"/>
      <c r="BN739" s="22"/>
      <c r="BO739" s="22"/>
      <c r="BP739" s="22"/>
      <c r="BQ739" s="22"/>
      <c r="BR739" s="24"/>
    </row>
    <row r="740" spans="4:70">
      <c r="D740" s="5"/>
      <c r="E740" s="5"/>
      <c r="F740" s="5"/>
      <c r="G740" s="5"/>
      <c r="H740" s="5"/>
      <c r="I740" s="5"/>
      <c r="J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Z740" s="5"/>
      <c r="BK740" s="22"/>
      <c r="BL740" s="23"/>
      <c r="BM740" s="22"/>
      <c r="BN740" s="22"/>
      <c r="BO740" s="22"/>
      <c r="BP740" s="22"/>
      <c r="BQ740" s="22"/>
      <c r="BR740" s="24"/>
    </row>
    <row r="741" spans="4:70">
      <c r="D741" s="5"/>
      <c r="E741" s="5"/>
      <c r="F741" s="5"/>
      <c r="G741" s="5"/>
      <c r="H741" s="5"/>
      <c r="I741" s="5"/>
      <c r="J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Z741" s="5"/>
      <c r="BK741" s="22"/>
      <c r="BL741" s="23"/>
      <c r="BM741" s="22"/>
      <c r="BN741" s="22"/>
      <c r="BO741" s="22"/>
      <c r="BP741" s="22"/>
      <c r="BQ741" s="22"/>
      <c r="BR741" s="24"/>
    </row>
    <row r="742" spans="4:70">
      <c r="D742" s="5"/>
      <c r="E742" s="5"/>
      <c r="F742" s="5"/>
      <c r="G742" s="5"/>
      <c r="H742" s="5"/>
      <c r="I742" s="5"/>
      <c r="J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Z742" s="5"/>
      <c r="BK742" s="22"/>
      <c r="BL742" s="23"/>
      <c r="BM742" s="22"/>
      <c r="BN742" s="22"/>
      <c r="BO742" s="22"/>
      <c r="BP742" s="22"/>
      <c r="BQ742" s="22"/>
      <c r="BR742" s="24"/>
    </row>
    <row r="743" spans="4:70">
      <c r="D743" s="5"/>
      <c r="E743" s="5"/>
      <c r="F743" s="5"/>
      <c r="G743" s="5"/>
      <c r="H743" s="5"/>
      <c r="I743" s="5"/>
      <c r="J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Z743" s="5"/>
      <c r="BK743" s="22"/>
      <c r="BL743" s="23"/>
      <c r="BM743" s="22"/>
      <c r="BN743" s="22"/>
      <c r="BO743" s="22"/>
      <c r="BP743" s="22"/>
      <c r="BQ743" s="22"/>
      <c r="BR743" s="24"/>
    </row>
    <row r="744" spans="4:70">
      <c r="D744" s="5"/>
      <c r="E744" s="5"/>
      <c r="F744" s="5"/>
      <c r="G744" s="5"/>
      <c r="H744" s="5"/>
      <c r="I744" s="5"/>
      <c r="J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Z744" s="5"/>
      <c r="BK744" s="22"/>
      <c r="BL744" s="23"/>
      <c r="BM744" s="22"/>
      <c r="BN744" s="22"/>
      <c r="BO744" s="22"/>
      <c r="BP744" s="22"/>
      <c r="BQ744" s="22"/>
      <c r="BR744" s="24"/>
    </row>
    <row r="745" spans="4:70">
      <c r="D745" s="5"/>
      <c r="E745" s="5"/>
      <c r="F745" s="5"/>
      <c r="G745" s="5"/>
      <c r="H745" s="5"/>
      <c r="I745" s="5"/>
      <c r="J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Z745" s="5"/>
      <c r="BK745" s="22"/>
      <c r="BL745" s="23"/>
      <c r="BM745" s="22"/>
      <c r="BN745" s="22"/>
      <c r="BO745" s="22"/>
      <c r="BP745" s="22"/>
      <c r="BQ745" s="22"/>
      <c r="BR745" s="24"/>
    </row>
    <row r="746" spans="4:70">
      <c r="D746" s="5"/>
      <c r="E746" s="5"/>
      <c r="F746" s="5"/>
      <c r="G746" s="5"/>
      <c r="H746" s="5"/>
      <c r="I746" s="5"/>
      <c r="J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Z746" s="5"/>
      <c r="BK746" s="22"/>
      <c r="BL746" s="23"/>
      <c r="BM746" s="22"/>
      <c r="BN746" s="22"/>
      <c r="BO746" s="22"/>
      <c r="BP746" s="22"/>
      <c r="BQ746" s="22"/>
      <c r="BR746" s="24"/>
    </row>
    <row r="747" spans="4:70">
      <c r="D747" s="5"/>
      <c r="E747" s="5"/>
      <c r="F747" s="5"/>
      <c r="G747" s="5"/>
      <c r="H747" s="5"/>
      <c r="I747" s="5"/>
      <c r="J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Z747" s="5"/>
      <c r="BK747" s="22"/>
      <c r="BL747" s="23"/>
      <c r="BM747" s="22"/>
      <c r="BN747" s="22"/>
      <c r="BO747" s="22"/>
      <c r="BP747" s="22"/>
      <c r="BQ747" s="22"/>
      <c r="BR747" s="24"/>
    </row>
    <row r="748" spans="4:70">
      <c r="D748" s="5"/>
      <c r="E748" s="5"/>
      <c r="F748" s="5"/>
      <c r="G748" s="5"/>
      <c r="H748" s="5"/>
      <c r="I748" s="5"/>
      <c r="J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Z748" s="5"/>
      <c r="BK748" s="22"/>
      <c r="BL748" s="23"/>
      <c r="BM748" s="22"/>
      <c r="BN748" s="22"/>
      <c r="BO748" s="22"/>
      <c r="BP748" s="22"/>
      <c r="BQ748" s="22"/>
      <c r="BR748" s="24"/>
    </row>
    <row r="749" spans="4:70">
      <c r="D749" s="5"/>
      <c r="E749" s="5"/>
      <c r="F749" s="5"/>
      <c r="G749" s="5"/>
      <c r="H749" s="5"/>
      <c r="I749" s="5"/>
      <c r="J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Z749" s="5"/>
      <c r="BK749" s="22"/>
      <c r="BL749" s="23"/>
      <c r="BM749" s="22"/>
      <c r="BN749" s="22"/>
      <c r="BO749" s="22"/>
      <c r="BP749" s="22"/>
      <c r="BQ749" s="22"/>
      <c r="BR749" s="24"/>
    </row>
    <row r="750" spans="4:70">
      <c r="D750" s="5"/>
      <c r="E750" s="5"/>
      <c r="F750" s="5"/>
      <c r="G750" s="5"/>
      <c r="H750" s="5"/>
      <c r="I750" s="5"/>
      <c r="J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Z750" s="5"/>
      <c r="BK750" s="22"/>
      <c r="BL750" s="23"/>
      <c r="BM750" s="22"/>
      <c r="BN750" s="22"/>
      <c r="BO750" s="22"/>
      <c r="BP750" s="22"/>
      <c r="BQ750" s="22"/>
      <c r="BR750" s="24"/>
    </row>
    <row r="751" spans="4:70">
      <c r="D751" s="5"/>
      <c r="E751" s="5"/>
      <c r="F751" s="5"/>
      <c r="G751" s="5"/>
      <c r="H751" s="5"/>
      <c r="I751" s="5"/>
      <c r="J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Z751" s="5"/>
      <c r="BK751" s="22"/>
      <c r="BL751" s="23"/>
      <c r="BM751" s="22"/>
      <c r="BN751" s="22"/>
      <c r="BO751" s="22"/>
      <c r="BP751" s="22"/>
      <c r="BQ751" s="22"/>
      <c r="BR751" s="24"/>
    </row>
    <row r="752" spans="4:70">
      <c r="D752" s="5"/>
      <c r="E752" s="5"/>
      <c r="F752" s="5"/>
      <c r="G752" s="5"/>
      <c r="H752" s="5"/>
      <c r="I752" s="5"/>
      <c r="J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Z752" s="5"/>
      <c r="BK752" s="22"/>
      <c r="BL752" s="23"/>
      <c r="BM752" s="22"/>
      <c r="BN752" s="22"/>
      <c r="BO752" s="22"/>
      <c r="BP752" s="22"/>
      <c r="BQ752" s="22"/>
      <c r="BR752" s="24"/>
    </row>
    <row r="753" spans="4:70">
      <c r="D753" s="5"/>
      <c r="E753" s="5"/>
      <c r="F753" s="5"/>
      <c r="G753" s="5"/>
      <c r="H753" s="5"/>
      <c r="I753" s="5"/>
      <c r="J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Z753" s="5"/>
      <c r="BK753" s="22"/>
      <c r="BL753" s="23"/>
      <c r="BM753" s="22"/>
      <c r="BN753" s="22"/>
      <c r="BO753" s="22"/>
      <c r="BP753" s="22"/>
      <c r="BQ753" s="22"/>
      <c r="BR753" s="24"/>
    </row>
    <row r="754" spans="4:70">
      <c r="D754" s="5"/>
      <c r="E754" s="5"/>
      <c r="F754" s="5"/>
      <c r="G754" s="5"/>
      <c r="H754" s="5"/>
      <c r="I754" s="5"/>
      <c r="J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Z754" s="5"/>
      <c r="BK754" s="22"/>
      <c r="BL754" s="23"/>
      <c r="BM754" s="22"/>
      <c r="BN754" s="22"/>
      <c r="BO754" s="22"/>
      <c r="BP754" s="22"/>
      <c r="BQ754" s="22"/>
      <c r="BR754" s="24"/>
    </row>
    <row r="755" spans="4:70">
      <c r="D755" s="5"/>
      <c r="E755" s="5"/>
      <c r="F755" s="5"/>
      <c r="G755" s="5"/>
      <c r="H755" s="5"/>
      <c r="I755" s="5"/>
      <c r="J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Z755" s="5"/>
      <c r="BK755" s="22"/>
      <c r="BL755" s="23"/>
      <c r="BM755" s="22"/>
      <c r="BN755" s="22"/>
      <c r="BO755" s="22"/>
      <c r="BP755" s="22"/>
      <c r="BQ755" s="22"/>
      <c r="BR755" s="24"/>
    </row>
    <row r="756" spans="4:70">
      <c r="D756" s="5"/>
      <c r="E756" s="5"/>
      <c r="F756" s="5"/>
      <c r="G756" s="5"/>
      <c r="H756" s="5"/>
      <c r="I756" s="5"/>
      <c r="J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Z756" s="5"/>
      <c r="BK756" s="22"/>
      <c r="BL756" s="23"/>
      <c r="BM756" s="22"/>
      <c r="BN756" s="22"/>
      <c r="BO756" s="22"/>
      <c r="BP756" s="22"/>
      <c r="BQ756" s="22"/>
      <c r="BR756" s="24"/>
    </row>
    <row r="757" spans="4:70">
      <c r="D757" s="5"/>
      <c r="E757" s="5"/>
      <c r="F757" s="5"/>
      <c r="G757" s="5"/>
      <c r="H757" s="5"/>
      <c r="I757" s="5"/>
      <c r="J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Z757" s="5"/>
      <c r="BK757" s="22"/>
      <c r="BL757" s="23"/>
      <c r="BM757" s="22"/>
      <c r="BN757" s="22"/>
      <c r="BO757" s="22"/>
      <c r="BP757" s="22"/>
      <c r="BQ757" s="22"/>
      <c r="BR757" s="24"/>
    </row>
    <row r="758" spans="4:70">
      <c r="D758" s="5"/>
      <c r="E758" s="5"/>
      <c r="F758" s="5"/>
      <c r="G758" s="5"/>
      <c r="H758" s="5"/>
      <c r="I758" s="5"/>
      <c r="J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Z758" s="5"/>
      <c r="BK758" s="22"/>
      <c r="BL758" s="23"/>
      <c r="BM758" s="22"/>
      <c r="BN758" s="22"/>
      <c r="BO758" s="22"/>
      <c r="BP758" s="22"/>
      <c r="BQ758" s="22"/>
      <c r="BR758" s="24"/>
    </row>
    <row r="759" spans="4:70">
      <c r="D759" s="5"/>
      <c r="E759" s="5"/>
      <c r="F759" s="5"/>
      <c r="G759" s="5"/>
      <c r="H759" s="5"/>
      <c r="I759" s="5"/>
      <c r="J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Z759" s="5"/>
      <c r="BK759" s="22"/>
      <c r="BL759" s="23"/>
      <c r="BM759" s="22"/>
      <c r="BN759" s="22"/>
      <c r="BO759" s="22"/>
      <c r="BP759" s="22"/>
      <c r="BQ759" s="22"/>
      <c r="BR759" s="24"/>
    </row>
    <row r="760" spans="4:70">
      <c r="D760" s="5"/>
      <c r="E760" s="5"/>
      <c r="F760" s="5"/>
      <c r="G760" s="5"/>
      <c r="H760" s="5"/>
      <c r="I760" s="5"/>
      <c r="J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Z760" s="5"/>
      <c r="BK760" s="22"/>
      <c r="BL760" s="23"/>
      <c r="BM760" s="22"/>
      <c r="BN760" s="22"/>
      <c r="BO760" s="22"/>
      <c r="BP760" s="22"/>
      <c r="BQ760" s="22"/>
      <c r="BR760" s="24"/>
    </row>
    <row r="761" spans="4:70">
      <c r="D761" s="5"/>
      <c r="E761" s="5"/>
      <c r="F761" s="5"/>
      <c r="G761" s="5"/>
      <c r="H761" s="5"/>
      <c r="I761" s="5"/>
      <c r="J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Z761" s="5"/>
      <c r="BK761" s="22"/>
      <c r="BL761" s="23"/>
      <c r="BM761" s="22"/>
      <c r="BN761" s="22"/>
      <c r="BO761" s="22"/>
      <c r="BP761" s="22"/>
      <c r="BQ761" s="22"/>
      <c r="BR761" s="24"/>
    </row>
    <row r="762" spans="4:70">
      <c r="D762" s="5"/>
      <c r="E762" s="5"/>
      <c r="F762" s="5"/>
      <c r="G762" s="5"/>
      <c r="H762" s="5"/>
      <c r="I762" s="5"/>
      <c r="J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Z762" s="5"/>
      <c r="BK762" s="22"/>
      <c r="BL762" s="23"/>
      <c r="BM762" s="22"/>
      <c r="BN762" s="22"/>
      <c r="BO762" s="22"/>
      <c r="BP762" s="22"/>
      <c r="BQ762" s="22"/>
      <c r="BR762" s="24"/>
    </row>
    <row r="763" spans="4:70">
      <c r="D763" s="5"/>
      <c r="E763" s="5"/>
      <c r="F763" s="5"/>
      <c r="G763" s="5"/>
      <c r="H763" s="5"/>
      <c r="I763" s="5"/>
      <c r="J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Z763" s="5"/>
      <c r="BK763" s="22"/>
      <c r="BL763" s="23"/>
      <c r="BM763" s="22"/>
      <c r="BN763" s="22"/>
      <c r="BO763" s="22"/>
      <c r="BP763" s="22"/>
      <c r="BQ763" s="22"/>
      <c r="BR763" s="24"/>
    </row>
    <row r="764" spans="4:70">
      <c r="D764" s="5"/>
      <c r="E764" s="5"/>
      <c r="F764" s="5"/>
      <c r="G764" s="5"/>
      <c r="H764" s="5"/>
      <c r="I764" s="5"/>
      <c r="J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Z764" s="5"/>
      <c r="BK764" s="22"/>
      <c r="BL764" s="23"/>
      <c r="BM764" s="22"/>
      <c r="BN764" s="22"/>
      <c r="BO764" s="22"/>
      <c r="BP764" s="22"/>
      <c r="BQ764" s="22"/>
      <c r="BR764" s="24"/>
    </row>
    <row r="765" spans="4:70">
      <c r="D765" s="5"/>
      <c r="E765" s="5"/>
      <c r="F765" s="5"/>
      <c r="G765" s="5"/>
      <c r="H765" s="5"/>
      <c r="I765" s="5"/>
      <c r="J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Z765" s="5"/>
      <c r="BK765" s="22"/>
      <c r="BL765" s="23"/>
      <c r="BM765" s="22"/>
      <c r="BN765" s="22"/>
      <c r="BO765" s="22"/>
      <c r="BP765" s="22"/>
      <c r="BQ765" s="22"/>
      <c r="BR765" s="24"/>
    </row>
    <row r="766" spans="4:70">
      <c r="D766" s="5"/>
      <c r="E766" s="5"/>
      <c r="F766" s="5"/>
      <c r="G766" s="5"/>
      <c r="H766" s="5"/>
      <c r="I766" s="5"/>
      <c r="J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Z766" s="5"/>
      <c r="BK766" s="22"/>
      <c r="BL766" s="23"/>
      <c r="BM766" s="22"/>
      <c r="BN766" s="22"/>
      <c r="BO766" s="22"/>
      <c r="BP766" s="22"/>
      <c r="BQ766" s="22"/>
      <c r="BR766" s="24"/>
    </row>
    <row r="767" spans="4:70">
      <c r="D767" s="5"/>
      <c r="E767" s="5"/>
      <c r="F767" s="5"/>
      <c r="G767" s="5"/>
      <c r="H767" s="5"/>
      <c r="I767" s="5"/>
      <c r="J767" s="5"/>
    </row>
    <row r="768" spans="4:70">
      <c r="D768" s="5"/>
      <c r="E768" s="5"/>
      <c r="F768" s="5"/>
      <c r="G768" s="5"/>
      <c r="H768" s="5"/>
      <c r="I768" s="5"/>
      <c r="J768" s="5"/>
    </row>
    <row r="769" spans="4:52">
      <c r="D769" s="5"/>
      <c r="E769" s="5"/>
      <c r="F769" s="5"/>
      <c r="G769" s="5"/>
      <c r="H769" s="5"/>
      <c r="I769" s="5"/>
      <c r="J769" s="5"/>
    </row>
    <row r="770" spans="4:52">
      <c r="D770" s="5"/>
      <c r="E770" s="5"/>
      <c r="F770" s="5"/>
      <c r="G770" s="5"/>
      <c r="H770" s="5"/>
      <c r="I770" s="5"/>
      <c r="J770" s="5"/>
    </row>
    <row r="771" spans="4:52">
      <c r="D771" s="5"/>
      <c r="E771" s="5"/>
      <c r="F771" s="5"/>
      <c r="G771" s="5"/>
      <c r="H771" s="5"/>
      <c r="I771" s="5"/>
      <c r="J771" s="5"/>
    </row>
    <row r="772" spans="4:52">
      <c r="D772" s="5"/>
      <c r="E772" s="5"/>
      <c r="F772" s="5"/>
      <c r="G772" s="5"/>
      <c r="H772" s="5"/>
      <c r="I772" s="5"/>
      <c r="J772" s="5"/>
    </row>
    <row r="773" spans="4:52">
      <c r="D773" s="5"/>
      <c r="E773" s="5"/>
      <c r="F773" s="5"/>
      <c r="G773" s="5"/>
      <c r="H773" s="5"/>
      <c r="I773" s="5"/>
      <c r="J773" s="5"/>
    </row>
    <row r="774" spans="4:52">
      <c r="D774" s="5"/>
      <c r="E774" s="5"/>
      <c r="F774" s="5"/>
      <c r="G774" s="5"/>
      <c r="H774" s="5"/>
      <c r="I774" s="5"/>
      <c r="J774" s="5"/>
    </row>
    <row r="775" spans="4:52">
      <c r="D775" s="5"/>
      <c r="E775" s="5"/>
      <c r="F775" s="5"/>
      <c r="G775" s="5"/>
      <c r="H775" s="5"/>
      <c r="I775" s="5"/>
      <c r="J775" s="5"/>
    </row>
    <row r="776" spans="4:52">
      <c r="D776" s="5"/>
      <c r="E776" s="5"/>
      <c r="F776" s="5"/>
      <c r="G776" s="5"/>
      <c r="H776" s="5"/>
      <c r="I776" s="5"/>
      <c r="J776" s="5"/>
    </row>
    <row r="777" spans="4:52">
      <c r="D777" s="5"/>
      <c r="E777" s="5"/>
      <c r="F777" s="5"/>
      <c r="G777" s="5"/>
      <c r="H777" s="5"/>
      <c r="I777" s="5"/>
      <c r="J777" s="5"/>
    </row>
    <row r="778" spans="4:52">
      <c r="D778" s="5"/>
      <c r="E778" s="5"/>
      <c r="F778" s="5"/>
      <c r="G778" s="5"/>
      <c r="H778" s="5"/>
      <c r="I778" s="5"/>
      <c r="J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Z778" s="5"/>
    </row>
    <row r="779" spans="4:52">
      <c r="D779" s="5"/>
      <c r="E779" s="5"/>
      <c r="F779" s="5"/>
      <c r="G779" s="5"/>
      <c r="H779" s="5"/>
      <c r="I779" s="5"/>
      <c r="J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Z779" s="5"/>
    </row>
    <row r="780" spans="4:52">
      <c r="D780" s="5"/>
      <c r="E780" s="5"/>
      <c r="F780" s="5"/>
      <c r="G780" s="5"/>
      <c r="H780" s="5"/>
      <c r="I780" s="5"/>
      <c r="J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Z780" s="5"/>
    </row>
    <row r="781" spans="4:52">
      <c r="D781" s="5"/>
      <c r="E781" s="5"/>
      <c r="F781" s="5"/>
      <c r="G781" s="5"/>
      <c r="H781" s="5"/>
      <c r="I781" s="5"/>
      <c r="J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Z781" s="5"/>
    </row>
  </sheetData>
  <hyperlinks>
    <hyperlink ref="B1" location="ROIC!B16" display="MND AU Equity" xr:uid="{00000000-0004-0000-0600-000000000000}"/>
  </hyperlinks>
  <pageMargins left="0.74803149606299213" right="0.74803149606299213" top="0.98425196850393704" bottom="0.98425196850393704" header="0.51181102362204722" footer="0.51181102362204722"/>
  <pageSetup paperSize="9" scale="14" orientation="landscape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F65EE-D125-40FD-B567-EB4B4E708193}">
  <sheetPr codeName="wsROIC1">
    <tabColor rgb="FFFFFF00"/>
    <pageSetUpPr fitToPage="1"/>
  </sheetPr>
  <dimension ref="A1:BT781"/>
  <sheetViews>
    <sheetView showGridLines="0" zoomScale="80" zoomScaleNormal="80" workbookViewId="0">
      <pane xSplit="3" ySplit="16" topLeftCell="D17" activePane="bottomRight" state="frozen"/>
      <selection pane="topRight" activeCell="D1" sqref="D1"/>
      <selection pane="bottomLeft" activeCell="A17" sqref="A17"/>
      <selection pane="bottomRight" activeCell="K1" sqref="D1:K1048576"/>
    </sheetView>
  </sheetViews>
  <sheetFormatPr defaultColWidth="9.1328125" defaultRowHeight="12.75" outlineLevelRow="2" outlineLevelCol="1"/>
  <cols>
    <col min="1" max="1" width="9" style="5" hidden="1" customWidth="1" outlineLevel="1"/>
    <col min="2" max="2" width="41.59765625" style="5" hidden="1" customWidth="1" outlineLevel="1"/>
    <col min="3" max="3" width="39.1328125" style="5" customWidth="1" collapsed="1"/>
    <col min="4" max="11" width="11.59765625" style="20" hidden="1" customWidth="1"/>
    <col min="12" max="29" width="11.59765625" style="20" customWidth="1"/>
    <col min="30" max="30" width="12.86328125" style="5" customWidth="1"/>
    <col min="31" max="31" width="8" style="5" customWidth="1"/>
    <col min="32" max="33" width="7.265625" style="5" customWidth="1"/>
    <col min="34" max="34" width="28.3984375" style="5" bestFit="1" customWidth="1"/>
    <col min="35" max="35" width="9.1328125" style="5" customWidth="1"/>
    <col min="36" max="36" width="10.265625" style="22" customWidth="1" outlineLevel="1"/>
    <col min="37" max="37" width="10.265625" style="23" customWidth="1" outlineLevel="1"/>
    <col min="38" max="50" width="10.265625" style="22" customWidth="1" outlineLevel="1"/>
    <col min="51" max="51" width="11.59765625" style="20" customWidth="1"/>
    <col min="52" max="52" width="3.1328125" style="24" customWidth="1"/>
    <col min="53" max="53" width="16.3984375" style="5" bestFit="1" customWidth="1"/>
    <col min="54" max="54" width="9.1328125" style="5" customWidth="1"/>
    <col min="55" max="16384" width="9.1328125" style="5"/>
  </cols>
  <sheetData>
    <row r="1" spans="2:52" ht="14.65" hidden="1" outlineLevel="1" thickBot="1">
      <c r="B1" s="71" t="s">
        <v>3794</v>
      </c>
      <c r="C1" s="18">
        <f>AH1</f>
        <v>0</v>
      </c>
      <c r="D1" s="31" t="str">
        <f t="shared" ref="D1:Y1" si="0">IF(D490="…","…",D493/D490)</f>
        <v>…</v>
      </c>
      <c r="E1" s="31" t="str">
        <f t="shared" si="0"/>
        <v>…</v>
      </c>
      <c r="F1" s="31" t="str">
        <f t="shared" si="0"/>
        <v>…</v>
      </c>
      <c r="G1" s="31" t="str">
        <f t="shared" si="0"/>
        <v>…</v>
      </c>
      <c r="H1" s="31" t="str">
        <f t="shared" si="0"/>
        <v>…</v>
      </c>
      <c r="I1" s="31" t="str">
        <f t="shared" si="0"/>
        <v>…</v>
      </c>
      <c r="J1" s="31" t="str">
        <f t="shared" si="0"/>
        <v>…</v>
      </c>
      <c r="K1" s="31" t="str">
        <f t="shared" si="0"/>
        <v>…</v>
      </c>
      <c r="L1" s="31" t="str">
        <f t="shared" si="0"/>
        <v>…</v>
      </c>
      <c r="M1" s="31">
        <f t="shared" si="0"/>
        <v>0</v>
      </c>
      <c r="N1" s="31">
        <f t="shared" si="0"/>
        <v>0</v>
      </c>
      <c r="O1" s="19">
        <f t="shared" si="0"/>
        <v>0</v>
      </c>
      <c r="P1" s="19">
        <f t="shared" si="0"/>
        <v>0</v>
      </c>
      <c r="Q1" s="19">
        <f t="shared" si="0"/>
        <v>7.2536212565537002E-3</v>
      </c>
      <c r="R1" s="19">
        <f t="shared" si="0"/>
        <v>6.6232004110696142E-3</v>
      </c>
      <c r="S1" s="19">
        <f t="shared" si="0"/>
        <v>7.1085853114697907E-3</v>
      </c>
      <c r="T1" s="19">
        <f t="shared" si="0"/>
        <v>6.8413731164904132E-3</v>
      </c>
      <c r="U1" s="19">
        <f t="shared" si="0"/>
        <v>7.9418606091202701E-3</v>
      </c>
      <c r="V1" s="19" t="str">
        <f t="shared" si="0"/>
        <v>…</v>
      </c>
      <c r="W1" s="19" t="str">
        <f t="shared" si="0"/>
        <v>…</v>
      </c>
      <c r="X1" s="19" t="str">
        <f t="shared" si="0"/>
        <v>…</v>
      </c>
      <c r="Y1" s="19" t="str">
        <f t="shared" si="0"/>
        <v>…</v>
      </c>
      <c r="Z1" s="19"/>
      <c r="AA1" s="19"/>
      <c r="AE1" s="21" t="str">
        <f>B1</f>
        <v>RACE US Equity</v>
      </c>
      <c r="AY1" s="19"/>
    </row>
    <row r="2" spans="2:52" ht="14.25" hidden="1" outlineLevel="1">
      <c r="B2" s="71"/>
      <c r="C2" s="18"/>
      <c r="D2" s="25" t="str">
        <f t="shared" ref="D2:Y2" si="1">IF(D490="…","…",D493)</f>
        <v>…</v>
      </c>
      <c r="E2" s="25" t="str">
        <f t="shared" si="1"/>
        <v>…</v>
      </c>
      <c r="F2" s="25" t="str">
        <f t="shared" si="1"/>
        <v>…</v>
      </c>
      <c r="G2" s="25" t="str">
        <f t="shared" si="1"/>
        <v>…</v>
      </c>
      <c r="H2" s="25" t="str">
        <f t="shared" si="1"/>
        <v>…</v>
      </c>
      <c r="I2" s="25" t="str">
        <f t="shared" si="1"/>
        <v>…</v>
      </c>
      <c r="J2" s="25" t="str">
        <f t="shared" si="1"/>
        <v>…</v>
      </c>
      <c r="K2" s="25" t="str">
        <f t="shared" si="1"/>
        <v>…</v>
      </c>
      <c r="L2" s="25" t="str">
        <f t="shared" si="1"/>
        <v>…</v>
      </c>
      <c r="M2" s="25">
        <f t="shared" si="1"/>
        <v>0</v>
      </c>
      <c r="N2" s="25">
        <f t="shared" si="1"/>
        <v>0</v>
      </c>
      <c r="O2" s="25">
        <f t="shared" si="1"/>
        <v>0</v>
      </c>
      <c r="P2" s="25">
        <f t="shared" si="1"/>
        <v>0</v>
      </c>
      <c r="Q2" s="25">
        <f t="shared" si="1"/>
        <v>30.037999999999556</v>
      </c>
      <c r="R2" s="25">
        <f t="shared" si="1"/>
        <v>32.134000000000015</v>
      </c>
      <c r="S2" s="25">
        <f t="shared" si="1"/>
        <v>38.716000000000349</v>
      </c>
      <c r="T2" s="25">
        <f t="shared" si="1"/>
        <v>42.84099999999944</v>
      </c>
      <c r="U2" s="25">
        <f t="shared" si="1"/>
        <v>54.509000000000015</v>
      </c>
      <c r="V2" s="25" t="str">
        <f t="shared" si="1"/>
        <v>…</v>
      </c>
      <c r="W2" s="25" t="str">
        <f t="shared" si="1"/>
        <v>…</v>
      </c>
      <c r="X2" s="25" t="str">
        <f t="shared" si="1"/>
        <v>…</v>
      </c>
      <c r="Y2" s="25" t="str">
        <f t="shared" si="1"/>
        <v>…</v>
      </c>
      <c r="Z2" s="25"/>
      <c r="AA2" s="25"/>
      <c r="AY2" s="25"/>
    </row>
    <row r="3" spans="2:52" collapsed="1">
      <c r="B3" s="5" t="s">
        <v>117</v>
      </c>
      <c r="AA3" s="25"/>
    </row>
    <row r="4" spans="2:52" ht="13.15" hidden="1" outlineLevel="1">
      <c r="B4" s="5" t="s">
        <v>11</v>
      </c>
      <c r="D4" s="25">
        <f>IFERROR(MATCH(YEAR(D6),'Other Data'!$5:$5,0)-2,C4)</f>
        <v>0</v>
      </c>
      <c r="E4" s="25">
        <f>IFERROR(MATCH(YEAR(E6),'Other Data'!$5:$5,0)-2,D4)</f>
        <v>0</v>
      </c>
      <c r="F4" s="25">
        <f>IFERROR(MATCH(YEAR(F6),'Other Data'!$5:$5,0)-2,E4)</f>
        <v>2</v>
      </c>
      <c r="G4" s="25">
        <f>IFERROR(MATCH(YEAR(G6),'Other Data'!$5:$5,0)-2,F4)</f>
        <v>3</v>
      </c>
      <c r="H4" s="25">
        <f>IFERROR(MATCH(YEAR(H6),'Other Data'!$5:$5,0)-2,G4)</f>
        <v>4</v>
      </c>
      <c r="I4" s="25">
        <f>IFERROR(MATCH(YEAR(I6),'Other Data'!$5:$5,0)-2,H4)</f>
        <v>5</v>
      </c>
      <c r="J4" s="25">
        <f>IFERROR(MATCH(YEAR(J6),'Other Data'!$5:$5,0)-2,I4)</f>
        <v>6</v>
      </c>
      <c r="K4" s="25">
        <f>IFERROR(MATCH(YEAR(K6),'Other Data'!$5:$5,0)-2,J4)</f>
        <v>7</v>
      </c>
      <c r="L4" s="25">
        <f>IFERROR(MATCH(YEAR(L6),'Other Data'!$5:$5,0)-2,K4)</f>
        <v>8</v>
      </c>
      <c r="M4" s="25">
        <f>IFERROR(MATCH(YEAR(M6),'Other Data'!$5:$5,0)-2,L4)</f>
        <v>9</v>
      </c>
      <c r="N4" s="25">
        <f>IFERROR(MATCH(YEAR(N6),'Other Data'!$5:$5,0)-2,M4)</f>
        <v>10</v>
      </c>
      <c r="O4" s="25">
        <f>IFERROR(MATCH(YEAR(O6),'Other Data'!$5:$5,0)-2,N4)</f>
        <v>11</v>
      </c>
      <c r="P4" s="25">
        <f>IFERROR(MATCH(YEAR(P6),'Other Data'!$5:$5,0)-2,O4)</f>
        <v>12</v>
      </c>
      <c r="Q4" s="25">
        <f>IFERROR(MATCH(YEAR(Q6),'Other Data'!$5:$5,0)-2,P4)</f>
        <v>13</v>
      </c>
      <c r="R4" s="25">
        <f>IFERROR(MATCH(YEAR(R6),'Other Data'!$5:$5,0)-2,Q4)</f>
        <v>14</v>
      </c>
      <c r="S4" s="25">
        <f>IFERROR(MATCH(YEAR(S6),'Other Data'!$5:$5,0)-2,R4)</f>
        <v>15</v>
      </c>
      <c r="T4" s="25">
        <f>IFERROR(MATCH(YEAR(T6),'Other Data'!$5:$5,0)-2,S4)</f>
        <v>16</v>
      </c>
      <c r="U4" s="25">
        <f>IFERROR(MATCH(YEAR(U6),'Other Data'!$5:$5,0)-2,T4)</f>
        <v>17</v>
      </c>
      <c r="V4" s="25">
        <f>IFERROR(MATCH(YEAR(V6),'Other Data'!$5:$5,0)-2,U4)</f>
        <v>17</v>
      </c>
      <c r="W4" s="25">
        <f>IFERROR(MATCH(YEAR(W6),'Other Data'!$5:$5,0)-2,V4)</f>
        <v>17</v>
      </c>
      <c r="X4" s="25">
        <f>IFERROR(MATCH(YEAR(X6),'Other Data'!$5:$5,0)-2,W4)</f>
        <v>17</v>
      </c>
      <c r="Y4" s="25">
        <f>IFERROR(MATCH(YEAR(Y6),'Other Data'!$5:$5,0)-2,X4)</f>
        <v>17</v>
      </c>
      <c r="Z4" s="25"/>
      <c r="AA4" s="25"/>
      <c r="AB4" s="25"/>
      <c r="AC4" s="25"/>
      <c r="AE4" s="9" t="s">
        <v>1555</v>
      </c>
      <c r="AJ4" s="22" t="s">
        <v>120</v>
      </c>
      <c r="AK4" s="22" t="s">
        <v>121</v>
      </c>
      <c r="AL4" s="22" t="s">
        <v>287</v>
      </c>
      <c r="AM4" s="22" t="s">
        <v>288</v>
      </c>
      <c r="AN4" s="22" t="s">
        <v>419</v>
      </c>
      <c r="AO4" s="22" t="s">
        <v>420</v>
      </c>
      <c r="AP4" s="22" t="s">
        <v>1708</v>
      </c>
      <c r="AQ4" s="22" t="s">
        <v>2189</v>
      </c>
      <c r="AR4" s="22" t="s">
        <v>2191</v>
      </c>
      <c r="AS4" s="22" t="s">
        <v>2192</v>
      </c>
      <c r="AT4" s="22" t="s">
        <v>2476</v>
      </c>
      <c r="AU4" s="22" t="s">
        <v>3623</v>
      </c>
      <c r="AV4" s="22" t="s">
        <v>3624</v>
      </c>
      <c r="AW4" s="22" t="s">
        <v>3625</v>
      </c>
      <c r="AY4" s="25"/>
    </row>
    <row r="5" spans="2:52" hidden="1" outlineLevel="1">
      <c r="C5" s="28">
        <v>44592</v>
      </c>
      <c r="AA5" s="25"/>
      <c r="AE5" s="77" t="s">
        <v>1554</v>
      </c>
    </row>
    <row r="6" spans="2:52" ht="13.15" hidden="1" outlineLevel="1">
      <c r="C6" s="28">
        <f>44592</f>
        <v>44592</v>
      </c>
      <c r="D6" s="59">
        <v>38352</v>
      </c>
      <c r="E6" s="59">
        <v>38717</v>
      </c>
      <c r="F6" s="59">
        <v>39082</v>
      </c>
      <c r="G6" s="59">
        <v>39447</v>
      </c>
      <c r="H6" s="59">
        <v>39813</v>
      </c>
      <c r="I6" s="59">
        <v>40178</v>
      </c>
      <c r="J6" s="59">
        <v>40543</v>
      </c>
      <c r="K6" s="59">
        <v>40908</v>
      </c>
      <c r="L6" s="59">
        <v>41274</v>
      </c>
      <c r="M6" s="59">
        <v>41639</v>
      </c>
      <c r="N6" s="59">
        <v>42004</v>
      </c>
      <c r="O6" s="59">
        <v>42369</v>
      </c>
      <c r="P6" s="59">
        <v>42735</v>
      </c>
      <c r="Q6" s="59">
        <v>43100</v>
      </c>
      <c r="R6" s="59">
        <v>43465</v>
      </c>
      <c r="S6" s="59">
        <v>43830</v>
      </c>
      <c r="T6" s="59">
        <v>44196</v>
      </c>
      <c r="U6" s="59">
        <v>44561</v>
      </c>
      <c r="V6" s="59">
        <v>44926</v>
      </c>
      <c r="W6" s="59">
        <v>45291</v>
      </c>
      <c r="X6" s="59">
        <v>45657</v>
      </c>
      <c r="Y6" s="59">
        <v>46022</v>
      </c>
      <c r="Z6" s="59"/>
      <c r="AA6" s="25"/>
      <c r="AB6" s="28"/>
      <c r="AC6" s="28"/>
      <c r="AY6" s="28"/>
    </row>
    <row r="7" spans="2:52" hidden="1" outlineLevel="1">
      <c r="C7" s="28">
        <v>44227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5"/>
      <c r="AB7" s="28"/>
      <c r="AC7" s="28"/>
      <c r="AH7" s="5" t="s">
        <v>337</v>
      </c>
      <c r="AY7" s="28"/>
    </row>
    <row r="8" spans="2:52" hidden="1" outlineLevel="1">
      <c r="C8" s="27"/>
      <c r="D8" s="20" t="str">
        <f t="shared" ref="D8:J8" ca="1" si="2">IF(D11="yes","A",IF(OR(D13="yes",E13="yes"),"E",IF(D12="yes","…","L")))</f>
        <v>L</v>
      </c>
      <c r="E8" s="20" t="str">
        <f t="shared" ca="1" si="2"/>
        <v>L</v>
      </c>
      <c r="F8" s="20" t="str">
        <f t="shared" ca="1" si="2"/>
        <v>L</v>
      </c>
      <c r="G8" s="20" t="str">
        <f t="shared" ca="1" si="2"/>
        <v>L</v>
      </c>
      <c r="H8" s="20" t="str">
        <f t="shared" ca="1" si="2"/>
        <v>L</v>
      </c>
      <c r="I8" s="20" t="str">
        <f t="shared" ca="1" si="2"/>
        <v>L</v>
      </c>
      <c r="J8" s="20" t="str">
        <f t="shared" ca="1" si="2"/>
        <v>L</v>
      </c>
      <c r="K8" s="20" t="str">
        <f ca="1">IF(K11="yes","A",IF(OR(K13="yes",L13="yes"),"E",IF(K12="yes","…","L")))</f>
        <v>L</v>
      </c>
      <c r="L8" s="20" t="str">
        <f t="shared" ref="L8:Y8" ca="1" si="3">IF(L11="yes","A",IF(L13="yes","E",IF(L12="yes","…","L")))</f>
        <v>L</v>
      </c>
      <c r="M8" s="20" t="str">
        <f t="shared" si="3"/>
        <v>A</v>
      </c>
      <c r="N8" s="20" t="str">
        <f t="shared" si="3"/>
        <v>A</v>
      </c>
      <c r="O8" s="20" t="str">
        <f t="shared" si="3"/>
        <v>A</v>
      </c>
      <c r="P8" s="20" t="str">
        <f t="shared" si="3"/>
        <v>A</v>
      </c>
      <c r="Q8" s="20" t="str">
        <f t="shared" si="3"/>
        <v>A</v>
      </c>
      <c r="R8" s="20" t="str">
        <f t="shared" si="3"/>
        <v>A</v>
      </c>
      <c r="S8" s="20" t="str">
        <f t="shared" si="3"/>
        <v>A</v>
      </c>
      <c r="T8" s="20" t="str">
        <f t="shared" si="3"/>
        <v>A</v>
      </c>
      <c r="U8" s="20" t="str">
        <f t="shared" si="3"/>
        <v>A</v>
      </c>
      <c r="V8" s="20" t="str">
        <f t="shared" si="3"/>
        <v>E</v>
      </c>
      <c r="W8" s="20" t="str">
        <f t="shared" si="3"/>
        <v>E</v>
      </c>
      <c r="X8" s="20" t="str">
        <f t="shared" si="3"/>
        <v>E</v>
      </c>
      <c r="Y8" s="20" t="str">
        <f t="shared" si="3"/>
        <v>E</v>
      </c>
      <c r="AA8" s="25"/>
      <c r="AB8" s="28"/>
      <c r="AC8" s="28"/>
    </row>
    <row r="9" spans="2:52" hidden="1" outlineLevel="1">
      <c r="D9" s="5">
        <f t="shared" ref="D9:L9" si="4">E9-1</f>
        <v>2004</v>
      </c>
      <c r="E9" s="5">
        <v>2005</v>
      </c>
      <c r="F9" s="5">
        <f t="shared" si="4"/>
        <v>2006</v>
      </c>
      <c r="G9" s="5">
        <f t="shared" si="4"/>
        <v>2007</v>
      </c>
      <c r="H9" s="5">
        <f t="shared" si="4"/>
        <v>2008</v>
      </c>
      <c r="I9" s="5">
        <f t="shared" si="4"/>
        <v>2009</v>
      </c>
      <c r="J9" s="5">
        <f t="shared" si="4"/>
        <v>2010</v>
      </c>
      <c r="K9" s="5">
        <f t="shared" si="4"/>
        <v>2011</v>
      </c>
      <c r="L9" s="5">
        <f t="shared" si="4"/>
        <v>2012</v>
      </c>
      <c r="M9" s="5">
        <f t="shared" ref="M9:U9" si="5">AK16</f>
        <v>2013</v>
      </c>
      <c r="N9" s="5">
        <f t="shared" si="5"/>
        <v>2014</v>
      </c>
      <c r="O9" s="5">
        <f t="shared" si="5"/>
        <v>2015</v>
      </c>
      <c r="P9" s="5">
        <f t="shared" si="5"/>
        <v>2016</v>
      </c>
      <c r="Q9" s="5">
        <f t="shared" si="5"/>
        <v>2017</v>
      </c>
      <c r="R9" s="5">
        <f t="shared" si="5"/>
        <v>2018</v>
      </c>
      <c r="S9" s="5">
        <f t="shared" si="5"/>
        <v>2019</v>
      </c>
      <c r="T9" s="5">
        <f t="shared" si="5"/>
        <v>2020</v>
      </c>
      <c r="U9" s="5">
        <f t="shared" si="5"/>
        <v>2021</v>
      </c>
      <c r="V9" s="5">
        <f>AT16</f>
        <v>2022</v>
      </c>
      <c r="W9" s="5">
        <f>AU16</f>
        <v>2023</v>
      </c>
      <c r="X9" s="5">
        <f>AV16</f>
        <v>2024</v>
      </c>
      <c r="Y9" s="5">
        <f>AW16</f>
        <v>2025</v>
      </c>
      <c r="Z9" s="5"/>
      <c r="AA9" s="25"/>
      <c r="AY9" s="5"/>
    </row>
    <row r="10" spans="2:52" hidden="1" outlineLevel="1">
      <c r="B10" s="29"/>
      <c r="K10" s="19"/>
      <c r="L10" s="19" t="str">
        <f t="shared" ref="L10:T10" si="6">IF(L358="…","…",L493/L358)</f>
        <v>…</v>
      </c>
      <c r="M10" s="19">
        <f t="shared" si="6"/>
        <v>0</v>
      </c>
      <c r="N10" s="19">
        <f t="shared" si="6"/>
        <v>0</v>
      </c>
      <c r="O10" s="19">
        <f t="shared" si="6"/>
        <v>0</v>
      </c>
      <c r="P10" s="19">
        <f t="shared" si="6"/>
        <v>0</v>
      </c>
      <c r="Q10" s="19">
        <f t="shared" si="6"/>
        <v>7.2536212565537002E-3</v>
      </c>
      <c r="R10" s="19">
        <f t="shared" si="6"/>
        <v>6.6232004110696142E-3</v>
      </c>
      <c r="S10" s="19">
        <f t="shared" si="6"/>
        <v>7.1085853114697907E-3</v>
      </c>
      <c r="T10" s="19">
        <f t="shared" si="6"/>
        <v>6.8413731164904132E-3</v>
      </c>
      <c r="U10" s="19">
        <f>IF(U358="…","…",U493/U358)</f>
        <v>7.9418606091202701E-3</v>
      </c>
      <c r="V10" s="19" t="str">
        <f>IF(V358="…","…",V493/V358)</f>
        <v>…</v>
      </c>
      <c r="W10" s="19" t="str">
        <f>IF(W358="…","…",W493/W358)</f>
        <v>…</v>
      </c>
      <c r="X10" s="19" t="str">
        <f>IF(X358="…","…",X493/X358)</f>
        <v>…</v>
      </c>
      <c r="Y10" s="19" t="str">
        <f>IF(Y358="…","…",Y493/Y358)</f>
        <v>…</v>
      </c>
      <c r="Z10" s="19"/>
      <c r="AA10" s="25"/>
      <c r="AB10" s="19"/>
      <c r="AC10" s="19"/>
      <c r="AY10" s="19"/>
    </row>
    <row r="11" spans="2:52" hidden="1" outlineLevel="1">
      <c r="B11" s="29"/>
      <c r="C11" s="5" t="s">
        <v>125</v>
      </c>
      <c r="D11" s="19" t="str">
        <f t="shared" ref="D11:V11" si="7">IF(ISERROR(D315/D358),"no","yes")</f>
        <v>no</v>
      </c>
      <c r="E11" s="19" t="str">
        <f t="shared" si="7"/>
        <v>no</v>
      </c>
      <c r="F11" s="19" t="str">
        <f t="shared" si="7"/>
        <v>no</v>
      </c>
      <c r="G11" s="19" t="str">
        <f t="shared" si="7"/>
        <v>no</v>
      </c>
      <c r="H11" s="19" t="str">
        <f t="shared" si="7"/>
        <v>no</v>
      </c>
      <c r="I11" s="19" t="str">
        <f t="shared" si="7"/>
        <v>no</v>
      </c>
      <c r="J11" s="19" t="str">
        <f t="shared" si="7"/>
        <v>no</v>
      </c>
      <c r="K11" s="19" t="str">
        <f t="shared" si="7"/>
        <v>no</v>
      </c>
      <c r="L11" s="19" t="str">
        <f t="shared" si="7"/>
        <v>no</v>
      </c>
      <c r="M11" s="19" t="str">
        <f t="shared" si="7"/>
        <v>yes</v>
      </c>
      <c r="N11" s="19" t="str">
        <f t="shared" si="7"/>
        <v>yes</v>
      </c>
      <c r="O11" s="19" t="str">
        <f t="shared" si="7"/>
        <v>yes</v>
      </c>
      <c r="P11" s="19" t="str">
        <f t="shared" si="7"/>
        <v>yes</v>
      </c>
      <c r="Q11" s="19" t="str">
        <f t="shared" si="7"/>
        <v>yes</v>
      </c>
      <c r="R11" s="19" t="str">
        <f t="shared" si="7"/>
        <v>yes</v>
      </c>
      <c r="S11" s="19" t="str">
        <f t="shared" si="7"/>
        <v>yes</v>
      </c>
      <c r="T11" s="19" t="str">
        <f t="shared" si="7"/>
        <v>yes</v>
      </c>
      <c r="U11" s="19" t="str">
        <f t="shared" si="7"/>
        <v>yes</v>
      </c>
      <c r="V11" s="19" t="str">
        <f t="shared" si="7"/>
        <v>no</v>
      </c>
      <c r="W11" s="19" t="str">
        <f>IF(ISERROR(W315/W358),"no","yes")</f>
        <v>no</v>
      </c>
      <c r="X11" s="19" t="str">
        <f>IF(ISERROR(X315/X358),"no","yes")</f>
        <v>no</v>
      </c>
      <c r="Y11" s="19" t="str">
        <f>IF(ISERROR(Y315/Y358),"no","yes")</f>
        <v>no</v>
      </c>
      <c r="Z11" s="19"/>
      <c r="AA11" s="25"/>
      <c r="AB11" s="19"/>
      <c r="AC11" s="19"/>
      <c r="AY11" s="19"/>
    </row>
    <row r="12" spans="2:52" hidden="1" outlineLevel="1">
      <c r="C12" s="5" t="s">
        <v>348</v>
      </c>
      <c r="D12" s="25" t="str">
        <f t="shared" ref="D12:Y12" ca="1" si="8">IF(TODAY()&gt;DATE(D16,MONTH($C$19)+1,1-1),"no","yes")</f>
        <v>no</v>
      </c>
      <c r="E12" s="25" t="str">
        <f t="shared" ca="1" si="8"/>
        <v>no</v>
      </c>
      <c r="F12" s="25" t="str">
        <f t="shared" ca="1" si="8"/>
        <v>no</v>
      </c>
      <c r="G12" s="25" t="str">
        <f t="shared" ca="1" si="8"/>
        <v>no</v>
      </c>
      <c r="H12" s="25" t="str">
        <f t="shared" ca="1" si="8"/>
        <v>no</v>
      </c>
      <c r="I12" s="25" t="str">
        <f t="shared" ca="1" si="8"/>
        <v>no</v>
      </c>
      <c r="J12" s="25" t="str">
        <f t="shared" ca="1" si="8"/>
        <v>no</v>
      </c>
      <c r="K12" s="25" t="str">
        <f t="shared" ca="1" si="8"/>
        <v>no</v>
      </c>
      <c r="L12" s="25" t="str">
        <f t="shared" ca="1" si="8"/>
        <v>no</v>
      </c>
      <c r="M12" s="25" t="str">
        <f t="shared" ca="1" si="8"/>
        <v>no</v>
      </c>
      <c r="N12" s="25" t="str">
        <f t="shared" ca="1" si="8"/>
        <v>no</v>
      </c>
      <c r="O12" s="25" t="str">
        <f t="shared" ca="1" si="8"/>
        <v>no</v>
      </c>
      <c r="P12" s="25" t="str">
        <f t="shared" ca="1" si="8"/>
        <v>no</v>
      </c>
      <c r="Q12" s="25" t="str">
        <f t="shared" ca="1" si="8"/>
        <v>no</v>
      </c>
      <c r="R12" s="25" t="str">
        <f t="shared" ca="1" si="8"/>
        <v>no</v>
      </c>
      <c r="S12" s="25" t="str">
        <f t="shared" ca="1" si="8"/>
        <v>no</v>
      </c>
      <c r="T12" s="25" t="str">
        <f t="shared" ca="1" si="8"/>
        <v>no</v>
      </c>
      <c r="U12" s="25" t="str">
        <f t="shared" ca="1" si="8"/>
        <v>no</v>
      </c>
      <c r="V12" s="25" t="str">
        <f t="shared" ca="1" si="8"/>
        <v>no</v>
      </c>
      <c r="W12" s="25" t="str">
        <f t="shared" ca="1" si="8"/>
        <v>no</v>
      </c>
      <c r="X12" s="25" t="str">
        <f t="shared" ca="1" si="8"/>
        <v>yes</v>
      </c>
      <c r="Y12" s="25" t="str">
        <f t="shared" ca="1" si="8"/>
        <v>yes</v>
      </c>
      <c r="Z12" s="25"/>
      <c r="AA12" s="25"/>
      <c r="AB12" s="25"/>
      <c r="AC12" s="25"/>
      <c r="AY12" s="25"/>
    </row>
    <row r="13" spans="2:52" hidden="1" outlineLevel="1">
      <c r="C13" s="5" t="s">
        <v>363</v>
      </c>
      <c r="D13" s="25" t="str">
        <f>IF(AND(DATE(D16,MONTH($C$19)+1,1-1)&gt;DATE(YEAR($C$19),MONTH($C$19)+1,1-1),ISNUMBER(#REF!)),"yes","no")</f>
        <v>no</v>
      </c>
      <c r="E13" s="25" t="str">
        <f>IF(AND(DATE(E16,MONTH($C$19)+1,1-1)&gt;DATE(YEAR($C$19),MONTH($C$19)+1,1-1),ISNUMBER(AE19)),"yes","no")</f>
        <v>no</v>
      </c>
      <c r="F13" s="25" t="str">
        <f>IF(AND(DATE(F16,MONTH($C$19)+1,1-1)&gt;DATE(YEAR($C$19),MONTH($C$19)+1,1-1),ISNUMBER(AF19)),"yes","no")</f>
        <v>no</v>
      </c>
      <c r="G13" s="25" t="str">
        <f>IF(AND(DATE(G16,MONTH($C$19)+1,1-1)&gt;DATE(YEAR($C$19),MONTH($C$19)+1,1-1),ISNUMBER(AG19)),"yes","no")</f>
        <v>no</v>
      </c>
      <c r="H13" s="25" t="str">
        <f>IF(AND(DATE(H16,MONTH($C$19)+1,1-1)&gt;DATE(YEAR($C$19),MONTH($C$19)+1,1-1),ISNUMBER(AH19)),"yes","no")</f>
        <v>no</v>
      </c>
      <c r="I13" s="25" t="str">
        <f>IF(AND(DATE(I16,MONTH($C$19)+1,1-1)&gt;DATE(YEAR($C$19),MONTH($C$19)+1,1-1),ISNUMBER(AI19)),"yes","no")</f>
        <v>no</v>
      </c>
      <c r="J13" s="25" t="str">
        <f t="shared" ref="J13:V13" si="9">IF(AND(DATE(J16,MONTH($C$19)+1,1-1)&gt;DATE(YEAR($C$19),MONTH($C$19)+1,1-1),ISNUMBER(AH19)),"yes","no")</f>
        <v>no</v>
      </c>
      <c r="K13" s="25" t="str">
        <f t="shared" si="9"/>
        <v>no</v>
      </c>
      <c r="L13" s="25" t="str">
        <f t="shared" si="9"/>
        <v>no</v>
      </c>
      <c r="M13" s="25" t="str">
        <f t="shared" si="9"/>
        <v>no</v>
      </c>
      <c r="N13" s="25" t="str">
        <f t="shared" si="9"/>
        <v>no</v>
      </c>
      <c r="O13" s="25" t="str">
        <f t="shared" si="9"/>
        <v>no</v>
      </c>
      <c r="P13" s="25" t="str">
        <f t="shared" si="9"/>
        <v>no</v>
      </c>
      <c r="Q13" s="25" t="str">
        <f t="shared" si="9"/>
        <v>no</v>
      </c>
      <c r="R13" s="25" t="str">
        <f t="shared" si="9"/>
        <v>no</v>
      </c>
      <c r="S13" s="25" t="str">
        <f t="shared" si="9"/>
        <v>no</v>
      </c>
      <c r="T13" s="25" t="str">
        <f t="shared" si="9"/>
        <v>no</v>
      </c>
      <c r="U13" s="25" t="str">
        <f t="shared" si="9"/>
        <v>no</v>
      </c>
      <c r="V13" s="25" t="str">
        <f t="shared" si="9"/>
        <v>yes</v>
      </c>
      <c r="W13" s="25" t="str">
        <f>IF(AND(DATE(W16,MONTH($C$19)+1,1-1)&gt;DATE(YEAR($C$19),MONTH($C$19)+1,1-1),ISNUMBER(AU19)),"yes","no")</f>
        <v>yes</v>
      </c>
      <c r="X13" s="25" t="str">
        <f>IF(AND(DATE(X16,MONTH($C$19)+1,1-1)&gt;DATE(YEAR($C$19),MONTH($C$19)+1,1-1),ISNUMBER(AV19)),"yes","no")</f>
        <v>yes</v>
      </c>
      <c r="Y13" s="25" t="str">
        <f>IF(AND(DATE(Y16,MONTH($C$19)+1,1-1)&gt;DATE(YEAR($C$19),MONTH($C$19)+1,1-1),ISNUMBER(AW19)),"yes","no")</f>
        <v>yes</v>
      </c>
      <c r="Z13" s="25"/>
      <c r="AA13" s="25"/>
      <c r="AB13" s="25"/>
      <c r="AC13" s="25"/>
      <c r="AY13" s="25"/>
    </row>
    <row r="14" spans="2:52" collapsed="1">
      <c r="D14" s="20" t="str">
        <f t="shared" ref="D14:Y14" si="10">"FY"&amp;D16</f>
        <v>FY2004</v>
      </c>
      <c r="E14" s="20" t="str">
        <f t="shared" si="10"/>
        <v>FY2005</v>
      </c>
      <c r="F14" s="20" t="str">
        <f t="shared" si="10"/>
        <v>FY2006</v>
      </c>
      <c r="G14" s="20" t="str">
        <f t="shared" si="10"/>
        <v>FY2007</v>
      </c>
      <c r="H14" s="20" t="str">
        <f t="shared" si="10"/>
        <v>FY2008</v>
      </c>
      <c r="I14" s="20" t="str">
        <f t="shared" si="10"/>
        <v>FY2009</v>
      </c>
      <c r="J14" s="20" t="str">
        <f t="shared" si="10"/>
        <v>FY2010</v>
      </c>
      <c r="K14" s="20" t="str">
        <f t="shared" si="10"/>
        <v>FY2011</v>
      </c>
      <c r="L14" s="20" t="str">
        <f t="shared" si="10"/>
        <v>FY2012</v>
      </c>
      <c r="M14" s="20" t="str">
        <f t="shared" si="10"/>
        <v>FY2013</v>
      </c>
      <c r="N14" s="20" t="str">
        <f t="shared" si="10"/>
        <v>FY2014</v>
      </c>
      <c r="O14" s="20" t="str">
        <f t="shared" si="10"/>
        <v>FY2015</v>
      </c>
      <c r="P14" s="20" t="str">
        <f t="shared" si="10"/>
        <v>FY2016</v>
      </c>
      <c r="Q14" s="20" t="str">
        <f t="shared" si="10"/>
        <v>FY2017</v>
      </c>
      <c r="R14" s="20" t="str">
        <f t="shared" si="10"/>
        <v>FY2018</v>
      </c>
      <c r="S14" s="20" t="str">
        <f t="shared" si="10"/>
        <v>FY2019</v>
      </c>
      <c r="T14" s="20" t="str">
        <f t="shared" si="10"/>
        <v>FY2020</v>
      </c>
      <c r="U14" s="20" t="str">
        <f t="shared" si="10"/>
        <v>FY2021</v>
      </c>
      <c r="V14" s="20" t="str">
        <f t="shared" si="10"/>
        <v>FY2022</v>
      </c>
      <c r="W14" s="20" t="str">
        <f t="shared" si="10"/>
        <v>FY2023</v>
      </c>
      <c r="X14" s="20" t="str">
        <f t="shared" si="10"/>
        <v>FY2024</v>
      </c>
      <c r="Y14" s="20" t="str">
        <f t="shared" si="10"/>
        <v>FY2025</v>
      </c>
      <c r="AA14" s="25"/>
      <c r="AJ14" s="20" t="str">
        <f t="shared" ref="AJ14:AW14" si="11">AJ16&amp;"E"</f>
        <v>2012E</v>
      </c>
      <c r="AK14" s="20" t="str">
        <f t="shared" si="11"/>
        <v>2013E</v>
      </c>
      <c r="AL14" s="20" t="str">
        <f t="shared" si="11"/>
        <v>2014E</v>
      </c>
      <c r="AM14" s="20" t="str">
        <f t="shared" si="11"/>
        <v>2015E</v>
      </c>
      <c r="AN14" s="20" t="str">
        <f t="shared" si="11"/>
        <v>2016E</v>
      </c>
      <c r="AO14" s="20" t="str">
        <f t="shared" si="11"/>
        <v>2017E</v>
      </c>
      <c r="AP14" s="20" t="str">
        <f t="shared" si="11"/>
        <v>2018E</v>
      </c>
      <c r="AQ14" s="20" t="str">
        <f t="shared" si="11"/>
        <v>2019E</v>
      </c>
      <c r="AR14" s="20" t="str">
        <f t="shared" si="11"/>
        <v>2020E</v>
      </c>
      <c r="AS14" s="20" t="str">
        <f t="shared" si="11"/>
        <v>2021E</v>
      </c>
      <c r="AT14" s="20" t="str">
        <f t="shared" si="11"/>
        <v>2022E</v>
      </c>
      <c r="AU14" s="20" t="str">
        <f t="shared" si="11"/>
        <v>2023E</v>
      </c>
      <c r="AV14" s="20" t="str">
        <f t="shared" si="11"/>
        <v>2024E</v>
      </c>
      <c r="AW14" s="20" t="str">
        <f t="shared" si="11"/>
        <v>2025E</v>
      </c>
      <c r="AX14" s="20"/>
    </row>
    <row r="15" spans="2:52" ht="13.15">
      <c r="D15" s="8" t="str">
        <f t="shared" ref="D15:Y15" ca="1" si="12">D8</f>
        <v>L</v>
      </c>
      <c r="E15" s="8" t="str">
        <f t="shared" ca="1" si="12"/>
        <v>L</v>
      </c>
      <c r="F15" s="8" t="str">
        <f t="shared" ca="1" si="12"/>
        <v>L</v>
      </c>
      <c r="G15" s="8" t="str">
        <f t="shared" ca="1" si="12"/>
        <v>L</v>
      </c>
      <c r="H15" s="8" t="str">
        <f t="shared" ca="1" si="12"/>
        <v>L</v>
      </c>
      <c r="I15" s="8" t="str">
        <f t="shared" ca="1" si="12"/>
        <v>L</v>
      </c>
      <c r="J15" s="8" t="str">
        <f t="shared" ca="1" si="12"/>
        <v>L</v>
      </c>
      <c r="K15" s="8" t="str">
        <f t="shared" ca="1" si="12"/>
        <v>L</v>
      </c>
      <c r="L15" s="8" t="str">
        <f t="shared" ca="1" si="12"/>
        <v>L</v>
      </c>
      <c r="M15" s="8" t="str">
        <f t="shared" si="12"/>
        <v>A</v>
      </c>
      <c r="N15" s="8" t="str">
        <f t="shared" si="12"/>
        <v>A</v>
      </c>
      <c r="O15" s="8" t="str">
        <f t="shared" si="12"/>
        <v>A</v>
      </c>
      <c r="P15" s="8" t="str">
        <f t="shared" si="12"/>
        <v>A</v>
      </c>
      <c r="Q15" s="8" t="str">
        <f t="shared" si="12"/>
        <v>A</v>
      </c>
      <c r="R15" s="8" t="str">
        <f t="shared" si="12"/>
        <v>A</v>
      </c>
      <c r="S15" s="8" t="str">
        <f t="shared" si="12"/>
        <v>A</v>
      </c>
      <c r="T15" s="8" t="str">
        <f t="shared" si="12"/>
        <v>A</v>
      </c>
      <c r="U15" s="8" t="str">
        <f t="shared" si="12"/>
        <v>A</v>
      </c>
      <c r="V15" s="8" t="str">
        <f t="shared" si="12"/>
        <v>E</v>
      </c>
      <c r="W15" s="8" t="str">
        <f t="shared" si="12"/>
        <v>E</v>
      </c>
      <c r="X15" s="8" t="str">
        <f t="shared" si="12"/>
        <v>E</v>
      </c>
      <c r="Y15" s="8" t="str">
        <f t="shared" si="12"/>
        <v>E</v>
      </c>
      <c r="Z15" s="8"/>
      <c r="AA15" s="25"/>
      <c r="AY15" s="8"/>
    </row>
    <row r="16" spans="2:52" ht="13.15">
      <c r="D16" s="8">
        <f t="shared" ref="D16:U16" si="13">YEAR(D6)</f>
        <v>2004</v>
      </c>
      <c r="E16" s="8">
        <f t="shared" si="13"/>
        <v>2005</v>
      </c>
      <c r="F16" s="8">
        <f t="shared" si="13"/>
        <v>2006</v>
      </c>
      <c r="G16" s="8">
        <f t="shared" si="13"/>
        <v>2007</v>
      </c>
      <c r="H16" s="8">
        <f t="shared" si="13"/>
        <v>2008</v>
      </c>
      <c r="I16" s="8">
        <f t="shared" si="13"/>
        <v>2009</v>
      </c>
      <c r="J16" s="8">
        <f t="shared" si="13"/>
        <v>2010</v>
      </c>
      <c r="K16" s="8">
        <f t="shared" si="13"/>
        <v>2011</v>
      </c>
      <c r="L16" s="8">
        <f t="shared" si="13"/>
        <v>2012</v>
      </c>
      <c r="M16" s="8">
        <f t="shared" si="13"/>
        <v>2013</v>
      </c>
      <c r="N16" s="8">
        <f t="shared" si="13"/>
        <v>2014</v>
      </c>
      <c r="O16" s="8">
        <f t="shared" si="13"/>
        <v>2015</v>
      </c>
      <c r="P16" s="8">
        <f t="shared" si="13"/>
        <v>2016</v>
      </c>
      <c r="Q16" s="8">
        <f t="shared" si="13"/>
        <v>2017</v>
      </c>
      <c r="R16" s="8">
        <f t="shared" si="13"/>
        <v>2018</v>
      </c>
      <c r="S16" s="8">
        <f t="shared" si="13"/>
        <v>2019</v>
      </c>
      <c r="T16" s="8">
        <f t="shared" si="13"/>
        <v>2020</v>
      </c>
      <c r="U16" s="8">
        <f t="shared" si="13"/>
        <v>2021</v>
      </c>
      <c r="V16" s="8">
        <f>YEAR(V6)/1</f>
        <v>2022</v>
      </c>
      <c r="W16" s="8">
        <f>YEAR(W6)</f>
        <v>2023</v>
      </c>
      <c r="X16" s="8">
        <f>YEAR(X6)</f>
        <v>2024</v>
      </c>
      <c r="Y16" s="8">
        <f>YEAR(Y6)</f>
        <v>2025</v>
      </c>
      <c r="Z16" s="8"/>
      <c r="AA16" s="25"/>
      <c r="AE16" s="8"/>
      <c r="AF16" s="9"/>
      <c r="AG16" s="9"/>
      <c r="AH16" s="5" t="s">
        <v>126</v>
      </c>
      <c r="AJ16" s="7">
        <f t="shared" ref="AJ16:AW16" si="14">SUBSTITUTE(AJ4,"Y","")+2000</f>
        <v>2012</v>
      </c>
      <c r="AK16" s="7">
        <f t="shared" si="14"/>
        <v>2013</v>
      </c>
      <c r="AL16" s="7">
        <f t="shared" si="14"/>
        <v>2014</v>
      </c>
      <c r="AM16" s="7">
        <f t="shared" si="14"/>
        <v>2015</v>
      </c>
      <c r="AN16" s="7">
        <f t="shared" si="14"/>
        <v>2016</v>
      </c>
      <c r="AO16" s="7">
        <f t="shared" si="14"/>
        <v>2017</v>
      </c>
      <c r="AP16" s="7">
        <f t="shared" si="14"/>
        <v>2018</v>
      </c>
      <c r="AQ16" s="7">
        <f t="shared" si="14"/>
        <v>2019</v>
      </c>
      <c r="AR16" s="7">
        <f t="shared" si="14"/>
        <v>2020</v>
      </c>
      <c r="AS16" s="7">
        <f t="shared" si="14"/>
        <v>2021</v>
      </c>
      <c r="AT16" s="7">
        <f t="shared" si="14"/>
        <v>2022</v>
      </c>
      <c r="AU16" s="7">
        <f t="shared" si="14"/>
        <v>2023</v>
      </c>
      <c r="AV16" s="7">
        <f t="shared" si="14"/>
        <v>2024</v>
      </c>
      <c r="AW16" s="7">
        <f t="shared" si="14"/>
        <v>2025</v>
      </c>
      <c r="AX16" s="7"/>
      <c r="AY16" s="8"/>
      <c r="AZ16" s="5"/>
    </row>
    <row r="17" spans="2:53" ht="13.15">
      <c r="B17" s="5" t="s">
        <v>4</v>
      </c>
      <c r="C17" s="20" t="s">
        <v>3802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5"/>
      <c r="AD17" s="12" t="s">
        <v>1584</v>
      </c>
      <c r="AG17" s="9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5"/>
    </row>
    <row r="18" spans="2:53" ht="13.15" hidden="1" outlineLevel="1">
      <c r="B18" s="5" t="s">
        <v>10</v>
      </c>
      <c r="C18" s="20" t="s">
        <v>3810</v>
      </c>
      <c r="D18" s="7"/>
      <c r="E18" s="7"/>
      <c r="F18" s="7"/>
      <c r="G18" s="7"/>
      <c r="H18" s="7"/>
      <c r="I18" s="7"/>
      <c r="J18" s="7"/>
      <c r="K18" s="7" t="s">
        <v>342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/>
      <c r="AD18" s="12"/>
      <c r="AE18" s="30"/>
      <c r="AF18" s="30"/>
      <c r="AG18" s="9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7"/>
      <c r="AZ18" s="15"/>
    </row>
    <row r="19" spans="2:53" ht="13.15" hidden="1" outlineLevel="1">
      <c r="B19" s="5" t="s">
        <v>13</v>
      </c>
      <c r="C19" s="28">
        <v>44208</v>
      </c>
      <c r="D19" s="59"/>
      <c r="E19" s="7"/>
      <c r="F19" s="7"/>
      <c r="G19" s="7"/>
      <c r="H19" s="7"/>
      <c r="I19" s="7"/>
      <c r="J19" s="7"/>
      <c r="M19" s="97"/>
      <c r="N19" s="5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5"/>
      <c r="AD19" s="33" t="s">
        <v>1587</v>
      </c>
      <c r="AE19" s="11"/>
      <c r="AF19" s="11"/>
      <c r="AG19" s="76">
        <v>1</v>
      </c>
      <c r="AH19" s="5" t="s">
        <v>1552</v>
      </c>
      <c r="AK19" s="16"/>
      <c r="AL19" s="16"/>
      <c r="AM19" s="16"/>
      <c r="AN19" s="16"/>
      <c r="AO19" s="16"/>
      <c r="AP19" s="16"/>
      <c r="AQ19" s="16">
        <v>3748.471</v>
      </c>
      <c r="AR19" s="16">
        <v>3446.85</v>
      </c>
      <c r="AS19" s="16">
        <v>4278.7370000000001</v>
      </c>
      <c r="AT19" s="16">
        <v>4885.7079999999996</v>
      </c>
      <c r="AU19" s="16">
        <v>5447.375</v>
      </c>
      <c r="AV19" s="16">
        <v>5873.7889999999998</v>
      </c>
      <c r="AW19" s="16">
        <v>6332.1109999999999</v>
      </c>
      <c r="AX19" s="16"/>
      <c r="AY19" s="23"/>
      <c r="BA19" s="5" t="s">
        <v>144</v>
      </c>
    </row>
    <row r="20" spans="2:53" ht="13.15" hidden="1" outlineLevel="1">
      <c r="B20" s="5" t="s">
        <v>14</v>
      </c>
      <c r="C20" s="20" t="s">
        <v>3629</v>
      </c>
      <c r="D20" s="7"/>
      <c r="E20" s="7"/>
      <c r="F20" s="7"/>
      <c r="G20" s="7"/>
      <c r="H20" s="7"/>
      <c r="I20" s="7"/>
      <c r="J20" s="7"/>
      <c r="K20" s="7" t="s">
        <v>343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5"/>
      <c r="AD20" s="5" t="s">
        <v>1586</v>
      </c>
      <c r="AG20" s="9"/>
      <c r="AJ20" s="25"/>
      <c r="AK20" s="16"/>
      <c r="AL20" s="16"/>
      <c r="AM20" s="16"/>
      <c r="AN20" s="16"/>
      <c r="AO20" s="16"/>
      <c r="AP20" s="16"/>
      <c r="AQ20" s="16">
        <v>1278.125</v>
      </c>
      <c r="AR20" s="16">
        <v>1132.579</v>
      </c>
      <c r="AS20" s="16">
        <v>1526.6</v>
      </c>
      <c r="AT20" s="16">
        <v>1728.136</v>
      </c>
      <c r="AU20" s="16">
        <v>2034.636</v>
      </c>
      <c r="AV20" s="16">
        <v>2245.0590000000002</v>
      </c>
      <c r="AW20" s="16">
        <v>2434.6669999999999</v>
      </c>
      <c r="AX20" s="16"/>
      <c r="AY20" s="7"/>
      <c r="BA20" s="5" t="s">
        <v>140</v>
      </c>
    </row>
    <row r="21" spans="2:53" ht="13.15" hidden="1" outlineLevel="1">
      <c r="B21" s="5" t="s">
        <v>415</v>
      </c>
      <c r="C21" s="5">
        <v>201.9</v>
      </c>
      <c r="D21" s="7"/>
      <c r="F21" s="7"/>
      <c r="G21" s="7"/>
      <c r="H21" s="7"/>
      <c r="I21" s="7"/>
      <c r="J21" s="7"/>
      <c r="K21" s="23"/>
      <c r="L21" s="84" t="s">
        <v>124</v>
      </c>
      <c r="M21" s="5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5"/>
      <c r="AG21" s="9"/>
      <c r="AK21" s="16"/>
      <c r="AL21" s="16"/>
      <c r="AM21" s="16"/>
      <c r="AN21" s="16"/>
      <c r="AO21" s="16"/>
      <c r="AP21" s="16"/>
      <c r="AQ21" s="16">
        <v>933.14300000000003</v>
      </c>
      <c r="AR21" s="16">
        <v>710.053</v>
      </c>
      <c r="AS21" s="16">
        <v>1062.7370000000001</v>
      </c>
      <c r="AT21" s="16">
        <v>1182.6669999999999</v>
      </c>
      <c r="AU21" s="16">
        <v>1432.4580000000001</v>
      </c>
      <c r="AV21" s="16">
        <v>1585.3</v>
      </c>
      <c r="AW21" s="16">
        <v>1768.375</v>
      </c>
      <c r="AX21" s="16"/>
      <c r="AY21" s="7"/>
      <c r="BA21" s="5" t="s">
        <v>148</v>
      </c>
    </row>
    <row r="22" spans="2:53" ht="13.15" hidden="1" outlineLevel="1">
      <c r="B22" s="5" t="s">
        <v>416</v>
      </c>
      <c r="C22" s="5">
        <v>202.32488000000001</v>
      </c>
      <c r="D22" s="7"/>
      <c r="E22" s="7"/>
      <c r="F22" s="7"/>
      <c r="G22" s="7"/>
      <c r="H22" s="7"/>
      <c r="I22" s="7"/>
      <c r="J22" s="7"/>
      <c r="K22" s="7"/>
      <c r="L22" s="51" t="s">
        <v>341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5"/>
      <c r="AG22" s="9"/>
      <c r="AK22" s="16"/>
      <c r="AL22" s="16"/>
      <c r="AM22" s="16"/>
      <c r="AN22" s="16"/>
      <c r="AO22" s="16"/>
      <c r="AP22" s="16"/>
      <c r="AQ22" s="16">
        <v>933</v>
      </c>
      <c r="AR22" s="16">
        <v>710.053</v>
      </c>
      <c r="AS22" s="16">
        <v>1062.7370000000001</v>
      </c>
      <c r="AT22" s="16">
        <v>1182.6669999999999</v>
      </c>
      <c r="AU22" s="16">
        <v>1432.4580000000001</v>
      </c>
      <c r="AV22" s="16">
        <v>1585.3</v>
      </c>
      <c r="AW22" s="16">
        <v>1768.375</v>
      </c>
      <c r="AX22" s="16"/>
      <c r="AY22" s="7"/>
      <c r="BA22" s="5" t="s">
        <v>151</v>
      </c>
    </row>
    <row r="23" spans="2:53" ht="13.5" hidden="1" outlineLevel="1" thickBot="1">
      <c r="B23" s="5" t="s">
        <v>418</v>
      </c>
      <c r="C23" s="5">
        <v>36919.108699999997</v>
      </c>
      <c r="D23" s="7"/>
      <c r="E23" s="5" t="s">
        <v>118</v>
      </c>
      <c r="F23" s="5"/>
      <c r="I23" s="7"/>
      <c r="J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25"/>
      <c r="AG23" s="9"/>
      <c r="AJ23" s="25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7"/>
    </row>
    <row r="24" spans="2:53" ht="13.5" hidden="1" outlineLevel="1" thickBot="1">
      <c r="B24" s="5" t="s">
        <v>417</v>
      </c>
      <c r="C24" s="5">
        <v>36996.801399999997</v>
      </c>
      <c r="D24" s="7"/>
      <c r="E24" s="26">
        <v>0</v>
      </c>
      <c r="F24" s="5" t="s">
        <v>119</v>
      </c>
      <c r="I24" s="7"/>
      <c r="J24" s="7"/>
      <c r="M24" s="23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25"/>
      <c r="AG24" s="9"/>
      <c r="AH24" s="23"/>
      <c r="AJ24" s="25"/>
      <c r="AK24" s="16"/>
      <c r="AL24" s="16"/>
      <c r="AM24" s="16"/>
      <c r="AN24" s="16"/>
      <c r="AO24" s="16"/>
      <c r="AP24" s="16"/>
      <c r="AQ24" s="16">
        <v>1174.75</v>
      </c>
      <c r="AR24" s="16">
        <v>550.66700000000003</v>
      </c>
      <c r="AS24" s="16">
        <v>887.83299999999997</v>
      </c>
      <c r="AT24" s="16">
        <v>503.3</v>
      </c>
      <c r="AU24" s="16">
        <v>290.46899999999999</v>
      </c>
      <c r="AV24" s="16">
        <v>58.18</v>
      </c>
      <c r="AW24" s="16">
        <v>-480.75</v>
      </c>
      <c r="AX24" s="16"/>
      <c r="AY24" s="7"/>
      <c r="BA24" s="5" t="s">
        <v>152</v>
      </c>
    </row>
    <row r="25" spans="2:53" ht="13.5" hidden="1" outlineLevel="1" thickBot="1">
      <c r="D25" s="7"/>
      <c r="E25" s="26">
        <v>0</v>
      </c>
      <c r="F25" s="5" t="s">
        <v>122</v>
      </c>
      <c r="I25" s="7"/>
      <c r="J25" s="7"/>
      <c r="AA25" s="25"/>
      <c r="AG25" s="9"/>
      <c r="AJ25" s="25">
        <v>-70.75</v>
      </c>
      <c r="AK25" s="16"/>
      <c r="AL25" s="16"/>
      <c r="AM25" s="16"/>
      <c r="AN25" s="16"/>
      <c r="AO25" s="16"/>
      <c r="AP25" s="16"/>
      <c r="AQ25" s="16">
        <v>-721.57100000000003</v>
      </c>
      <c r="AR25" s="16">
        <v>-746.55600000000004</v>
      </c>
      <c r="AS25" s="16">
        <v>-703.4</v>
      </c>
      <c r="AT25" s="16">
        <v>-683.94100000000003</v>
      </c>
      <c r="AU25" s="16">
        <v>-735.41200000000003</v>
      </c>
      <c r="AV25" s="16">
        <v>-765.56200000000001</v>
      </c>
      <c r="AW25" s="16">
        <v>-709.75</v>
      </c>
      <c r="AX25" s="16"/>
      <c r="BA25" s="5" t="s">
        <v>397</v>
      </c>
    </row>
    <row r="26" spans="2:53" ht="13.15" hidden="1" outlineLevel="1" thickBot="1">
      <c r="D26" s="5"/>
      <c r="E26" s="26"/>
      <c r="F26" s="5" t="s">
        <v>123</v>
      </c>
      <c r="I26" s="5"/>
      <c r="J26" s="23"/>
      <c r="AA26" s="25"/>
      <c r="AB26" s="5"/>
      <c r="AC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Z26" s="5"/>
    </row>
    <row r="27" spans="2:53" hidden="1" outlineLevel="1">
      <c r="D27" s="5"/>
      <c r="E27" s="5"/>
      <c r="F27" s="5"/>
      <c r="G27" s="5"/>
      <c r="H27" s="5"/>
      <c r="I27" s="5"/>
      <c r="J27" s="23"/>
      <c r="N27" s="23"/>
      <c r="O27" s="5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5"/>
      <c r="AB27" s="5"/>
      <c r="AC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3"/>
      <c r="AZ27" s="5"/>
    </row>
    <row r="28" spans="2:53" collapsed="1">
      <c r="AA28" s="25"/>
    </row>
    <row r="29" spans="2:53" ht="13.15">
      <c r="C29" s="12" t="s">
        <v>292</v>
      </c>
      <c r="AA29" s="25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Z29" s="5"/>
    </row>
    <row r="30" spans="2:53">
      <c r="AA30" s="25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Z30" s="5"/>
    </row>
    <row r="31" spans="2:53">
      <c r="C31" s="5" t="s">
        <v>132</v>
      </c>
      <c r="D31" s="32" t="str">
        <f t="shared" ref="D31:Y31" ca="1" si="15">IFERROR(D151/D$145,"…")</f>
        <v>…</v>
      </c>
      <c r="E31" s="32" t="str">
        <f t="shared" ca="1" si="15"/>
        <v>…</v>
      </c>
      <c r="F31" s="32" t="str">
        <f t="shared" ca="1" si="15"/>
        <v>…</v>
      </c>
      <c r="G31" s="32" t="str">
        <f t="shared" ca="1" si="15"/>
        <v>…</v>
      </c>
      <c r="H31" s="32" t="str">
        <f t="shared" ca="1" si="15"/>
        <v>…</v>
      </c>
      <c r="I31" s="32" t="str">
        <f t="shared" ca="1" si="15"/>
        <v>…</v>
      </c>
      <c r="J31" s="106" t="str">
        <f t="shared" ca="1" si="15"/>
        <v>…</v>
      </c>
      <c r="K31" s="106" t="str">
        <f t="shared" ca="1" si="15"/>
        <v>…</v>
      </c>
      <c r="L31" s="106" t="str">
        <f t="shared" ca="1" si="15"/>
        <v>…</v>
      </c>
      <c r="M31" s="106">
        <f t="shared" si="15"/>
        <v>0.27140287846801442</v>
      </c>
      <c r="N31" s="106">
        <f t="shared" si="15"/>
        <v>0.24560520714171941</v>
      </c>
      <c r="O31" s="106">
        <f t="shared" si="15"/>
        <v>0.25195409950946041</v>
      </c>
      <c r="P31" s="106">
        <f t="shared" si="15"/>
        <v>0.2714328502415459</v>
      </c>
      <c r="Q31" s="106">
        <f t="shared" si="15"/>
        <v>0.30319637108574771</v>
      </c>
      <c r="R31" s="106">
        <f t="shared" si="15"/>
        <v>0.3260979532163743</v>
      </c>
      <c r="S31" s="106">
        <f t="shared" si="15"/>
        <v>0.33706638343069573</v>
      </c>
      <c r="T31" s="106">
        <f t="shared" si="15"/>
        <v>0.33027861271676295</v>
      </c>
      <c r="U31" s="106">
        <f t="shared" si="15"/>
        <v>0.35857574338562398</v>
      </c>
      <c r="V31" s="106">
        <f t="shared" si="15"/>
        <v>0.35371250185234154</v>
      </c>
      <c r="W31" s="106">
        <f t="shared" si="15"/>
        <v>0.37350760687487095</v>
      </c>
      <c r="X31" s="106">
        <f t="shared" si="15"/>
        <v>0.38221648751768239</v>
      </c>
      <c r="Y31" s="106">
        <f t="shared" si="15"/>
        <v>0.38449531285853961</v>
      </c>
      <c r="Z31" s="106"/>
      <c r="AA31" s="25"/>
      <c r="AB31" s="31"/>
      <c r="AC31" s="31"/>
      <c r="AE31" s="30"/>
      <c r="AF31" s="30"/>
      <c r="AJ31" s="31"/>
      <c r="AY31" s="106"/>
      <c r="AZ31" s="27"/>
    </row>
    <row r="32" spans="2:53">
      <c r="C32" s="5" t="s">
        <v>133</v>
      </c>
      <c r="D32" s="32" t="str">
        <f t="shared" ref="D32:T32" ca="1" si="16">IFERROR(D179/D$145,"…")</f>
        <v>…</v>
      </c>
      <c r="E32" s="32" t="str">
        <f t="shared" ca="1" si="16"/>
        <v>…</v>
      </c>
      <c r="F32" s="32" t="str">
        <f t="shared" ca="1" si="16"/>
        <v>…</v>
      </c>
      <c r="G32" s="32" t="str">
        <f t="shared" ca="1" si="16"/>
        <v>…</v>
      </c>
      <c r="H32" s="32" t="str">
        <f t="shared" ca="1" si="16"/>
        <v>…</v>
      </c>
      <c r="I32" s="32" t="str">
        <f t="shared" ca="1" si="16"/>
        <v>…</v>
      </c>
      <c r="J32" s="106" t="str">
        <f t="shared" ca="1" si="16"/>
        <v>…</v>
      </c>
      <c r="K32" s="106" t="str">
        <f t="shared" ca="1" si="16"/>
        <v>…</v>
      </c>
      <c r="L32" s="106" t="str">
        <f t="shared" ca="1" si="16"/>
        <v>…</v>
      </c>
      <c r="M32" s="106">
        <f t="shared" si="16"/>
        <v>0.21261781292955417</v>
      </c>
      <c r="N32" s="106">
        <f t="shared" si="16"/>
        <v>0.19132082711884044</v>
      </c>
      <c r="O32" s="106">
        <f t="shared" si="16"/>
        <v>0.1556832515767344</v>
      </c>
      <c r="P32" s="106">
        <f t="shared" si="16"/>
        <v>0.19165281803542672</v>
      </c>
      <c r="Q32" s="106">
        <f t="shared" si="16"/>
        <v>0.26120515071700318</v>
      </c>
      <c r="R32" s="106">
        <f t="shared" si="16"/>
        <v>0.28037163742690063</v>
      </c>
      <c r="S32" s="106">
        <f t="shared" si="16"/>
        <v>0.28622145512480085</v>
      </c>
      <c r="T32" s="106">
        <f t="shared" si="16"/>
        <v>0.26728670520231212</v>
      </c>
      <c r="U32" s="106">
        <f>IFERROR(U179/U$145,"…")</f>
        <v>0.30470147506438777</v>
      </c>
      <c r="V32" s="106">
        <f>IFERROR(V179/V$145,"…")</f>
        <v>0.29182076545943497</v>
      </c>
      <c r="W32" s="106">
        <f ca="1">IFERROR(W179/W$145,"…")</f>
        <v>0.31215475201928072</v>
      </c>
      <c r="X32" s="106">
        <f ca="1">IFERROR(X179/X$145,"…")</f>
        <v>0.32000108013728512</v>
      </c>
      <c r="Y32" s="106">
        <f ca="1">IFERROR(Y179/Y$145,"…")</f>
        <v>0.32291114427075007</v>
      </c>
      <c r="Z32" s="106"/>
      <c r="AA32" s="25"/>
      <c r="AB32" s="31"/>
      <c r="AC32" s="31"/>
      <c r="AE32" s="30"/>
      <c r="AF32" s="30"/>
      <c r="AJ32" s="31"/>
      <c r="AY32" s="106"/>
      <c r="AZ32" s="27"/>
    </row>
    <row r="33" spans="1:54">
      <c r="C33" s="5" t="s">
        <v>338</v>
      </c>
      <c r="D33" s="32" t="str">
        <f t="shared" ref="D33:T33" ca="1" si="17">IFERROR(D221/D$145,"…")</f>
        <v>…</v>
      </c>
      <c r="E33" s="32" t="str">
        <f t="shared" ca="1" si="17"/>
        <v>…</v>
      </c>
      <c r="F33" s="32" t="str">
        <f t="shared" ca="1" si="17"/>
        <v>…</v>
      </c>
      <c r="G33" s="32" t="str">
        <f t="shared" ca="1" si="17"/>
        <v>…</v>
      </c>
      <c r="H33" s="32" t="str">
        <f t="shared" ca="1" si="17"/>
        <v>…</v>
      </c>
      <c r="I33" s="32" t="str">
        <f t="shared" ca="1" si="17"/>
        <v>…</v>
      </c>
      <c r="J33" s="106" t="str">
        <f t="shared" ca="1" si="17"/>
        <v>…</v>
      </c>
      <c r="K33" s="106" t="str">
        <f t="shared" ca="1" si="17"/>
        <v>…</v>
      </c>
      <c r="L33" s="106" t="str">
        <f t="shared" ca="1" si="17"/>
        <v>…</v>
      </c>
      <c r="M33" s="106">
        <f t="shared" si="17"/>
        <v>0.15567750195908822</v>
      </c>
      <c r="N33" s="106">
        <f t="shared" si="17"/>
        <v>0.14099103664982116</v>
      </c>
      <c r="O33" s="106">
        <f t="shared" si="17"/>
        <v>0.1556832515767344</v>
      </c>
      <c r="P33" s="106">
        <f t="shared" si="17"/>
        <v>0.19165281803542672</v>
      </c>
      <c r="Q33" s="106">
        <f t="shared" si="17"/>
        <v>0.22692888498683056</v>
      </c>
      <c r="R33" s="106">
        <f t="shared" si="17"/>
        <v>0.24166871345029239</v>
      </c>
      <c r="S33" s="106">
        <f t="shared" si="17"/>
        <v>0.2436128518321827</v>
      </c>
      <c r="T33" s="106">
        <f t="shared" si="17"/>
        <v>0.20697312138728322</v>
      </c>
      <c r="U33" s="106">
        <f>IFERROR(U221/U$145,"…")</f>
        <v>0.25181175368766096</v>
      </c>
      <c r="V33" s="106">
        <f>IFERROR(V221/V$145,"…")</f>
        <v>0.24206665646002587</v>
      </c>
      <c r="W33" s="106">
        <f>IFERROR(W221/W$145,"…")</f>
        <v>0.26296298675967783</v>
      </c>
      <c r="X33" s="106">
        <f>IFERROR(X221/X$145,"…")</f>
        <v>0.2698939304765629</v>
      </c>
      <c r="Y33" s="106">
        <f>IFERROR(Y221/Y$145,"…")</f>
        <v>0.27927100456703935</v>
      </c>
      <c r="Z33" s="106"/>
      <c r="AA33" s="25"/>
      <c r="AB33" s="31"/>
      <c r="AC33" s="31"/>
      <c r="AE33" s="30"/>
      <c r="AF33" s="30"/>
      <c r="AJ33" s="31"/>
      <c r="AY33" s="106"/>
      <c r="AZ33" s="27"/>
    </row>
    <row r="34" spans="1:54">
      <c r="C34" s="5" t="s">
        <v>339</v>
      </c>
      <c r="D34" s="32" t="str">
        <f t="shared" ref="D34:T34" ca="1" si="18">IFERROR(D227/D$145,"…")</f>
        <v>…</v>
      </c>
      <c r="E34" s="32" t="str">
        <f t="shared" ca="1" si="18"/>
        <v>…</v>
      </c>
      <c r="F34" s="32" t="str">
        <f t="shared" ca="1" si="18"/>
        <v>…</v>
      </c>
      <c r="G34" s="32" t="str">
        <f t="shared" ca="1" si="18"/>
        <v>…</v>
      </c>
      <c r="H34" s="32" t="str">
        <f t="shared" ca="1" si="18"/>
        <v>…</v>
      </c>
      <c r="I34" s="32" t="str">
        <f t="shared" ca="1" si="18"/>
        <v>…</v>
      </c>
      <c r="J34" s="106" t="str">
        <f t="shared" ca="1" si="18"/>
        <v>…</v>
      </c>
      <c r="K34" s="106" t="str">
        <f t="shared" ca="1" si="18"/>
        <v>…</v>
      </c>
      <c r="L34" s="106" t="str">
        <f t="shared" ca="1" si="18"/>
        <v>…</v>
      </c>
      <c r="M34" s="106">
        <f t="shared" si="18"/>
        <v>0.16373507731440048</v>
      </c>
      <c r="N34" s="106">
        <f t="shared" si="18"/>
        <v>0.14704964161079659</v>
      </c>
      <c r="O34" s="106">
        <f t="shared" si="18"/>
        <v>0.1067987105816398</v>
      </c>
      <c r="P34" s="106">
        <f t="shared" si="18"/>
        <v>0.13147383317230274</v>
      </c>
      <c r="Q34" s="106">
        <f t="shared" si="18"/>
        <v>0.20674221832016387</v>
      </c>
      <c r="R34" s="106">
        <f t="shared" si="18"/>
        <v>0.22237114619883044</v>
      </c>
      <c r="S34" s="106">
        <f t="shared" si="18"/>
        <v>0.22775437068507701</v>
      </c>
      <c r="T34" s="106">
        <f t="shared" si="18"/>
        <v>0.21761315606936413</v>
      </c>
      <c r="U34" s="106">
        <f>IFERROR(U227/U$145,"…")</f>
        <v>0.22563258440646219</v>
      </c>
      <c r="V34" s="106">
        <f>IFERROR(V227/V$145,"…")</f>
        <v>0.21581183533098683</v>
      </c>
      <c r="W34" s="106">
        <f ca="1">IFERROR(W227/W$145,"…")</f>
        <v>0.22958437417674191</v>
      </c>
      <c r="X34" s="106">
        <f ca="1">IFERROR(X227/X$145,"…")</f>
        <v>0.23525438596764434</v>
      </c>
      <c r="Y34" s="106">
        <f ca="1">IFERROR(Y227/Y$145,"…")</f>
        <v>0.23522004883669972</v>
      </c>
      <c r="Z34" s="106"/>
      <c r="AA34" s="25"/>
      <c r="AB34" s="23"/>
      <c r="AC34" s="23"/>
      <c r="AY34" s="106"/>
      <c r="AZ34" s="27"/>
    </row>
    <row r="35" spans="1:54">
      <c r="D35" s="32"/>
      <c r="E35" s="32"/>
      <c r="F35" s="32"/>
      <c r="G35" s="32"/>
      <c r="H35" s="32"/>
      <c r="I35" s="32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25"/>
      <c r="AB35" s="23"/>
      <c r="AC35" s="23"/>
      <c r="AY35" s="106"/>
      <c r="AZ35" s="27"/>
    </row>
    <row r="36" spans="1:54">
      <c r="C36" s="5" t="s">
        <v>2141</v>
      </c>
      <c r="D36" s="101" t="str">
        <f t="shared" ref="D36:Y36" ca="1" si="19">IF(OR(D$8="A",D$8="E"),IFERROR(D471/D151,"…"),IF(D$8="L","…","…"))</f>
        <v>…</v>
      </c>
      <c r="E36" s="101" t="str">
        <f t="shared" ca="1" si="19"/>
        <v>…</v>
      </c>
      <c r="F36" s="101" t="str">
        <f t="shared" ca="1" si="19"/>
        <v>…</v>
      </c>
      <c r="G36" s="102" t="str">
        <f t="shared" ca="1" si="19"/>
        <v>…</v>
      </c>
      <c r="H36" s="101" t="str">
        <f t="shared" ca="1" si="19"/>
        <v>…</v>
      </c>
      <c r="I36" s="101" t="str">
        <f t="shared" ca="1" si="19"/>
        <v>…</v>
      </c>
      <c r="J36" s="107" t="str">
        <f t="shared" ca="1" si="19"/>
        <v>…</v>
      </c>
      <c r="K36" s="107" t="str">
        <f t="shared" ca="1" si="19"/>
        <v>…</v>
      </c>
      <c r="L36" s="107" t="str">
        <f t="shared" ca="1" si="19"/>
        <v>…</v>
      </c>
      <c r="M36" s="107" t="str">
        <f t="shared" ca="1" si="19"/>
        <v>…</v>
      </c>
      <c r="N36" s="107">
        <f t="shared" si="19"/>
        <v>0.29997494288451615</v>
      </c>
      <c r="O36" s="107">
        <f t="shared" si="19"/>
        <v>0.5228118824548692</v>
      </c>
      <c r="P36" s="107">
        <f t="shared" si="19"/>
        <v>2.4651631053192995</v>
      </c>
      <c r="Q36" s="107">
        <f t="shared" si="19"/>
        <v>1.3419184148599161</v>
      </c>
      <c r="R36" s="107">
        <f t="shared" si="19"/>
        <v>1.038753468937597</v>
      </c>
      <c r="S36" s="107">
        <f t="shared" si="19"/>
        <v>0.89294953804656074</v>
      </c>
      <c r="T36" s="107">
        <f t="shared" si="19"/>
        <v>1.0429021215229042</v>
      </c>
      <c r="U36" s="107">
        <f t="shared" si="19"/>
        <v>0.88955890294140871</v>
      </c>
      <c r="V36" s="107">
        <f t="shared" si="19"/>
        <v>0.77660265164315789</v>
      </c>
      <c r="W36" s="107" t="str">
        <f t="shared" si="19"/>
        <v>…</v>
      </c>
      <c r="X36" s="107" t="str">
        <f t="shared" si="19"/>
        <v>…</v>
      </c>
      <c r="Y36" s="107" t="str">
        <f t="shared" si="19"/>
        <v>…</v>
      </c>
      <c r="Z36" s="107"/>
      <c r="AA36" s="25"/>
      <c r="AB36" s="23"/>
      <c r="AC36" s="23"/>
      <c r="AY36" s="107"/>
      <c r="AZ36" s="27"/>
    </row>
    <row r="37" spans="1:54">
      <c r="D37" s="32"/>
      <c r="E37" s="32"/>
      <c r="F37" s="32"/>
      <c r="G37" s="32"/>
      <c r="H37" s="32"/>
      <c r="I37" s="32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25"/>
      <c r="AB37" s="23"/>
      <c r="AC37" s="23"/>
      <c r="AY37" s="22"/>
      <c r="AZ37" s="22"/>
    </row>
    <row r="38" spans="1:54">
      <c r="D38" s="32"/>
      <c r="E38" s="32"/>
      <c r="F38" s="32"/>
      <c r="G38" s="32"/>
      <c r="H38" s="32"/>
      <c r="I38" s="32"/>
      <c r="J38" s="106"/>
      <c r="K38" s="106"/>
      <c r="L38" s="106"/>
      <c r="M38" s="106">
        <f ca="1">M49*M34</f>
        <v>0.12031828117179022</v>
      </c>
      <c r="N38" s="106">
        <f>N49*N34</f>
        <v>0.11843533207389412</v>
      </c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25"/>
      <c r="AB38" s="23"/>
      <c r="AC38" s="23"/>
      <c r="AY38" s="22"/>
      <c r="AZ38" s="22"/>
    </row>
    <row r="39" spans="1:54"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25"/>
      <c r="AB39" s="23"/>
      <c r="AC39" s="23"/>
      <c r="AE39" s="30"/>
      <c r="AF39" s="30"/>
      <c r="AY39" s="22"/>
      <c r="AZ39" s="22"/>
    </row>
    <row r="40" spans="1:54" ht="13.15">
      <c r="C40" s="87" t="s">
        <v>12</v>
      </c>
      <c r="D40" s="88" t="str">
        <f t="shared" ref="D40:L40" ca="1" si="20">IF(OR(D$8="A",D$8="E"),IFERROR(D227/D271,"…"),IF(D$8="L","…","…"))</f>
        <v>…</v>
      </c>
      <c r="E40" s="88" t="str">
        <f t="shared" ca="1" si="20"/>
        <v>…</v>
      </c>
      <c r="F40" s="88" t="str">
        <f t="shared" ca="1" si="20"/>
        <v>…</v>
      </c>
      <c r="G40" s="88" t="str">
        <f t="shared" ca="1" si="20"/>
        <v>…</v>
      </c>
      <c r="H40" s="88" t="str">
        <f t="shared" ca="1" si="20"/>
        <v>…</v>
      </c>
      <c r="I40" s="88" t="str">
        <f t="shared" ca="1" si="20"/>
        <v>…</v>
      </c>
      <c r="J40" s="88" t="str">
        <f t="shared" ca="1" si="20"/>
        <v>…</v>
      </c>
      <c r="K40" s="88" t="str">
        <f t="shared" ca="1" si="20"/>
        <v>…</v>
      </c>
      <c r="L40" s="88" t="str">
        <f t="shared" ca="1" si="20"/>
        <v>…</v>
      </c>
      <c r="M40" s="88">
        <f t="shared" ref="M40:Y40" ca="1" si="21">IF(OR(M$8="A",M$8="E"),IFERROR(M281/M271,"…"),IF(M$8="L","…","…"))</f>
        <v>0.12031828117179022</v>
      </c>
      <c r="N40" s="88">
        <f t="shared" si="21"/>
        <v>0.11843533207389412</v>
      </c>
      <c r="O40" s="88">
        <f t="shared" si="21"/>
        <v>9.2514663693200383E-2</v>
      </c>
      <c r="P40" s="88">
        <f t="shared" si="21"/>
        <v>0.14728631129965497</v>
      </c>
      <c r="Q40" s="88">
        <f t="shared" si="21"/>
        <v>0.25833199463105111</v>
      </c>
      <c r="R40" s="88">
        <f t="shared" si="21"/>
        <v>0.24419390588744133</v>
      </c>
      <c r="S40" s="88">
        <f t="shared" si="21"/>
        <v>0.23790500530189163</v>
      </c>
      <c r="T40" s="88">
        <f t="shared" si="21"/>
        <v>0.19080872182691869</v>
      </c>
      <c r="U40" s="88">
        <f t="shared" si="21"/>
        <v>0.22532927885176332</v>
      </c>
      <c r="V40" s="88">
        <f t="shared" ca="1" si="21"/>
        <v>0.23058882433861247</v>
      </c>
      <c r="W40" s="88">
        <f t="shared" ca="1" si="21"/>
        <v>0.26103604052162682</v>
      </c>
      <c r="X40" s="88">
        <f t="shared" ca="1" si="21"/>
        <v>0.27398065326328286</v>
      </c>
      <c r="Y40" s="88">
        <f t="shared" ca="1" si="21"/>
        <v>0.27943004480662909</v>
      </c>
      <c r="Z40" s="88"/>
      <c r="AA40" s="25"/>
      <c r="AB40" s="5"/>
      <c r="AC40" s="5"/>
      <c r="AD40" s="30">
        <f ca="1">AVERAGE(K40:O40)</f>
        <v>0.11042275897962824</v>
      </c>
      <c r="AY40" s="22"/>
      <c r="AZ40" s="22"/>
    </row>
    <row r="41" spans="1:54" ht="13.15">
      <c r="C41" s="87" t="s">
        <v>128</v>
      </c>
      <c r="D41" s="88" t="str">
        <f t="shared" ref="D41:Y41" ca="1" si="22">IF(OR(D$8="A",D$8="E"),IFERROR(D227/D272,"…"),IF(D$8="L","…","…"))</f>
        <v>…</v>
      </c>
      <c r="E41" s="88" t="str">
        <f t="shared" ca="1" si="22"/>
        <v>…</v>
      </c>
      <c r="F41" s="88" t="str">
        <f t="shared" ca="1" si="22"/>
        <v>…</v>
      </c>
      <c r="G41" s="88" t="str">
        <f t="shared" ca="1" si="22"/>
        <v>…</v>
      </c>
      <c r="H41" s="88" t="str">
        <f t="shared" ca="1" si="22"/>
        <v>…</v>
      </c>
      <c r="I41" s="88" t="str">
        <f t="shared" ca="1" si="22"/>
        <v>…</v>
      </c>
      <c r="J41" s="88" t="str">
        <f t="shared" ca="1" si="22"/>
        <v>…</v>
      </c>
      <c r="K41" s="88" t="str">
        <f t="shared" ca="1" si="22"/>
        <v>…</v>
      </c>
      <c r="L41" s="88" t="str">
        <f t="shared" ca="1" si="22"/>
        <v>…</v>
      </c>
      <c r="M41" s="88">
        <f t="shared" ca="1" si="22"/>
        <v>0.15993387829233982</v>
      </c>
      <c r="N41" s="88">
        <f t="shared" si="22"/>
        <v>0.15371518385308849</v>
      </c>
      <c r="O41" s="88">
        <f t="shared" si="22"/>
        <v>0.1215580515346746</v>
      </c>
      <c r="P41" s="88">
        <f t="shared" si="22"/>
        <v>0.20560675628100333</v>
      </c>
      <c r="Q41" s="88">
        <f t="shared" si="22"/>
        <v>0.36238162766939996</v>
      </c>
      <c r="R41" s="88">
        <f t="shared" si="22"/>
        <v>0.32651312938069099</v>
      </c>
      <c r="S41" s="88">
        <f t="shared" si="22"/>
        <v>0.30414251800002484</v>
      </c>
      <c r="T41" s="88">
        <f t="shared" si="22"/>
        <v>0.23820689986813759</v>
      </c>
      <c r="U41" s="88">
        <f t="shared" si="22"/>
        <v>0.27600122466502858</v>
      </c>
      <c r="V41" s="88">
        <f t="shared" ca="1" si="22"/>
        <v>0.27839277435976278</v>
      </c>
      <c r="W41" s="88">
        <f t="shared" ca="1" si="22"/>
        <v>0.31220140357758247</v>
      </c>
      <c r="X41" s="88">
        <f t="shared" ca="1" si="22"/>
        <v>0.32449877883354433</v>
      </c>
      <c r="Y41" s="88">
        <f t="shared" ca="1" si="22"/>
        <v>0.3277026234119032</v>
      </c>
      <c r="Z41" s="88"/>
      <c r="AA41" s="25"/>
      <c r="AB41" s="5"/>
      <c r="AC41" s="5"/>
      <c r="AD41" s="30">
        <f ca="1">AVERAGE(K41:O41)</f>
        <v>0.14506903789336764</v>
      </c>
      <c r="AY41" s="22"/>
      <c r="AZ41" s="22"/>
    </row>
    <row r="42" spans="1:54" ht="13.15">
      <c r="C42" s="9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25"/>
      <c r="AB42" s="10"/>
      <c r="AC42" s="10"/>
      <c r="AY42" s="22"/>
      <c r="AZ42" s="22"/>
    </row>
    <row r="43" spans="1:54" s="33" customFormat="1" ht="13.15">
      <c r="A43" s="5"/>
      <c r="B43" s="5"/>
      <c r="C43" s="12" t="s">
        <v>1556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25"/>
      <c r="AB43" s="20"/>
      <c r="AC43" s="20"/>
      <c r="AD43" s="24"/>
      <c r="AE43" s="5"/>
      <c r="AF43" s="5"/>
      <c r="AG43" s="9"/>
      <c r="AH43" s="5"/>
      <c r="AI43" s="5"/>
      <c r="AJ43" s="22"/>
      <c r="AK43" s="23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5"/>
      <c r="BB43" s="5"/>
    </row>
    <row r="44" spans="1:54" s="33" customFormat="1" ht="13.15" hidden="1" outlineLevel="1">
      <c r="A44" s="5"/>
      <c r="B44" s="5"/>
      <c r="C44" s="38" t="s">
        <v>1578</v>
      </c>
      <c r="D44" s="32" t="str">
        <f t="shared" ref="D44:Y45" ca="1" si="23">IFERROR(D235/C235-1,"…")</f>
        <v>…</v>
      </c>
      <c r="E44" s="32" t="str">
        <f t="shared" ca="1" si="23"/>
        <v>…</v>
      </c>
      <c r="F44" s="32" t="str">
        <f t="shared" ca="1" si="23"/>
        <v>…</v>
      </c>
      <c r="G44" s="32" t="str">
        <f t="shared" ca="1" si="23"/>
        <v>…</v>
      </c>
      <c r="H44" s="32" t="str">
        <f t="shared" ca="1" si="23"/>
        <v>…</v>
      </c>
      <c r="I44" s="32" t="str">
        <f t="shared" ca="1" si="23"/>
        <v>…</v>
      </c>
      <c r="J44" s="106" t="str">
        <f t="shared" ca="1" si="23"/>
        <v>…</v>
      </c>
      <c r="K44" s="106" t="str">
        <f t="shared" ca="1" si="23"/>
        <v>…</v>
      </c>
      <c r="L44" s="106" t="str">
        <f t="shared" ca="1" si="23"/>
        <v>…</v>
      </c>
      <c r="M44" s="106" t="str">
        <f t="shared" ca="1" si="23"/>
        <v>…</v>
      </c>
      <c r="N44" s="106">
        <f t="shared" si="23"/>
        <v>0.15846867498999617</v>
      </c>
      <c r="O44" s="106">
        <f t="shared" si="23"/>
        <v>-0.21018602782388174</v>
      </c>
      <c r="P44" s="106">
        <f t="shared" si="23"/>
        <v>-9.3607933295388412E-2</v>
      </c>
      <c r="Q44" s="106">
        <f t="shared" si="23"/>
        <v>7.5169309561508246E-2</v>
      </c>
      <c r="R44" s="106">
        <f t="shared" si="23"/>
        <v>0.19811516513920102</v>
      </c>
      <c r="S44" s="106">
        <f t="shared" si="23"/>
        <v>0.12385867360929681</v>
      </c>
      <c r="T44" s="106">
        <f t="shared" si="23"/>
        <v>6.8395005623011595E-2</v>
      </c>
      <c r="U44" s="106">
        <f t="shared" si="23"/>
        <v>9.8226509412278284E-2</v>
      </c>
      <c r="V44" s="106">
        <f t="shared" ca="1" si="23"/>
        <v>4.2731071466802995E-2</v>
      </c>
      <c r="W44" s="106">
        <f t="shared" ca="1" si="23"/>
        <v>5.2596082574465131E-2</v>
      </c>
      <c r="X44" s="106">
        <f t="shared" ca="1" si="23"/>
        <v>5.2810185762403261E-2</v>
      </c>
      <c r="Y44" s="106">
        <f t="shared" ca="1" si="23"/>
        <v>6.0688260304938346E-2</v>
      </c>
      <c r="Z44" s="106"/>
      <c r="AA44" s="25"/>
      <c r="AB44" s="20"/>
      <c r="AC44" s="20"/>
      <c r="AD44" s="24"/>
      <c r="AE44" s="5"/>
      <c r="AF44" s="5"/>
      <c r="AG44" s="9"/>
      <c r="AH44" s="5"/>
      <c r="AI44" s="5"/>
      <c r="AJ44" s="22"/>
      <c r="AK44" s="23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5"/>
      <c r="BB44" s="5"/>
    </row>
    <row r="45" spans="1:54" s="33" customFormat="1" ht="13.15" hidden="1" outlineLevel="1">
      <c r="A45" s="5"/>
      <c r="B45" s="5"/>
      <c r="C45" s="38" t="s">
        <v>1579</v>
      </c>
      <c r="D45" s="32" t="str">
        <f t="shared" ca="1" si="23"/>
        <v>…</v>
      </c>
      <c r="E45" s="32" t="str">
        <f t="shared" ca="1" si="23"/>
        <v>…</v>
      </c>
      <c r="F45" s="32" t="str">
        <f t="shared" ca="1" si="23"/>
        <v>…</v>
      </c>
      <c r="G45" s="32" t="str">
        <f t="shared" ca="1" si="23"/>
        <v>…</v>
      </c>
      <c r="H45" s="32" t="str">
        <f t="shared" ca="1" si="23"/>
        <v>…</v>
      </c>
      <c r="I45" s="32" t="str">
        <f t="shared" ca="1" si="23"/>
        <v>…</v>
      </c>
      <c r="J45" s="106" t="str">
        <f t="shared" ca="1" si="23"/>
        <v>…</v>
      </c>
      <c r="K45" s="106" t="str">
        <f t="shared" ca="1" si="23"/>
        <v>…</v>
      </c>
      <c r="L45" s="106" t="str">
        <f t="shared" ca="1" si="23"/>
        <v>…</v>
      </c>
      <c r="M45" s="106" t="str">
        <f t="shared" ca="1" si="23"/>
        <v>…</v>
      </c>
      <c r="N45" s="106">
        <f t="shared" si="23"/>
        <v>0.21064554390376955</v>
      </c>
      <c r="O45" s="106">
        <f t="shared" si="23"/>
        <v>-0.26734987141282307</v>
      </c>
      <c r="P45" s="106">
        <f t="shared" si="23"/>
        <v>-0.12741497910700272</v>
      </c>
      <c r="Q45" s="106">
        <f t="shared" si="23"/>
        <v>0.107066405458353</v>
      </c>
      <c r="R45" s="106">
        <f t="shared" si="23"/>
        <v>0.2740523742389509</v>
      </c>
      <c r="S45" s="106">
        <f t="shared" si="23"/>
        <v>0.16112152239891397</v>
      </c>
      <c r="T45" s="106">
        <f t="shared" si="23"/>
        <v>8.6116336879522803E-2</v>
      </c>
      <c r="U45" s="106">
        <f t="shared" si="23"/>
        <v>0.12165931660364837</v>
      </c>
      <c r="V45" s="106">
        <f t="shared" ca="1" si="23"/>
        <v>5.1819282910783748E-2</v>
      </c>
      <c r="W45" s="106">
        <f t="shared" ca="1" si="23"/>
        <v>6.3231313150798885E-2</v>
      </c>
      <c r="X45" s="106">
        <f t="shared" ca="1" si="23"/>
        <v>6.2853647933781787E-2</v>
      </c>
      <c r="Y45" s="106">
        <f t="shared" ca="1" si="23"/>
        <v>7.1547438847029188E-2</v>
      </c>
      <c r="Z45" s="106"/>
      <c r="AA45" s="25"/>
      <c r="AB45" s="20"/>
      <c r="AC45" s="20"/>
      <c r="AD45" s="24"/>
      <c r="AE45" s="5"/>
      <c r="AF45" s="5"/>
      <c r="AG45" s="9"/>
      <c r="AH45" s="5"/>
      <c r="AI45" s="5"/>
      <c r="AJ45" s="22"/>
      <c r="AK45" s="23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5"/>
      <c r="BB45" s="5"/>
    </row>
    <row r="46" spans="1:54" s="33" customFormat="1" ht="13.15" hidden="1" outlineLevel="1">
      <c r="A46" s="5"/>
      <c r="B46" s="5"/>
      <c r="C46" s="38" t="s">
        <v>1559</v>
      </c>
      <c r="D46" s="32" t="str">
        <f t="shared" ref="D46:Y46" ca="1" si="24">IFERROR(D160/D145,"…")</f>
        <v>…</v>
      </c>
      <c r="E46" s="32" t="str">
        <f t="shared" ca="1" si="24"/>
        <v>…</v>
      </c>
      <c r="F46" s="32" t="str">
        <f t="shared" ca="1" si="24"/>
        <v>…</v>
      </c>
      <c r="G46" s="32" t="str">
        <f t="shared" ca="1" si="24"/>
        <v>…</v>
      </c>
      <c r="H46" s="32" t="str">
        <f t="shared" ca="1" si="24"/>
        <v>…</v>
      </c>
      <c r="I46" s="32" t="str">
        <f t="shared" ca="1" si="24"/>
        <v>…</v>
      </c>
      <c r="J46" s="106" t="str">
        <f t="shared" ca="1" si="24"/>
        <v>…</v>
      </c>
      <c r="K46" s="106" t="str">
        <f t="shared" ca="1" si="24"/>
        <v>…</v>
      </c>
      <c r="L46" s="106" t="str">
        <f t="shared" ca="1" si="24"/>
        <v>…</v>
      </c>
      <c r="M46" s="106">
        <f t="shared" si="24"/>
        <v>-5.8785065538460218E-2</v>
      </c>
      <c r="N46" s="106">
        <f t="shared" si="24"/>
        <v>-5.4284380022878984E-2</v>
      </c>
      <c r="O46" s="106">
        <f t="shared" si="24"/>
        <v>-9.6270847932726E-2</v>
      </c>
      <c r="P46" s="106">
        <f t="shared" si="24"/>
        <v>-7.9780032206119164E-2</v>
      </c>
      <c r="Q46" s="106">
        <f t="shared" si="24"/>
        <v>-4.1991220368744517E-2</v>
      </c>
      <c r="R46" s="106">
        <f t="shared" si="24"/>
        <v>-4.5726315789473677E-2</v>
      </c>
      <c r="S46" s="106">
        <f t="shared" si="24"/>
        <v>-5.0844928305894849E-2</v>
      </c>
      <c r="T46" s="106">
        <f t="shared" si="24"/>
        <v>-6.2991907514450871E-2</v>
      </c>
      <c r="U46" s="106">
        <f t="shared" si="24"/>
        <v>-5.3874268321236249E-2</v>
      </c>
      <c r="V46" s="106">
        <f t="shared" si="24"/>
        <v>-6.1891736392906557E-2</v>
      </c>
      <c r="W46" s="106">
        <f t="shared" ca="1" si="24"/>
        <v>-6.1352854855590201E-2</v>
      </c>
      <c r="X46" s="106">
        <f t="shared" ca="1" si="24"/>
        <v>-6.2215407380397318E-2</v>
      </c>
      <c r="Y46" s="106">
        <f t="shared" ca="1" si="24"/>
        <v>-6.158416858778952E-2</v>
      </c>
      <c r="Z46" s="106"/>
      <c r="AA46" s="25"/>
      <c r="AB46" s="20"/>
      <c r="AC46" s="20"/>
      <c r="AD46" s="24"/>
      <c r="AE46" s="5"/>
      <c r="AF46" s="5"/>
      <c r="AG46" s="9"/>
      <c r="AH46" s="5"/>
      <c r="AI46" s="5"/>
      <c r="AJ46" s="22"/>
      <c r="AK46" s="23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5"/>
      <c r="BB46" s="5"/>
    </row>
    <row r="47" spans="1:54" s="33" customFormat="1" ht="13.15" hidden="1" outlineLevel="1">
      <c r="A47" s="5"/>
      <c r="B47" s="5"/>
      <c r="C47" s="38"/>
      <c r="D47" s="32"/>
      <c r="E47" s="32"/>
      <c r="F47" s="32"/>
      <c r="G47" s="32"/>
      <c r="H47" s="32"/>
      <c r="I47" s="32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25"/>
      <c r="AB47" s="20"/>
      <c r="AC47" s="20"/>
      <c r="AD47" s="24"/>
      <c r="AE47" s="5"/>
      <c r="AF47" s="5"/>
      <c r="AG47" s="9"/>
      <c r="AH47" s="5"/>
      <c r="AI47" s="5"/>
      <c r="AJ47" s="22"/>
      <c r="AK47" s="23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5"/>
      <c r="BB47" s="5"/>
    </row>
    <row r="48" spans="1:54" collapsed="1">
      <c r="C48" s="38" t="s">
        <v>1742</v>
      </c>
      <c r="D48" s="25" t="str">
        <f t="shared" ref="D48:Y48" ca="1" si="25">IF(OR(D$8="A",D$8="E"),IFERROR(D147/D265,"…"),IF(D$8="L","…","…"))</f>
        <v>…</v>
      </c>
      <c r="E48" s="25" t="str">
        <f t="shared" ca="1" si="25"/>
        <v>…</v>
      </c>
      <c r="F48" s="25" t="str">
        <f t="shared" ca="1" si="25"/>
        <v>…</v>
      </c>
      <c r="G48" s="25" t="str">
        <f t="shared" ca="1" si="25"/>
        <v>…</v>
      </c>
      <c r="H48" s="25" t="str">
        <f t="shared" ca="1" si="25"/>
        <v>…</v>
      </c>
      <c r="I48" s="25" t="str">
        <f t="shared" ca="1" si="25"/>
        <v>…</v>
      </c>
      <c r="J48" s="25" t="str">
        <f t="shared" ca="1" si="25"/>
        <v>…</v>
      </c>
      <c r="K48" s="25" t="str">
        <f t="shared" ca="1" si="25"/>
        <v>…</v>
      </c>
      <c r="L48" s="25" t="str">
        <f t="shared" ca="1" si="25"/>
        <v>…</v>
      </c>
      <c r="M48" s="25">
        <f t="shared" ca="1" si="25"/>
        <v>4.1127376218268656</v>
      </c>
      <c r="N48" s="25">
        <f t="shared" si="25"/>
        <v>4.7916086657490604</v>
      </c>
      <c r="O48" s="25">
        <f t="shared" si="25"/>
        <v>4.7122342247887623</v>
      </c>
      <c r="P48" s="25">
        <f t="shared" si="25"/>
        <v>4.7938379497503885</v>
      </c>
      <c r="Q48" s="25">
        <f t="shared" si="25"/>
        <v>4.9538144153534898</v>
      </c>
      <c r="R48" s="25">
        <f t="shared" si="25"/>
        <v>4.3823399388778901</v>
      </c>
      <c r="S48" s="25">
        <f t="shared" si="25"/>
        <v>3.9225039865597475</v>
      </c>
      <c r="T48" s="25">
        <f t="shared" si="25"/>
        <v>3.0135671489825726</v>
      </c>
      <c r="U48" s="25">
        <f t="shared" si="25"/>
        <v>3.3111158057132446</v>
      </c>
      <c r="V48" s="25">
        <f t="shared" ca="1" si="25"/>
        <v>3.4177580983941587</v>
      </c>
      <c r="W48" s="25">
        <f t="shared" ca="1" si="25"/>
        <v>3.4350057149306643</v>
      </c>
      <c r="X48" s="25">
        <f t="shared" ca="1" si="25"/>
        <v>3.3593123006364149</v>
      </c>
      <c r="Y48" s="25">
        <f t="shared" ca="1" si="25"/>
        <v>3.3078114345157328</v>
      </c>
      <c r="Z48" s="25"/>
      <c r="AA48" s="25"/>
      <c r="AB48" s="97" t="s">
        <v>1741</v>
      </c>
      <c r="AC48" s="97" t="s">
        <v>1741</v>
      </c>
      <c r="AJ48" s="31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</row>
    <row r="49" spans="3:52">
      <c r="C49" s="38" t="s">
        <v>129</v>
      </c>
      <c r="D49" s="25" t="str">
        <f t="shared" ref="D49:Y49" ca="1" si="26">IF(OR(D$8="A",D$8="E"),IFERROR(D147/D271,"…"),IF(D$8="L","…","…"))</f>
        <v>…</v>
      </c>
      <c r="E49" s="25" t="str">
        <f t="shared" ca="1" si="26"/>
        <v>…</v>
      </c>
      <c r="F49" s="25" t="str">
        <f t="shared" ca="1" si="26"/>
        <v>…</v>
      </c>
      <c r="G49" s="25" t="str">
        <f t="shared" ca="1" si="26"/>
        <v>…</v>
      </c>
      <c r="H49" s="25" t="str">
        <f t="shared" ca="1" si="26"/>
        <v>…</v>
      </c>
      <c r="I49" s="25" t="str">
        <f t="shared" ca="1" si="26"/>
        <v>…</v>
      </c>
      <c r="J49" s="25" t="str">
        <f t="shared" ca="1" si="26"/>
        <v>…</v>
      </c>
      <c r="K49" s="25" t="str">
        <f t="shared" ca="1" si="26"/>
        <v>…</v>
      </c>
      <c r="L49" s="25" t="str">
        <f t="shared" ca="1" si="26"/>
        <v>…</v>
      </c>
      <c r="M49" s="25">
        <f t="shared" ca="1" si="26"/>
        <v>0.73483509548022941</v>
      </c>
      <c r="N49" s="25">
        <f t="shared" si="26"/>
        <v>0.80541054555823166</v>
      </c>
      <c r="O49" s="25">
        <f t="shared" si="26"/>
        <v>0.86625262785808355</v>
      </c>
      <c r="P49" s="25">
        <f t="shared" si="26"/>
        <v>1.1202709143395038</v>
      </c>
      <c r="Q49" s="25">
        <f t="shared" si="26"/>
        <v>1.2495367261223569</v>
      </c>
      <c r="R49" s="25">
        <f t="shared" si="26"/>
        <v>1.0981366515469517</v>
      </c>
      <c r="S49" s="25">
        <f t="shared" si="26"/>
        <v>1.0445683417019918</v>
      </c>
      <c r="T49" s="25">
        <f t="shared" si="26"/>
        <v>0.87682530446871731</v>
      </c>
      <c r="U49" s="25">
        <f t="shared" si="26"/>
        <v>0.9986557546397975</v>
      </c>
      <c r="V49" s="25">
        <f t="shared" ca="1" si="26"/>
        <v>1.0684716340276819</v>
      </c>
      <c r="W49" s="25">
        <f t="shared" ca="1" si="26"/>
        <v>1.1369939328739871</v>
      </c>
      <c r="X49" s="25">
        <f t="shared" ca="1" si="26"/>
        <v>1.1646144327399053</v>
      </c>
      <c r="Y49" s="25">
        <f t="shared" ca="1" si="26"/>
        <v>1.1879516486310311</v>
      </c>
      <c r="Z49" s="25"/>
      <c r="AA49" s="25"/>
      <c r="AB49" s="97" t="s">
        <v>1741</v>
      </c>
      <c r="AC49" s="97" t="s">
        <v>1741</v>
      </c>
      <c r="AJ49" s="31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</row>
    <row r="50" spans="3:52">
      <c r="C50" s="38" t="s">
        <v>130</v>
      </c>
      <c r="D50" s="25" t="str">
        <f t="shared" ref="D50:Y50" ca="1" si="27">IF(OR(D$8="A",D$8="E"),IFERROR(D147/D272,"…"),IF(D$8="L","…","…"))</f>
        <v>…</v>
      </c>
      <c r="E50" s="25" t="str">
        <f t="shared" ca="1" si="27"/>
        <v>…</v>
      </c>
      <c r="F50" s="25" t="str">
        <f t="shared" ca="1" si="27"/>
        <v>…</v>
      </c>
      <c r="G50" s="25" t="str">
        <f t="shared" ca="1" si="27"/>
        <v>…</v>
      </c>
      <c r="H50" s="25" t="str">
        <f t="shared" ca="1" si="27"/>
        <v>…</v>
      </c>
      <c r="I50" s="25" t="str">
        <f t="shared" ca="1" si="27"/>
        <v>…</v>
      </c>
      <c r="J50" s="25" t="str">
        <f t="shared" ca="1" si="27"/>
        <v>…</v>
      </c>
      <c r="K50" s="25" t="str">
        <f t="shared" ca="1" si="27"/>
        <v>…</v>
      </c>
      <c r="L50" s="25" t="str">
        <f t="shared" ca="1" si="27"/>
        <v>…</v>
      </c>
      <c r="M50" s="25">
        <f t="shared" ca="1" si="27"/>
        <v>0.97678445520405099</v>
      </c>
      <c r="N50" s="25">
        <f t="shared" si="27"/>
        <v>1.0453285174263391</v>
      </c>
      <c r="O50" s="25">
        <f t="shared" si="27"/>
        <v>1.1381977448290665</v>
      </c>
      <c r="P50" s="25">
        <f t="shared" si="27"/>
        <v>1.5638606658067531</v>
      </c>
      <c r="Q50" s="25">
        <f t="shared" si="27"/>
        <v>1.7528187063767051</v>
      </c>
      <c r="R50" s="25">
        <f t="shared" si="27"/>
        <v>1.4683250725736838</v>
      </c>
      <c r="S50" s="25">
        <f t="shared" si="27"/>
        <v>1.3353970643249347</v>
      </c>
      <c r="T50" s="25">
        <f t="shared" si="27"/>
        <v>1.0946346451232443</v>
      </c>
      <c r="U50" s="25">
        <f t="shared" si="27"/>
        <v>1.2232330068419133</v>
      </c>
      <c r="V50" s="25">
        <f t="shared" ca="1" si="27"/>
        <v>1.2899791799314282</v>
      </c>
      <c r="W50" s="25">
        <f t="shared" ca="1" si="27"/>
        <v>1.3598547579603093</v>
      </c>
      <c r="X50" s="25">
        <f t="shared" ca="1" si="27"/>
        <v>1.3793527270440524</v>
      </c>
      <c r="Y50" s="25">
        <f t="shared" ca="1" si="27"/>
        <v>1.3931747103726222</v>
      </c>
      <c r="Z50" s="25"/>
      <c r="AA50" s="25"/>
      <c r="AB50" s="97" t="s">
        <v>1741</v>
      </c>
      <c r="AC50" s="97" t="s">
        <v>1741</v>
      </c>
      <c r="AE50" s="30"/>
      <c r="AF50" s="30"/>
      <c r="AJ50" s="31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</row>
    <row r="51" spans="3:52">
      <c r="C51" s="38" t="s">
        <v>344</v>
      </c>
      <c r="D51" s="73" t="str">
        <f t="shared" ref="D51:Y51" si="28">IFERROR(IF(D71="…","…",-D71/D162),"…")</f>
        <v>…</v>
      </c>
      <c r="E51" s="73" t="str">
        <f t="shared" ca="1" si="28"/>
        <v>…</v>
      </c>
      <c r="F51" s="73" t="str">
        <f t="shared" ca="1" si="28"/>
        <v>…</v>
      </c>
      <c r="G51" s="73" t="str">
        <f t="shared" ca="1" si="28"/>
        <v>…</v>
      </c>
      <c r="H51" s="73" t="str">
        <f t="shared" ca="1" si="28"/>
        <v>…</v>
      </c>
      <c r="I51" s="73" t="str">
        <f t="shared" ca="1" si="28"/>
        <v>…</v>
      </c>
      <c r="J51" s="73" t="str">
        <f t="shared" ca="1" si="28"/>
        <v>…</v>
      </c>
      <c r="K51" s="73" t="str">
        <f t="shared" ca="1" si="28"/>
        <v>…</v>
      </c>
      <c r="L51" s="73" t="str">
        <f t="shared" ca="1" si="28"/>
        <v>…</v>
      </c>
      <c r="M51" s="73">
        <f t="shared" si="28"/>
        <v>1.1775508271476336</v>
      </c>
      <c r="N51" s="73">
        <f t="shared" si="28"/>
        <v>1.1294405580415197</v>
      </c>
      <c r="O51" s="73">
        <f t="shared" si="28"/>
        <v>0.67299468257405637</v>
      </c>
      <c r="P51" s="73">
        <f t="shared" si="28"/>
        <v>0.70906316482114662</v>
      </c>
      <c r="Q51" s="73">
        <f t="shared" si="28"/>
        <v>1.3165509743246633</v>
      </c>
      <c r="R51" s="73">
        <f t="shared" si="28"/>
        <v>1.9234320646613465</v>
      </c>
      <c r="S51" s="73">
        <f t="shared" si="28"/>
        <v>1.8390971475125599</v>
      </c>
      <c r="T51" s="73">
        <f t="shared" si="28"/>
        <v>1.6380579210101305</v>
      </c>
      <c r="U51" s="73">
        <f t="shared" si="28"/>
        <v>1.5311629443234809</v>
      </c>
      <c r="V51" s="73">
        <f t="shared" ca="1" si="28"/>
        <v>1.5049303554587847</v>
      </c>
      <c r="W51" s="73">
        <f t="shared" ca="1" si="28"/>
        <v>1.4786977665940886</v>
      </c>
      <c r="X51" s="73">
        <f t="shared" ca="1" si="28"/>
        <v>1.4524651777293924</v>
      </c>
      <c r="Y51" s="73">
        <f t="shared" ca="1" si="28"/>
        <v>1.4262325888646963</v>
      </c>
      <c r="Z51" s="73"/>
      <c r="AA51" s="73"/>
      <c r="AB51" s="31"/>
      <c r="AC51" s="31"/>
      <c r="AE51" s="30"/>
      <c r="AF51" s="30"/>
      <c r="AJ51" s="31"/>
      <c r="AY51" s="73"/>
      <c r="AZ51" s="27"/>
    </row>
    <row r="52" spans="3:52">
      <c r="C52" s="38" t="s">
        <v>1532</v>
      </c>
      <c r="D52" s="30" t="str">
        <f ca="1">IFERROR(D71/D145,"…")</f>
        <v>…</v>
      </c>
      <c r="E52" s="30" t="str">
        <f ca="1">IFERROR(E71/E145,"…")</f>
        <v>…</v>
      </c>
      <c r="F52" s="31" t="str">
        <f ca="1">IFERROR(F71/F145,"…")</f>
        <v>…</v>
      </c>
      <c r="G52" s="31" t="str">
        <f ca="1">IFERROR(G71/G145,"…")</f>
        <v>…</v>
      </c>
      <c r="H52" s="31" t="str">
        <f t="shared" ref="H52:Q52" ca="1" si="29">IFERROR(H62/H145,"…")</f>
        <v>…</v>
      </c>
      <c r="I52" s="31" t="str">
        <f t="shared" ca="1" si="29"/>
        <v>…</v>
      </c>
      <c r="J52" s="31" t="str">
        <f t="shared" ca="1" si="29"/>
        <v>…</v>
      </c>
      <c r="K52" s="31" t="str">
        <f t="shared" ca="1" si="29"/>
        <v>…</v>
      </c>
      <c r="L52" s="31" t="str">
        <f t="shared" ca="1" si="29"/>
        <v>…</v>
      </c>
      <c r="M52" s="31">
        <f t="shared" si="29"/>
        <v>-0.11600500156298844</v>
      </c>
      <c r="N52" s="31">
        <f t="shared" si="29"/>
        <v>-0.11946234379298859</v>
      </c>
      <c r="O52" s="31">
        <f t="shared" si="29"/>
        <v>-0.12471723896285913</v>
      </c>
      <c r="P52" s="31">
        <f t="shared" si="29"/>
        <v>-0.11014074074074073</v>
      </c>
      <c r="Q52" s="31">
        <f t="shared" si="29"/>
        <v>-0.1145478489903424</v>
      </c>
      <c r="R52" s="31">
        <f t="shared" ref="R52:Y52" si="30">IFERROR(R71/R145,"…")</f>
        <v>-8.7951461988304086E-2</v>
      </c>
      <c r="S52" s="31">
        <f t="shared" si="30"/>
        <v>-9.3508762612851834E-2</v>
      </c>
      <c r="T52" s="31">
        <f t="shared" si="30"/>
        <v>-0.1031843930635838</v>
      </c>
      <c r="U52" s="31">
        <f t="shared" si="30"/>
        <v>-8.249028330601732E-2</v>
      </c>
      <c r="V52" s="31">
        <f t="shared" ca="1" si="30"/>
        <v>-9.3142752849738275E-2</v>
      </c>
      <c r="W52" s="31">
        <f t="shared" ca="1" si="30"/>
        <v>-9.0722329449132513E-2</v>
      </c>
      <c r="X52" s="31">
        <f t="shared" ca="1" si="30"/>
        <v>-9.0365712738275358E-2</v>
      </c>
      <c r="Y52" s="31">
        <f t="shared" ca="1" si="30"/>
        <v>-8.7833348198042949E-2</v>
      </c>
      <c r="Z52" s="31"/>
      <c r="AA52" s="31"/>
      <c r="AB52" s="31"/>
      <c r="AC52" s="31"/>
      <c r="AE52" s="30"/>
      <c r="AF52" s="30"/>
      <c r="AJ52" s="31"/>
      <c r="AY52" s="31"/>
      <c r="AZ52" s="27"/>
    </row>
    <row r="53" spans="3:52">
      <c r="C53" s="38" t="s">
        <v>131</v>
      </c>
      <c r="D53" s="36" t="str">
        <f ca="1">IF(D$8="A",D174,IF(D$8="L","…",IF(D$8="E",C53,"…")))</f>
        <v>…</v>
      </c>
      <c r="E53" s="36" t="str">
        <f t="shared" ref="E53:Y53" ca="1" si="31">IF(E$8="A",E174,IF(E$8="L",D53,IF(E$8="E",D53,"…")))</f>
        <v>…</v>
      </c>
      <c r="F53" s="36" t="str">
        <f t="shared" ca="1" si="31"/>
        <v>…</v>
      </c>
      <c r="G53" s="36" t="str">
        <f t="shared" ca="1" si="31"/>
        <v>…</v>
      </c>
      <c r="H53" s="36" t="str">
        <f t="shared" ca="1" si="31"/>
        <v>…</v>
      </c>
      <c r="I53" s="36" t="str">
        <f t="shared" ca="1" si="31"/>
        <v>…</v>
      </c>
      <c r="J53" s="36" t="str">
        <f t="shared" ca="1" si="31"/>
        <v>…</v>
      </c>
      <c r="K53" s="36" t="str">
        <f t="shared" ca="1" si="31"/>
        <v>…</v>
      </c>
      <c r="L53" s="36" t="str">
        <f t="shared" ca="1" si="31"/>
        <v>…</v>
      </c>
      <c r="M53" s="36">
        <f t="shared" ca="1" si="31"/>
        <v>4.1362043721180948</v>
      </c>
      <c r="N53" s="36">
        <f t="shared" si="31"/>
        <v>3.844534620847865</v>
      </c>
      <c r="O53" s="36">
        <f t="shared" si="31"/>
        <v>2.204338742961963</v>
      </c>
      <c r="P53" s="36">
        <f t="shared" si="31"/>
        <v>2.6147034721072835</v>
      </c>
      <c r="Q53" s="36">
        <f t="shared" si="31"/>
        <v>4.8073060410916897</v>
      </c>
      <c r="R53" s="36">
        <f t="shared" si="31"/>
        <v>4.9903123081645182</v>
      </c>
      <c r="S53" s="36">
        <f t="shared" si="31"/>
        <v>5.0140535402805488</v>
      </c>
      <c r="T53" s="36">
        <f t="shared" si="31"/>
        <v>5.2678617310233449</v>
      </c>
      <c r="U53" s="36">
        <f t="shared" si="31"/>
        <v>5.6058857786064138</v>
      </c>
      <c r="V53" s="36">
        <f t="shared" si="31"/>
        <v>5.6058857786064138</v>
      </c>
      <c r="W53" s="36">
        <f t="shared" si="31"/>
        <v>5.6058857786064138</v>
      </c>
      <c r="X53" s="36">
        <f t="shared" si="31"/>
        <v>5.6058857786064138</v>
      </c>
      <c r="Y53" s="36">
        <f t="shared" si="31"/>
        <v>5.6058857786064138</v>
      </c>
      <c r="Z53" s="36"/>
      <c r="AA53" s="36"/>
      <c r="AB53" s="31"/>
      <c r="AC53" s="31"/>
      <c r="AE53" s="30"/>
      <c r="AF53" s="30"/>
      <c r="AJ53" s="31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36"/>
    </row>
    <row r="54" spans="3:52">
      <c r="C54" s="38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1"/>
      <c r="AC54" s="31"/>
      <c r="AE54" s="30"/>
      <c r="AF54" s="30"/>
      <c r="AJ54" s="31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36"/>
    </row>
    <row r="55" spans="3:52">
      <c r="C55" s="38" t="s">
        <v>1545</v>
      </c>
      <c r="D55" s="25" t="str">
        <f t="shared" ref="D55:Y55" ca="1" si="32">IFERROR(-(D56*D145-C56*C145),"...")</f>
        <v>...</v>
      </c>
      <c r="E55" s="25" t="str">
        <f t="shared" ca="1" si="32"/>
        <v>...</v>
      </c>
      <c r="F55" s="25" t="str">
        <f t="shared" ca="1" si="32"/>
        <v>...</v>
      </c>
      <c r="G55" s="25" t="str">
        <f t="shared" ca="1" si="32"/>
        <v>...</v>
      </c>
      <c r="H55" s="25" t="str">
        <f t="shared" ca="1" si="32"/>
        <v>...</v>
      </c>
      <c r="I55" s="25" t="str">
        <f t="shared" ca="1" si="32"/>
        <v>...</v>
      </c>
      <c r="J55" s="25" t="str">
        <f t="shared" ca="1" si="32"/>
        <v>...</v>
      </c>
      <c r="K55" s="25" t="str">
        <f t="shared" ca="1" si="32"/>
        <v>...</v>
      </c>
      <c r="L55" s="25" t="str">
        <f t="shared" ca="1" si="32"/>
        <v>...</v>
      </c>
      <c r="M55" s="25" t="str">
        <f t="shared" ca="1" si="32"/>
        <v>...</v>
      </c>
      <c r="N55" s="25">
        <f t="shared" si="32"/>
        <v>-450.32700000000045</v>
      </c>
      <c r="O55" s="25">
        <f t="shared" si="32"/>
        <v>860.05400000000031</v>
      </c>
      <c r="P55" s="25">
        <f t="shared" si="32"/>
        <v>367.45900000000029</v>
      </c>
      <c r="Q55" s="25">
        <f t="shared" si="32"/>
        <v>-61.714000000000397</v>
      </c>
      <c r="R55" s="25">
        <f t="shared" si="32"/>
        <v>-215.67199999999991</v>
      </c>
      <c r="S55" s="25">
        <f t="shared" si="32"/>
        <v>1.1150000000000091</v>
      </c>
      <c r="T55" s="25">
        <f t="shared" si="32"/>
        <v>28.184000000000196</v>
      </c>
      <c r="U55" s="25">
        <f t="shared" si="32"/>
        <v>-90.676000000000272</v>
      </c>
      <c r="V55" s="25">
        <f t="shared" ca="1" si="32"/>
        <v>-239.48191540318135</v>
      </c>
      <c r="W55" s="25">
        <f t="shared" ca="1" si="32"/>
        <v>-245.74256831750154</v>
      </c>
      <c r="X55" s="25">
        <f t="shared" ca="1" si="32"/>
        <v>-224.29083014843536</v>
      </c>
      <c r="Y55" s="25">
        <f t="shared" ca="1" si="32"/>
        <v>-249.38943177962642</v>
      </c>
      <c r="Z55" s="25"/>
      <c r="AA55" s="25"/>
      <c r="AB55" s="31"/>
      <c r="AC55" s="31"/>
      <c r="AE55" s="30"/>
      <c r="AF55" s="30"/>
      <c r="AJ55" s="31"/>
      <c r="AY55" s="25"/>
      <c r="AZ55" s="27"/>
    </row>
    <row r="56" spans="3:52">
      <c r="C56" s="38" t="s">
        <v>362</v>
      </c>
      <c r="D56" s="31" t="str">
        <f t="shared" ref="D56:T56" ca="1" si="33">IFERROR((D242-D229)/D145,"…")</f>
        <v>…</v>
      </c>
      <c r="E56" s="31" t="str">
        <f t="shared" ca="1" si="33"/>
        <v>…</v>
      </c>
      <c r="F56" s="31" t="str">
        <f t="shared" ca="1" si="33"/>
        <v>…</v>
      </c>
      <c r="G56" s="31" t="str">
        <f t="shared" ca="1" si="33"/>
        <v>…</v>
      </c>
      <c r="H56" s="31" t="str">
        <f t="shared" ca="1" si="33"/>
        <v>…</v>
      </c>
      <c r="I56" s="31" t="str">
        <f t="shared" ca="1" si="33"/>
        <v>…</v>
      </c>
      <c r="J56" s="31" t="str">
        <f t="shared" ca="1" si="33"/>
        <v>…</v>
      </c>
      <c r="K56" s="31" t="str">
        <f t="shared" ca="1" si="33"/>
        <v>…</v>
      </c>
      <c r="L56" s="31" t="str">
        <f t="shared" ca="1" si="33"/>
        <v>…</v>
      </c>
      <c r="M56" s="31">
        <f t="shared" si="33"/>
        <v>0.64692048456923612</v>
      </c>
      <c r="N56" s="31">
        <f t="shared" si="33"/>
        <v>0.70992231280499296</v>
      </c>
      <c r="O56" s="31">
        <f t="shared" si="33"/>
        <v>0.38577680448493346</v>
      </c>
      <c r="P56" s="31">
        <f t="shared" si="33"/>
        <v>0.236247342995169</v>
      </c>
      <c r="Q56" s="31">
        <f t="shared" si="33"/>
        <v>0.2327369037167106</v>
      </c>
      <c r="R56" s="31">
        <f t="shared" si="33"/>
        <v>0.2955947368421053</v>
      </c>
      <c r="S56" s="31">
        <f t="shared" si="33"/>
        <v>0.26814099840679767</v>
      </c>
      <c r="T56" s="31">
        <f t="shared" si="33"/>
        <v>0.28370953757225431</v>
      </c>
      <c r="U56" s="31">
        <f>IFERROR((U242-U229)/U145,"…")</f>
        <v>0.25106789978927657</v>
      </c>
      <c r="V56" s="31">
        <f ca="1">IFERROR((V242-V229)/V145,"…")</f>
        <v>0.26849597139312903</v>
      </c>
      <c r="W56" s="31">
        <f ca="1">IFERROR((W242-W229)/W145,"…")</f>
        <v>0.28592404299698165</v>
      </c>
      <c r="X56" s="31">
        <f ca="1">IFERROR((X242-X229)/X145,"…")</f>
        <v>0.30335211460083406</v>
      </c>
      <c r="Y56" s="31">
        <f ca="1">IFERROR((Y242-Y229)/Y145,"…")</f>
        <v>0.32078018620468668</v>
      </c>
      <c r="Z56" s="31"/>
      <c r="AA56" s="31"/>
      <c r="AB56" s="97" t="s">
        <v>1741</v>
      </c>
      <c r="AC56" s="97" t="s">
        <v>1741</v>
      </c>
      <c r="AE56" s="30"/>
      <c r="AF56" s="30"/>
      <c r="AJ56" s="31"/>
      <c r="AY56" s="31"/>
      <c r="AZ56" s="27"/>
    </row>
    <row r="57" spans="3:52">
      <c r="D57" s="5"/>
      <c r="E57" s="5"/>
      <c r="F57" s="5"/>
      <c r="G57" s="5"/>
      <c r="H57" s="5"/>
      <c r="I57" s="5"/>
      <c r="J57" s="23"/>
      <c r="N57" s="23"/>
      <c r="O57" s="5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5"/>
      <c r="AC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23"/>
      <c r="AZ57" s="5"/>
    </row>
    <row r="58" spans="3:52">
      <c r="D58" s="5"/>
      <c r="E58" s="5"/>
      <c r="F58" s="5"/>
      <c r="G58" s="5"/>
      <c r="H58" s="5"/>
      <c r="I58" s="5"/>
      <c r="J58" s="23"/>
      <c r="N58" s="23"/>
      <c r="O58" s="5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5"/>
      <c r="AC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23"/>
      <c r="AZ58" s="5"/>
    </row>
    <row r="59" spans="3:52">
      <c r="D59" s="5"/>
      <c r="E59" s="5"/>
      <c r="F59" s="5"/>
      <c r="G59" s="5"/>
      <c r="H59" s="5"/>
      <c r="I59" s="5"/>
      <c r="J59" s="23"/>
      <c r="N59" s="23"/>
      <c r="O59" s="5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5"/>
      <c r="AC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23"/>
      <c r="AZ59" s="5"/>
    </row>
    <row r="60" spans="3:52">
      <c r="P60" s="92"/>
      <c r="Q60" s="92"/>
      <c r="R60" s="95"/>
      <c r="S60" s="95"/>
      <c r="T60" s="95"/>
      <c r="U60" s="95">
        <f>IF(U71="…","…",-U71/U162)</f>
        <v>1.5311629443234809</v>
      </c>
      <c r="V60" s="95">
        <f ca="1">IF(V71="…","…",-V71/V162)</f>
        <v>1.5049303554587847</v>
      </c>
      <c r="W60" s="95">
        <f ca="1">IF(W71="…","…",-W71/W162)</f>
        <v>1.4786977665940886</v>
      </c>
      <c r="X60" s="95">
        <f ca="1">IF(X71="…","…",-X71/X162)</f>
        <v>1.4524651777293924</v>
      </c>
      <c r="Y60" s="95">
        <f ca="1">IF(Y71="…","…",-Y71/Y162)</f>
        <v>1.4262325888646963</v>
      </c>
      <c r="Z60" s="95"/>
      <c r="AA60" s="95"/>
      <c r="AB60" s="5"/>
      <c r="AC60" s="5"/>
      <c r="AG60" s="27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95"/>
    </row>
    <row r="61" spans="3:52">
      <c r="C61" s="52"/>
      <c r="D61" s="5"/>
      <c r="E61" s="5"/>
      <c r="F61" s="5"/>
      <c r="G61" s="5"/>
      <c r="H61" s="5"/>
      <c r="I61" s="5"/>
      <c r="J61" s="23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"/>
      <c r="AC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4"/>
      <c r="AZ61" s="5"/>
    </row>
    <row r="62" spans="3:52" ht="13.15">
      <c r="C62" s="89" t="s">
        <v>2188</v>
      </c>
      <c r="D62" s="90" t="str">
        <f t="shared" ref="D62:Y62" ca="1" si="34">IF(D$8="A",SUM(D71,D88),IF(D$8="E",IF(D61=0,D63,D73+D95),"?"))</f>
        <v>?</v>
      </c>
      <c r="E62" s="90" t="str">
        <f t="shared" ca="1" si="34"/>
        <v>?</v>
      </c>
      <c r="F62" s="90" t="str">
        <f t="shared" ca="1" si="34"/>
        <v>?</v>
      </c>
      <c r="G62" s="90" t="str">
        <f t="shared" ca="1" si="34"/>
        <v>?</v>
      </c>
      <c r="H62" s="90" t="str">
        <f t="shared" ca="1" si="34"/>
        <v>?</v>
      </c>
      <c r="I62" s="90" t="str">
        <f t="shared" ca="1" si="34"/>
        <v>?</v>
      </c>
      <c r="J62" s="90" t="str">
        <f t="shared" ca="1" si="34"/>
        <v>?</v>
      </c>
      <c r="K62" s="90" t="str">
        <f t="shared" ca="1" si="34"/>
        <v>?</v>
      </c>
      <c r="L62" s="90" t="str">
        <f t="shared" ca="1" si="34"/>
        <v>?</v>
      </c>
      <c r="M62" s="90">
        <f t="shared" si="34"/>
        <v>-270.90300000000002</v>
      </c>
      <c r="N62" s="90">
        <f t="shared" si="34"/>
        <v>-329.99799999999999</v>
      </c>
      <c r="O62" s="90">
        <f t="shared" si="34"/>
        <v>-355.94299999999998</v>
      </c>
      <c r="P62" s="90">
        <f t="shared" si="34"/>
        <v>-341.98699999999997</v>
      </c>
      <c r="Q62" s="90">
        <f t="shared" si="34"/>
        <v>-391.40999999999997</v>
      </c>
      <c r="R62" s="90">
        <f t="shared" si="34"/>
        <v>-638.33600000000001</v>
      </c>
      <c r="S62" s="90">
        <f t="shared" si="34"/>
        <v>-705.61200000000008</v>
      </c>
      <c r="T62" s="90">
        <f t="shared" si="34"/>
        <v>-708.99599999999998</v>
      </c>
      <c r="U62" s="90">
        <f t="shared" si="34"/>
        <v>-737.14300000000003</v>
      </c>
      <c r="V62" s="90">
        <f t="shared" si="34"/>
        <v>0</v>
      </c>
      <c r="W62" s="90">
        <f t="shared" si="34"/>
        <v>0</v>
      </c>
      <c r="X62" s="90">
        <f t="shared" si="34"/>
        <v>0</v>
      </c>
      <c r="Y62" s="90">
        <f t="shared" si="34"/>
        <v>0</v>
      </c>
      <c r="Z62" s="90"/>
      <c r="AA62" s="90"/>
      <c r="AB62" s="5"/>
      <c r="AC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90"/>
      <c r="AZ62" s="5"/>
    </row>
    <row r="63" spans="3:52">
      <c r="C63" s="74" t="s">
        <v>2220</v>
      </c>
      <c r="D63" s="54">
        <f t="shared" ref="D63:Y63" si="35">SUM(D72,D92)</f>
        <v>0</v>
      </c>
      <c r="E63" s="54">
        <f t="shared" si="35"/>
        <v>0</v>
      </c>
      <c r="F63" s="54">
        <f t="shared" si="35"/>
        <v>0</v>
      </c>
      <c r="G63" s="54">
        <f t="shared" si="35"/>
        <v>0</v>
      </c>
      <c r="H63" s="54">
        <f t="shared" si="35"/>
        <v>0</v>
      </c>
      <c r="I63" s="54">
        <f t="shared" si="35"/>
        <v>0</v>
      </c>
      <c r="J63" s="54">
        <f t="shared" si="35"/>
        <v>0</v>
      </c>
      <c r="K63" s="54">
        <f t="shared" si="35"/>
        <v>0</v>
      </c>
      <c r="L63" s="54">
        <f t="shared" si="35"/>
        <v>-258.35199999999998</v>
      </c>
      <c r="M63" s="54">
        <f t="shared" si="35"/>
        <v>-270.90300000000002</v>
      </c>
      <c r="N63" s="54">
        <f t="shared" si="35"/>
        <v>-329.99799999999999</v>
      </c>
      <c r="O63" s="54">
        <f t="shared" si="35"/>
        <v>-355.94299999999998</v>
      </c>
      <c r="P63" s="54">
        <f t="shared" si="35"/>
        <v>-341.98699999999997</v>
      </c>
      <c r="Q63" s="54">
        <f t="shared" si="35"/>
        <v>-391.40999999999997</v>
      </c>
      <c r="R63" s="54">
        <f t="shared" si="35"/>
        <v>-638.33600000000001</v>
      </c>
      <c r="S63" s="54">
        <f t="shared" si="35"/>
        <v>-705.61200000000008</v>
      </c>
      <c r="T63" s="54">
        <f t="shared" si="35"/>
        <v>-708.99599999999998</v>
      </c>
      <c r="U63" s="54">
        <f t="shared" si="35"/>
        <v>-737.14300000000003</v>
      </c>
      <c r="V63" s="54">
        <f t="shared" si="35"/>
        <v>0</v>
      </c>
      <c r="W63" s="54">
        <f t="shared" si="35"/>
        <v>0</v>
      </c>
      <c r="X63" s="54">
        <f t="shared" si="35"/>
        <v>0</v>
      </c>
      <c r="Y63" s="54">
        <f t="shared" si="35"/>
        <v>0</v>
      </c>
      <c r="Z63" s="54"/>
      <c r="AA63" s="54"/>
      <c r="AB63" s="5"/>
      <c r="AC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4"/>
      <c r="AZ63" s="5"/>
    </row>
    <row r="64" spans="3:52" hidden="1" outlineLevel="1">
      <c r="C64" s="74" t="s">
        <v>3626</v>
      </c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 t="str">
        <f t="shared" ref="O64:Y64" si="36">IFERROR(1/(1/AM25),"…")</f>
        <v>…</v>
      </c>
      <c r="P64" s="94" t="str">
        <f t="shared" si="36"/>
        <v>…</v>
      </c>
      <c r="Q64" s="94" t="str">
        <f t="shared" si="36"/>
        <v>…</v>
      </c>
      <c r="R64" s="94" t="str">
        <f t="shared" si="36"/>
        <v>…</v>
      </c>
      <c r="S64" s="94">
        <f t="shared" si="36"/>
        <v>-721.57100000000003</v>
      </c>
      <c r="T64" s="94">
        <f t="shared" si="36"/>
        <v>-746.55600000000004</v>
      </c>
      <c r="U64" s="94">
        <f t="shared" si="36"/>
        <v>-703.4</v>
      </c>
      <c r="V64" s="94">
        <f t="shared" si="36"/>
        <v>-683.94100000000003</v>
      </c>
      <c r="W64" s="94">
        <f t="shared" si="36"/>
        <v>-735.41200000000003</v>
      </c>
      <c r="X64" s="94">
        <f t="shared" si="36"/>
        <v>-765.56200000000001</v>
      </c>
      <c r="Y64" s="94">
        <f t="shared" si="36"/>
        <v>-709.75</v>
      </c>
      <c r="Z64" s="94"/>
      <c r="AA64" s="94"/>
      <c r="AB64" s="23"/>
      <c r="AC64" s="58">
        <f ca="1">SUMIFS(D63:AA63,D8:AA8,"A",D64:AA64,"&lt;0")/SUMIFS(D64:AA64,D8:AA8,"A")</f>
        <v>0.99089304438765913</v>
      </c>
      <c r="AD64" s="27">
        <f>-2151.751/-2171.527</f>
        <v>0.99089304438765913</v>
      </c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94"/>
      <c r="AZ64" s="5"/>
    </row>
    <row r="65" spans="3:52" collapsed="1">
      <c r="C65" s="52"/>
      <c r="D65" s="5"/>
      <c r="E65" s="5"/>
      <c r="F65" s="5"/>
      <c r="G65" s="5"/>
      <c r="H65" s="5"/>
      <c r="I65" s="5"/>
      <c r="J65" s="23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"/>
      <c r="AC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4"/>
      <c r="AZ65" s="5"/>
    </row>
    <row r="66" spans="3:52">
      <c r="C66" s="38" t="s">
        <v>2222</v>
      </c>
      <c r="D66" s="110" t="e">
        <f t="shared" ref="D66:N66" si="37">D72/(SUM(D72,D93))</f>
        <v>#VALUE!</v>
      </c>
      <c r="E66" s="110" t="e">
        <f t="shared" si="37"/>
        <v>#VALUE!</v>
      </c>
      <c r="F66" s="110" t="e">
        <f t="shared" si="37"/>
        <v>#VALUE!</v>
      </c>
      <c r="G66" s="110" t="e">
        <f t="shared" si="37"/>
        <v>#VALUE!</v>
      </c>
      <c r="H66" s="110" t="e">
        <f t="shared" si="37"/>
        <v>#VALUE!</v>
      </c>
      <c r="I66" s="110" t="e">
        <f t="shared" si="37"/>
        <v>#VALUE!</v>
      </c>
      <c r="J66" s="110" t="e">
        <f t="shared" si="37"/>
        <v>#VALUE!</v>
      </c>
      <c r="K66" s="110" t="e">
        <f t="shared" si="37"/>
        <v>#VALUE!</v>
      </c>
      <c r="L66" s="110">
        <f t="shared" si="37"/>
        <v>0.62465163807518431</v>
      </c>
      <c r="M66" s="110">
        <f t="shared" si="37"/>
        <v>0.59671912086614021</v>
      </c>
      <c r="N66" s="110">
        <f t="shared" si="37"/>
        <v>0.51322432257165196</v>
      </c>
      <c r="O66" s="110">
        <f>IF(O8="A",O72/(SUM(O72,O93)),"?")</f>
        <v>0.51949328965592811</v>
      </c>
      <c r="P66" s="110">
        <f t="shared" ref="P66:Y66" si="38">IF(P8="A",P72/(SUM(P72,P93)),P73/(SUM(P73,P95)))</f>
        <v>0.51360724238055833</v>
      </c>
      <c r="Q66" s="110">
        <f t="shared" si="38"/>
        <v>0.48262435808998239</v>
      </c>
      <c r="R66" s="110">
        <f t="shared" si="38"/>
        <v>0.47121578604371361</v>
      </c>
      <c r="S66" s="110">
        <f t="shared" si="38"/>
        <v>0.49907597943345627</v>
      </c>
      <c r="T66" s="110">
        <f t="shared" si="38"/>
        <v>0.50355432188616012</v>
      </c>
      <c r="U66" s="110">
        <f t="shared" si="38"/>
        <v>0.47794796938992834</v>
      </c>
      <c r="V66" s="110">
        <f t="shared" ca="1" si="38"/>
        <v>0.67147702534302589</v>
      </c>
      <c r="W66" s="110">
        <f t="shared" ca="1" si="38"/>
        <v>0.67817843263669209</v>
      </c>
      <c r="X66" s="110">
        <f t="shared" ca="1" si="38"/>
        <v>0.69970482986059457</v>
      </c>
      <c r="Y66" s="110">
        <f t="shared" ca="1" si="38"/>
        <v>0.79081659921378855</v>
      </c>
      <c r="Z66" s="110"/>
      <c r="AA66" s="110"/>
      <c r="AB66" s="5"/>
      <c r="AC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4"/>
      <c r="AZ66" s="5"/>
    </row>
    <row r="67" spans="3:52">
      <c r="C67" s="74" t="s">
        <v>2144</v>
      </c>
      <c r="D67" s="5"/>
      <c r="E67" s="5"/>
      <c r="F67" s="5"/>
      <c r="G67" s="5"/>
      <c r="H67" s="5"/>
      <c r="I67" s="5"/>
      <c r="J67" s="23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"/>
      <c r="AC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4"/>
      <c r="AZ67" s="5"/>
    </row>
    <row r="68" spans="3:52">
      <c r="C68" s="52"/>
      <c r="D68" s="5"/>
      <c r="E68" s="5"/>
      <c r="F68" s="5"/>
      <c r="G68" s="5"/>
      <c r="H68" s="5"/>
      <c r="I68" s="5"/>
      <c r="J68" s="23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"/>
      <c r="AC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4"/>
      <c r="AZ68" s="5"/>
    </row>
    <row r="69" spans="3:52">
      <c r="C69" s="53" t="s">
        <v>2003</v>
      </c>
      <c r="D69" s="6" t="str">
        <f t="shared" ref="D69:J69" si="39">IF(D71="…","…",IFERROR(-D71/C147,"…"))</f>
        <v>…</v>
      </c>
      <c r="E69" s="6" t="str">
        <f t="shared" ca="1" si="39"/>
        <v>…</v>
      </c>
      <c r="F69" s="6" t="str">
        <f t="shared" ca="1" si="39"/>
        <v>…</v>
      </c>
      <c r="G69" s="6" t="str">
        <f t="shared" ca="1" si="39"/>
        <v>…</v>
      </c>
      <c r="H69" s="6" t="str">
        <f t="shared" ca="1" si="39"/>
        <v>…</v>
      </c>
      <c r="I69" s="6" t="str">
        <f t="shared" ca="1" si="39"/>
        <v>…</v>
      </c>
      <c r="J69" s="6" t="str">
        <f t="shared" ca="1" si="39"/>
        <v>…</v>
      </c>
      <c r="K69" s="6" t="str">
        <f t="shared" ref="K69:Y69" ca="1" si="40">IF(K71="…","…",IFERROR(-K71/K147,"…"))</f>
        <v>…</v>
      </c>
      <c r="L69" s="6" t="str">
        <f t="shared" ca="1" si="40"/>
        <v>…</v>
      </c>
      <c r="M69" s="6">
        <f t="shared" si="40"/>
        <v>6.9222402548741679E-2</v>
      </c>
      <c r="N69" s="6">
        <f t="shared" si="40"/>
        <v>6.1310980465978361E-2</v>
      </c>
      <c r="O69" s="6">
        <f t="shared" si="40"/>
        <v>6.4789768745620174E-2</v>
      </c>
      <c r="P69" s="6">
        <f t="shared" si="40"/>
        <v>5.656908212560386E-2</v>
      </c>
      <c r="Q69" s="6">
        <f t="shared" si="40"/>
        <v>5.5283582089552238E-2</v>
      </c>
      <c r="R69" s="6">
        <f t="shared" si="40"/>
        <v>8.7951461988304086E-2</v>
      </c>
      <c r="S69" s="6">
        <f t="shared" si="40"/>
        <v>9.3508762612851834E-2</v>
      </c>
      <c r="T69" s="6">
        <f t="shared" si="40"/>
        <v>0.1031843930635838</v>
      </c>
      <c r="U69" s="6">
        <f t="shared" si="40"/>
        <v>8.249028330601732E-2</v>
      </c>
      <c r="V69" s="6">
        <f t="shared" ca="1" si="40"/>
        <v>9.3142752849738275E-2</v>
      </c>
      <c r="W69" s="6">
        <f t="shared" ca="1" si="40"/>
        <v>9.0722329449132513E-2</v>
      </c>
      <c r="X69" s="6">
        <f t="shared" ca="1" si="40"/>
        <v>9.0365712738275358E-2</v>
      </c>
      <c r="Y69" s="6">
        <f t="shared" ca="1" si="40"/>
        <v>8.7833348198042949E-2</v>
      </c>
      <c r="Z69" s="6"/>
      <c r="AA69" s="6"/>
      <c r="AB69" s="5"/>
      <c r="AC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6"/>
      <c r="AZ69" s="5"/>
    </row>
    <row r="70" spans="3:52">
      <c r="C70" s="52"/>
      <c r="D70" s="5"/>
      <c r="E70" s="5"/>
      <c r="F70" s="5"/>
      <c r="G70" s="5"/>
      <c r="H70" s="5"/>
      <c r="I70" s="5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5"/>
      <c r="AC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23"/>
      <c r="AZ70" s="5"/>
    </row>
    <row r="71" spans="3:52" ht="13.15">
      <c r="C71" s="89" t="s">
        <v>2221</v>
      </c>
      <c r="D71" s="90" t="str">
        <f t="shared" ref="D71:V71" si="41">IF(ISNUMBER(D72),D72,IF(ISNUMBER(D73),D73,"…"))</f>
        <v>…</v>
      </c>
      <c r="E71" s="90" t="str">
        <f t="shared" ca="1" si="41"/>
        <v>…</v>
      </c>
      <c r="F71" s="90" t="str">
        <f t="shared" ca="1" si="41"/>
        <v>…</v>
      </c>
      <c r="G71" s="90" t="str">
        <f t="shared" ca="1" si="41"/>
        <v>…</v>
      </c>
      <c r="H71" s="90" t="str">
        <f t="shared" ca="1" si="41"/>
        <v>…</v>
      </c>
      <c r="I71" s="90" t="str">
        <f t="shared" ca="1" si="41"/>
        <v>…</v>
      </c>
      <c r="J71" s="90" t="str">
        <f t="shared" ca="1" si="41"/>
        <v>…</v>
      </c>
      <c r="K71" s="90" t="str">
        <f t="shared" ca="1" si="41"/>
        <v>…</v>
      </c>
      <c r="L71" s="90">
        <f t="shared" si="41"/>
        <v>-161.38</v>
      </c>
      <c r="M71" s="90">
        <f t="shared" si="41"/>
        <v>-161.65299999999999</v>
      </c>
      <c r="N71" s="90">
        <f t="shared" si="41"/>
        <v>-169.363</v>
      </c>
      <c r="O71" s="90">
        <f t="shared" si="41"/>
        <v>-184.91</v>
      </c>
      <c r="P71" s="90">
        <f t="shared" si="41"/>
        <v>-175.64699999999999</v>
      </c>
      <c r="Q71" s="90">
        <f t="shared" si="41"/>
        <v>-188.904</v>
      </c>
      <c r="R71" s="90">
        <f t="shared" si="41"/>
        <v>-300.79399999999998</v>
      </c>
      <c r="S71" s="90">
        <f t="shared" si="41"/>
        <v>-352.154</v>
      </c>
      <c r="T71" s="90">
        <f t="shared" si="41"/>
        <v>-357.01799999999997</v>
      </c>
      <c r="U71" s="90">
        <f t="shared" si="41"/>
        <v>-352.31599999999997</v>
      </c>
      <c r="V71" s="90">
        <f t="shared" ca="1" si="41"/>
        <v>-455.06829273998903</v>
      </c>
      <c r="W71" s="90">
        <f ca="1">IF(ISNUMBER(W72),W72,IF(ISNUMBER(W73),W73,"…"))</f>
        <v>-494.19854938296822</v>
      </c>
      <c r="X71" s="90">
        <f ca="1">IF(ISNUMBER(X72),X72,IF(ISNUMBER(X73),X73,"…"))</f>
        <v>-530.78912945924162</v>
      </c>
      <c r="Y71" s="90">
        <f ca="1">IF(ISNUMBER(Y72),Y72,IF(ISNUMBER(Y73),Y73,"…"))</f>
        <v>-556.17051029165793</v>
      </c>
      <c r="Z71" s="90"/>
      <c r="AA71" s="90"/>
      <c r="AB71" s="27"/>
      <c r="AC71" s="27"/>
      <c r="AD71" s="27"/>
      <c r="AE71" s="27"/>
      <c r="AF71" s="27"/>
      <c r="AG71" s="27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90"/>
    </row>
    <row r="72" spans="3:52">
      <c r="C72" s="67" t="s">
        <v>1549</v>
      </c>
      <c r="D72" s="68" t="str">
        <f t="shared" ref="D72:Y72" si="42">IFERROR(D478/1,"…")</f>
        <v>…</v>
      </c>
      <c r="E72" s="68" t="str">
        <f t="shared" si="42"/>
        <v>…</v>
      </c>
      <c r="F72" s="68" t="str">
        <f t="shared" si="42"/>
        <v>…</v>
      </c>
      <c r="G72" s="68" t="str">
        <f t="shared" si="42"/>
        <v>…</v>
      </c>
      <c r="H72" s="68" t="str">
        <f t="shared" si="42"/>
        <v>…</v>
      </c>
      <c r="I72" s="68" t="str">
        <f t="shared" si="42"/>
        <v>…</v>
      </c>
      <c r="J72" s="68" t="str">
        <f t="shared" si="42"/>
        <v>…</v>
      </c>
      <c r="K72" s="68" t="str">
        <f t="shared" si="42"/>
        <v>…</v>
      </c>
      <c r="L72" s="68">
        <f t="shared" si="42"/>
        <v>-161.38</v>
      </c>
      <c r="M72" s="68">
        <f t="shared" si="42"/>
        <v>-161.65299999999999</v>
      </c>
      <c r="N72" s="68">
        <f t="shared" si="42"/>
        <v>-169.363</v>
      </c>
      <c r="O72" s="68">
        <f t="shared" si="42"/>
        <v>-184.91</v>
      </c>
      <c r="P72" s="68">
        <f t="shared" si="42"/>
        <v>-175.64699999999999</v>
      </c>
      <c r="Q72" s="68">
        <f t="shared" si="42"/>
        <v>-188.904</v>
      </c>
      <c r="R72" s="68">
        <f t="shared" si="42"/>
        <v>-300.79399999999998</v>
      </c>
      <c r="S72" s="68">
        <f t="shared" si="42"/>
        <v>-352.154</v>
      </c>
      <c r="T72" s="68">
        <f t="shared" si="42"/>
        <v>-357.01799999999997</v>
      </c>
      <c r="U72" s="68">
        <f t="shared" si="42"/>
        <v>-352.31599999999997</v>
      </c>
      <c r="V72" s="68" t="str">
        <f t="shared" si="42"/>
        <v>…</v>
      </c>
      <c r="W72" s="68" t="str">
        <f t="shared" si="42"/>
        <v>…</v>
      </c>
      <c r="X72" s="68" t="str">
        <f t="shared" si="42"/>
        <v>…</v>
      </c>
      <c r="Y72" s="68" t="str">
        <f t="shared" si="42"/>
        <v>…</v>
      </c>
      <c r="Z72" s="68"/>
      <c r="AA72" s="68"/>
      <c r="AB72" s="23"/>
      <c r="AC72" s="23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68"/>
      <c r="AZ72" s="5"/>
    </row>
    <row r="73" spans="3:52" ht="13.15">
      <c r="C73" s="67" t="s">
        <v>353</v>
      </c>
      <c r="D73" s="7"/>
      <c r="E73" s="55" t="str">
        <f t="shared" ref="E73:V73" ca="1" si="43">IFERROR(-E79*E162,"…")</f>
        <v>…</v>
      </c>
      <c r="F73" s="55" t="str">
        <f t="shared" ca="1" si="43"/>
        <v>…</v>
      </c>
      <c r="G73" s="55" t="str">
        <f t="shared" ca="1" si="43"/>
        <v>…</v>
      </c>
      <c r="H73" s="55" t="str">
        <f t="shared" ca="1" si="43"/>
        <v>…</v>
      </c>
      <c r="I73" s="55" t="str">
        <f t="shared" ca="1" si="43"/>
        <v>…</v>
      </c>
      <c r="J73" s="55" t="str">
        <f t="shared" ca="1" si="43"/>
        <v>…</v>
      </c>
      <c r="K73" s="55" t="str">
        <f t="shared" ca="1" si="43"/>
        <v>…</v>
      </c>
      <c r="L73" s="55" t="str">
        <f t="shared" ca="1" si="43"/>
        <v>…</v>
      </c>
      <c r="M73" s="55" t="str">
        <f t="shared" si="43"/>
        <v>…</v>
      </c>
      <c r="N73" s="55" t="str">
        <f t="shared" si="43"/>
        <v>…</v>
      </c>
      <c r="O73" s="55" t="str">
        <f t="shared" si="43"/>
        <v>…</v>
      </c>
      <c r="P73" s="55" t="str">
        <f t="shared" si="43"/>
        <v>…</v>
      </c>
      <c r="Q73" s="55" t="str">
        <f t="shared" si="43"/>
        <v>…</v>
      </c>
      <c r="R73" s="55" t="str">
        <f t="shared" si="43"/>
        <v>…</v>
      </c>
      <c r="S73" s="55" t="str">
        <f t="shared" si="43"/>
        <v>…</v>
      </c>
      <c r="T73" s="55" t="str">
        <f t="shared" si="43"/>
        <v>…</v>
      </c>
      <c r="U73" s="55" t="str">
        <f t="shared" si="43"/>
        <v>…</v>
      </c>
      <c r="V73" s="55">
        <f t="shared" ca="1" si="43"/>
        <v>-455.06829273998903</v>
      </c>
      <c r="W73" s="55">
        <f ca="1">IFERROR(-W79*W162,"…")</f>
        <v>-494.19854938296822</v>
      </c>
      <c r="X73" s="55">
        <f ca="1">IFERROR(-X79*X162,"…")</f>
        <v>-530.78912945924162</v>
      </c>
      <c r="Y73" s="55">
        <f ca="1">IFERROR(-Y79*Y162,"…")</f>
        <v>-556.17051029165793</v>
      </c>
      <c r="Z73" s="55"/>
      <c r="AA73" s="55"/>
      <c r="AG73" s="9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5"/>
      <c r="AZ73" s="5"/>
    </row>
    <row r="74" spans="3:52" ht="13.15">
      <c r="C74" s="67" t="s">
        <v>2474</v>
      </c>
      <c r="D74" s="7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G74" s="9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5"/>
      <c r="AZ74" s="5"/>
    </row>
    <row r="75" spans="3:52">
      <c r="C75" s="52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55"/>
      <c r="AB75" s="23"/>
      <c r="AC75" s="23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68"/>
      <c r="AZ75" s="5"/>
    </row>
    <row r="76" spans="3:52">
      <c r="C76" s="53" t="s">
        <v>344</v>
      </c>
      <c r="D76" s="109"/>
      <c r="E76" s="109" t="str">
        <f t="shared" ref="E76:Y76" ca="1" si="44">IF(E8="A",IF(E72="…","…",-E72/E162),IF(E73="…","…",-E73/E$162))</f>
        <v>…</v>
      </c>
      <c r="F76" s="109" t="str">
        <f t="shared" ca="1" si="44"/>
        <v>…</v>
      </c>
      <c r="G76" s="109" t="str">
        <f t="shared" ca="1" si="44"/>
        <v>…</v>
      </c>
      <c r="H76" s="109" t="str">
        <f t="shared" ca="1" si="44"/>
        <v>…</v>
      </c>
      <c r="I76" s="109" t="str">
        <f t="shared" ca="1" si="44"/>
        <v>…</v>
      </c>
      <c r="J76" s="109" t="str">
        <f t="shared" ca="1" si="44"/>
        <v>…</v>
      </c>
      <c r="K76" s="109" t="str">
        <f t="shared" ca="1" si="44"/>
        <v>…</v>
      </c>
      <c r="L76" s="109" t="str">
        <f t="shared" ca="1" si="44"/>
        <v>…</v>
      </c>
      <c r="M76" s="109">
        <f t="shared" si="44"/>
        <v>1.1775508271476336</v>
      </c>
      <c r="N76" s="109">
        <f t="shared" si="44"/>
        <v>1.1294405580415197</v>
      </c>
      <c r="O76" s="109">
        <f t="shared" si="44"/>
        <v>0.67299468257405637</v>
      </c>
      <c r="P76" s="109">
        <f t="shared" si="44"/>
        <v>0.70906316482114662</v>
      </c>
      <c r="Q76" s="109">
        <f t="shared" si="44"/>
        <v>1.3165509743246633</v>
      </c>
      <c r="R76" s="109">
        <f t="shared" si="44"/>
        <v>1.9234320646613465</v>
      </c>
      <c r="S76" s="109">
        <f t="shared" si="44"/>
        <v>1.8390971475125599</v>
      </c>
      <c r="T76" s="109">
        <f t="shared" si="44"/>
        <v>1.6380579210101305</v>
      </c>
      <c r="U76" s="109">
        <f t="shared" si="44"/>
        <v>1.5311629443234809</v>
      </c>
      <c r="V76" s="109">
        <f t="shared" ca="1" si="44"/>
        <v>1.5049303554587847</v>
      </c>
      <c r="W76" s="109">
        <f t="shared" ca="1" si="44"/>
        <v>1.4786977665940886</v>
      </c>
      <c r="X76" s="109">
        <f t="shared" ca="1" si="44"/>
        <v>1.4524651777293924</v>
      </c>
      <c r="Y76" s="109">
        <f t="shared" ca="1" si="44"/>
        <v>1.4262325888646963</v>
      </c>
      <c r="Z76" s="109"/>
      <c r="AA76" s="55"/>
      <c r="AB76" s="5"/>
      <c r="AC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109"/>
      <c r="AZ76" s="5"/>
    </row>
    <row r="77" spans="3:52">
      <c r="C77" s="52" t="s">
        <v>1548</v>
      </c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09"/>
      <c r="AA77" s="55"/>
      <c r="AB77" s="5"/>
      <c r="AC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23"/>
      <c r="AZ77" s="5"/>
    </row>
    <row r="78" spans="3:52">
      <c r="C78" s="52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09"/>
      <c r="AA78" s="55"/>
      <c r="AB78" s="5"/>
      <c r="AC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23"/>
      <c r="AZ78" s="5"/>
    </row>
    <row r="79" spans="3:52" ht="13.15">
      <c r="C79" s="52" t="s">
        <v>1550</v>
      </c>
      <c r="D79" s="109" t="str">
        <f t="shared" ref="D79:Y79" ca="1" si="45">IF(D8="A","…",IFERROR(IF(D80&gt;0,D80,IFERROR(1/(1/(D82*D83)),IFERROR(1/(1/(D85*D86)),"no dep. ratio"))),"…"))</f>
        <v>no dep. ratio</v>
      </c>
      <c r="E79" s="109" t="str">
        <f t="shared" ca="1" si="45"/>
        <v>no dep. ratio</v>
      </c>
      <c r="F79" s="109" t="str">
        <f t="shared" ca="1" si="45"/>
        <v>no dep. ratio</v>
      </c>
      <c r="G79" s="109" t="str">
        <f t="shared" ca="1" si="45"/>
        <v>no dep. ratio</v>
      </c>
      <c r="H79" s="109" t="str">
        <f t="shared" ca="1" si="45"/>
        <v>no dep. ratio</v>
      </c>
      <c r="I79" s="109" t="str">
        <f t="shared" ca="1" si="45"/>
        <v>no dep. ratio</v>
      </c>
      <c r="J79" s="109" t="str">
        <f t="shared" ca="1" si="45"/>
        <v>no dep. ratio</v>
      </c>
      <c r="K79" s="109" t="str">
        <f t="shared" ca="1" si="45"/>
        <v>no dep. ratio</v>
      </c>
      <c r="L79" s="109" t="str">
        <f t="shared" ca="1" si="45"/>
        <v>no dep. ratio</v>
      </c>
      <c r="M79" s="109" t="str">
        <f t="shared" si="45"/>
        <v>…</v>
      </c>
      <c r="N79" s="109" t="str">
        <f t="shared" si="45"/>
        <v>…</v>
      </c>
      <c r="O79" s="109" t="str">
        <f t="shared" si="45"/>
        <v>…</v>
      </c>
      <c r="P79" s="109" t="str">
        <f t="shared" si="45"/>
        <v>…</v>
      </c>
      <c r="Q79" s="109" t="str">
        <f t="shared" si="45"/>
        <v>…</v>
      </c>
      <c r="R79" s="109" t="str">
        <f t="shared" si="45"/>
        <v>…</v>
      </c>
      <c r="S79" s="109" t="str">
        <f t="shared" si="45"/>
        <v>…</v>
      </c>
      <c r="T79" s="109" t="str">
        <f t="shared" si="45"/>
        <v>…</v>
      </c>
      <c r="U79" s="109" t="str">
        <f t="shared" si="45"/>
        <v>…</v>
      </c>
      <c r="V79" s="109">
        <f t="shared" ca="1" si="45"/>
        <v>1.5049303554587847</v>
      </c>
      <c r="W79" s="109">
        <f t="shared" ca="1" si="45"/>
        <v>1.4786977665940886</v>
      </c>
      <c r="X79" s="109">
        <f t="shared" ca="1" si="45"/>
        <v>1.4524651777293924</v>
      </c>
      <c r="Y79" s="109">
        <f t="shared" ca="1" si="45"/>
        <v>1.4262325888646963</v>
      </c>
      <c r="Z79" s="109"/>
      <c r="AA79" s="55"/>
      <c r="AG79" s="9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36"/>
      <c r="AZ79" s="5"/>
    </row>
    <row r="80" spans="3:52">
      <c r="C80" s="52" t="s">
        <v>1551</v>
      </c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113">
        <v>0</v>
      </c>
      <c r="S80" s="113">
        <v>0</v>
      </c>
      <c r="T80" s="113">
        <v>0</v>
      </c>
      <c r="U80" s="113">
        <v>0</v>
      </c>
      <c r="V80" s="113">
        <v>0</v>
      </c>
      <c r="W80" s="113">
        <v>0</v>
      </c>
      <c r="X80" s="113">
        <v>0</v>
      </c>
      <c r="Y80" s="113">
        <v>0</v>
      </c>
      <c r="Z80" s="109"/>
      <c r="AA80" s="5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75"/>
      <c r="AZ80" s="5"/>
    </row>
    <row r="81" spans="1:54">
      <c r="Z81" s="109"/>
      <c r="AA81" s="55"/>
    </row>
    <row r="82" spans="1:54" ht="13.15" thickBot="1">
      <c r="C82" s="74" t="s">
        <v>2144</v>
      </c>
      <c r="R82" s="75">
        <v>0</v>
      </c>
      <c r="S82" s="75">
        <v>1</v>
      </c>
      <c r="T82" s="75">
        <v>1</v>
      </c>
      <c r="U82" s="75">
        <v>1</v>
      </c>
      <c r="V82" s="75">
        <v>1</v>
      </c>
      <c r="W82" s="75">
        <v>1</v>
      </c>
      <c r="X82" s="75">
        <v>1</v>
      </c>
      <c r="Y82" s="75">
        <v>1</v>
      </c>
      <c r="Z82" s="109"/>
      <c r="AA82" s="55"/>
    </row>
    <row r="83" spans="1:54" ht="13.15" thickBot="1">
      <c r="D83" s="36" t="str">
        <f t="shared" ref="D83:P83" ca="1" si="46">IF("E"=D8,MAX($AF$86,C76-(($K$76-$AF$86)/$AF$83)),"…")</f>
        <v>…</v>
      </c>
      <c r="E83" s="36" t="str">
        <f t="shared" ca="1" si="46"/>
        <v>…</v>
      </c>
      <c r="F83" s="36" t="str">
        <f t="shared" ca="1" si="46"/>
        <v>…</v>
      </c>
      <c r="G83" s="36" t="str">
        <f t="shared" ca="1" si="46"/>
        <v>…</v>
      </c>
      <c r="H83" s="36" t="str">
        <f t="shared" ca="1" si="46"/>
        <v>…</v>
      </c>
      <c r="I83" s="36" t="str">
        <f t="shared" ca="1" si="46"/>
        <v>…</v>
      </c>
      <c r="J83" s="36" t="str">
        <f t="shared" ca="1" si="46"/>
        <v>…</v>
      </c>
      <c r="K83" s="36" t="str">
        <f t="shared" ca="1" si="46"/>
        <v>…</v>
      </c>
      <c r="L83" s="36" t="str">
        <f t="shared" ca="1" si="46"/>
        <v>…</v>
      </c>
      <c r="M83" s="36" t="str">
        <f t="shared" si="46"/>
        <v>…</v>
      </c>
      <c r="N83" s="36" t="str">
        <f t="shared" si="46"/>
        <v>…</v>
      </c>
      <c r="O83" s="36" t="str">
        <f t="shared" si="46"/>
        <v>…</v>
      </c>
      <c r="P83" s="36" t="str">
        <f t="shared" si="46"/>
        <v>…</v>
      </c>
      <c r="Q83" s="25" t="str">
        <f t="shared" ref="Q83:Y83" si="47">IF("E"=Q8,MAX($AF$86,P76-((P76-$AF$86)/($AF$83-COUNTIF(D8:Q8,"E")+1))),"…")</f>
        <v>…</v>
      </c>
      <c r="R83" s="25" t="str">
        <f t="shared" si="47"/>
        <v>…</v>
      </c>
      <c r="S83" s="25" t="str">
        <f t="shared" si="47"/>
        <v>…</v>
      </c>
      <c r="T83" s="25" t="str">
        <f t="shared" si="47"/>
        <v>…</v>
      </c>
      <c r="U83" s="25" t="str">
        <f t="shared" si="47"/>
        <v>…</v>
      </c>
      <c r="V83" s="25">
        <f t="shared" ca="1" si="47"/>
        <v>1.5049303554587847</v>
      </c>
      <c r="W83" s="25">
        <f t="shared" ca="1" si="47"/>
        <v>1.4786977665940886</v>
      </c>
      <c r="X83" s="25">
        <f t="shared" ca="1" si="47"/>
        <v>1.4524651777293924</v>
      </c>
      <c r="Y83" s="25">
        <f t="shared" ca="1" si="47"/>
        <v>1.4262325888646963</v>
      </c>
      <c r="Z83" s="109"/>
      <c r="AA83" s="125" t="s">
        <v>3813</v>
      </c>
      <c r="AC83" s="29" t="s">
        <v>324</v>
      </c>
      <c r="AF83" s="26">
        <v>5</v>
      </c>
      <c r="AG83" s="29" t="s">
        <v>1748</v>
      </c>
      <c r="AK83" s="22"/>
      <c r="AY83" s="36"/>
    </row>
    <row r="84" spans="1:54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25"/>
      <c r="R84" s="25"/>
      <c r="S84" s="25"/>
      <c r="T84" s="25"/>
      <c r="U84" s="25"/>
      <c r="V84" s="25"/>
      <c r="W84" s="25"/>
      <c r="X84" s="25"/>
      <c r="Y84" s="25"/>
      <c r="Z84" s="109"/>
      <c r="AA84" s="55"/>
      <c r="AC84" s="29"/>
      <c r="AF84" s="23"/>
      <c r="AG84" s="29"/>
      <c r="AK84" s="22"/>
      <c r="AY84" s="36"/>
    </row>
    <row r="85" spans="1:54" ht="13.15" thickBot="1">
      <c r="C85" s="74" t="s">
        <v>2145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109"/>
      <c r="AA85" s="55"/>
    </row>
    <row r="86" spans="1:54" s="33" customFormat="1" ht="13.5" thickBot="1">
      <c r="A86" s="5"/>
      <c r="B86" s="5"/>
      <c r="C86" s="74"/>
      <c r="D86" s="7"/>
      <c r="E86" s="7"/>
      <c r="F86" s="7"/>
      <c r="G86" s="7"/>
      <c r="H86" s="7"/>
      <c r="I86" s="7"/>
      <c r="J86" s="7"/>
      <c r="K86" s="36" t="str">
        <f ca="1">IF("E"=K8,(SUM($D76:J76)-MAX($D76:J76)-MIN($D76:J76))/(COUNT($D76:J76)-2),"…")</f>
        <v>…</v>
      </c>
      <c r="L86" s="36" t="str">
        <f ca="1">IF("E"=L8,(SUM($D76:K76)-MAX($D76:K76)-MIN($D76:K76))/(COUNT($D76:K76)-2),"…")</f>
        <v>…</v>
      </c>
      <c r="M86" s="36" t="str">
        <f>IF("E"=M8,(SUM($D76:L76)-MAX($D76:L76)-MIN($D76:L76))/(COUNT($D76:L76)-2),"…")</f>
        <v>…</v>
      </c>
      <c r="N86" s="36" t="str">
        <f>IF("E"=N8,(SUM($D76:M76)-MAX($D76:M76)-MIN($D76:M76))/(COUNT($D76:M76)-2),"…")</f>
        <v>…</v>
      </c>
      <c r="O86" s="36" t="str">
        <f>IF("E"=O8,(SUM($D76:N76)-MAX($D76:N76)-MIN($D76:N76))/(COUNT($D76:N76)-2),"…")</f>
        <v>…</v>
      </c>
      <c r="P86" s="36" t="str">
        <f>IF("E"=P8,(SUM($D76:O76)-MAX($D76:O76)-MIN($D76:O76))/(COUNT($D76:O76)-2),"…")</f>
        <v>…</v>
      </c>
      <c r="Q86" s="25" t="str">
        <f>IF("E"=Q8,(SUM($D76:P76)-MAX($D76:P76)-MIN($D76:P76))/(COUNT($D76:P76)-2),"…")</f>
        <v>…</v>
      </c>
      <c r="R86" s="25" t="str">
        <f>IF("E"=R8,(SUM($D76:Q76)-MAX($D76:Q76)-MIN($D76:Q76))/(COUNT($D76:Q76)-2),"…")</f>
        <v>…</v>
      </c>
      <c r="S86" s="25" t="str">
        <f>IF("E"=S8,(SUM($D76:R76)-MAX($D76:R76)-MIN($D76:R76))/(COUNT($D76:R76)-2),"…")</f>
        <v>…</v>
      </c>
      <c r="T86" s="25" t="str">
        <f>IF("E"=T8,(SUM($D76:S76)-MAX($D76:S76)-MIN($D76:S76))/(COUNT($D76:S76)-2),"…")</f>
        <v>…</v>
      </c>
      <c r="U86" s="25" t="str">
        <f>IF("E"=U8,(SUM($D76:T76)-MAX($D76:T76)-MIN($D76:T76))/(COUNT($D76:T76)-2),"…")</f>
        <v>…</v>
      </c>
      <c r="V86" s="25">
        <f ca="1">IF("E"=V8,(SUM($D76:U76)-MAX($D76:U76)-MIN($D76:U76))/(COUNT($D76:U76)-2),"…")</f>
        <v>1.3344176481687335</v>
      </c>
      <c r="W86" s="25">
        <f ca="1">IF("E"=W8,(SUM($D76:V76)-MAX($D76:V76)-MIN($D76:V76))/(COUNT($D76:V76)-2),"…")</f>
        <v>1.3557317365799899</v>
      </c>
      <c r="X86" s="25">
        <f ca="1">IF("E"=X8,(SUM($D76:W76)-MAX($D76:W76)-MIN($D76:W76))/(COUNT($D76:W76)-2),"…")</f>
        <v>1.3693946288037786</v>
      </c>
      <c r="Y86" s="25">
        <f ca="1">IF("E"=Y8,(SUM($D76:X76)-MAX($D76:X76)-MIN($D76:X76))/(COUNT($D76:X76)-2),"…")</f>
        <v>1.3777016836963401</v>
      </c>
      <c r="Z86" s="109"/>
      <c r="AA86" s="55"/>
      <c r="AB86" s="20"/>
      <c r="AC86" s="29" t="s">
        <v>324</v>
      </c>
      <c r="AE86" s="5"/>
      <c r="AF86" s="26">
        <v>1.4</v>
      </c>
      <c r="AG86" s="29" t="s">
        <v>1749</v>
      </c>
      <c r="AH86" s="5"/>
      <c r="AI86" s="5"/>
      <c r="AJ86" s="22"/>
      <c r="AK86" s="23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36"/>
      <c r="AZ86" s="24"/>
      <c r="BA86" s="5"/>
      <c r="BB86" s="5"/>
    </row>
    <row r="87" spans="1:54">
      <c r="C87" s="52"/>
      <c r="D87" s="5"/>
      <c r="E87" s="5"/>
      <c r="F87" s="5"/>
      <c r="G87" s="5"/>
      <c r="H87" s="5"/>
      <c r="I87" s="5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109"/>
      <c r="AA87" s="55"/>
      <c r="AB87" s="5"/>
      <c r="AC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23"/>
      <c r="AZ87" s="5"/>
    </row>
    <row r="88" spans="1:54" s="33" customFormat="1" ht="13.15">
      <c r="A88" s="5"/>
      <c r="B88" s="5"/>
      <c r="C88" s="89" t="s">
        <v>2000</v>
      </c>
      <c r="D88" s="90" t="str">
        <f t="shared" ref="D88:X88" ca="1" si="48">IFERROR(1/(1/D93),IFERROR(1/(1/D95),IFERROR(1/(1/D94),"…")))</f>
        <v>…</v>
      </c>
      <c r="E88" s="90" t="str">
        <f t="shared" ca="1" si="48"/>
        <v>…</v>
      </c>
      <c r="F88" s="90" t="str">
        <f t="shared" ca="1" si="48"/>
        <v>…</v>
      </c>
      <c r="G88" s="90" t="str">
        <f t="shared" ca="1" si="48"/>
        <v>…</v>
      </c>
      <c r="H88" s="90" t="str">
        <f t="shared" ca="1" si="48"/>
        <v>…</v>
      </c>
      <c r="I88" s="90" t="str">
        <f t="shared" ca="1" si="48"/>
        <v>…</v>
      </c>
      <c r="J88" s="90" t="str">
        <f t="shared" ca="1" si="48"/>
        <v>…</v>
      </c>
      <c r="K88" s="90" t="str">
        <f t="shared" ca="1" si="48"/>
        <v>…</v>
      </c>
      <c r="L88" s="90">
        <f t="shared" si="48"/>
        <v>-96.971999999999994</v>
      </c>
      <c r="M88" s="90">
        <f t="shared" si="48"/>
        <v>-109.25</v>
      </c>
      <c r="N88" s="90">
        <f t="shared" si="48"/>
        <v>-160.63499999999999</v>
      </c>
      <c r="O88" s="90">
        <f t="shared" si="48"/>
        <v>-171.03299999999999</v>
      </c>
      <c r="P88" s="90">
        <f t="shared" si="48"/>
        <v>-166.34</v>
      </c>
      <c r="Q88" s="90">
        <f t="shared" si="48"/>
        <v>-202.506</v>
      </c>
      <c r="R88" s="90">
        <f t="shared" si="48"/>
        <v>-337.54199999999997</v>
      </c>
      <c r="S88" s="90">
        <f t="shared" si="48"/>
        <v>-353.45800000000003</v>
      </c>
      <c r="T88" s="90">
        <f t="shared" si="48"/>
        <v>-351.97800000000001</v>
      </c>
      <c r="U88" s="90">
        <f t="shared" si="48"/>
        <v>-384.827</v>
      </c>
      <c r="V88" s="90">
        <f t="shared" ca="1" si="48"/>
        <v>-222.64408693155099</v>
      </c>
      <c r="W88" s="90">
        <f t="shared" ca="1" si="48"/>
        <v>-234.51608617624896</v>
      </c>
      <c r="X88" s="90">
        <f t="shared" ca="1" si="48"/>
        <v>-227.80093138826351</v>
      </c>
      <c r="Y88" s="90">
        <f ca="1">IFERROR(1/(1/Y93),IFERROR(1/(1/Y95),IFERROR(1/(1/Y94),"…")))</f>
        <v>-147.11582796248308</v>
      </c>
      <c r="Z88" s="109"/>
      <c r="AA88" s="55"/>
      <c r="AB88" s="20"/>
      <c r="AC88" s="20"/>
      <c r="AD88" s="24"/>
      <c r="AE88" s="5"/>
      <c r="AF88" s="5"/>
      <c r="AG88" s="9"/>
      <c r="AH88" s="5"/>
      <c r="AI88" s="5"/>
      <c r="AJ88" s="22"/>
      <c r="AK88" s="23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90"/>
      <c r="AZ88" s="24"/>
      <c r="BA88" s="5"/>
      <c r="BB88" s="5"/>
    </row>
    <row r="89" spans="1:54" s="33" customFormat="1" ht="13.15">
      <c r="A89" s="5"/>
      <c r="B89" s="5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109"/>
      <c r="AA89" s="55"/>
      <c r="AB89" s="20"/>
      <c r="AC89" s="20"/>
      <c r="AD89" s="24"/>
      <c r="AE89" s="5"/>
      <c r="AF89" s="5"/>
      <c r="AG89" s="9"/>
      <c r="AH89" s="5"/>
      <c r="AI89" s="5"/>
      <c r="AJ89" s="22"/>
      <c r="AK89" s="23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90"/>
      <c r="AZ89" s="24"/>
      <c r="BA89" s="5"/>
      <c r="BB89" s="5"/>
    </row>
    <row r="90" spans="1:54" s="33" customFormat="1" ht="13.15">
      <c r="A90" s="5"/>
      <c r="B90" s="5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109"/>
      <c r="AA90" s="55"/>
      <c r="AB90" s="20"/>
      <c r="AC90" s="20"/>
      <c r="AD90" s="24"/>
      <c r="AE90" s="5"/>
      <c r="AF90" s="5"/>
      <c r="AG90" s="9"/>
      <c r="AH90" s="5"/>
      <c r="AI90" s="5"/>
      <c r="AJ90" s="22"/>
      <c r="AK90" s="23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90"/>
      <c r="AZ90" s="24"/>
      <c r="BA90" s="5"/>
      <c r="BB90" s="5"/>
    </row>
    <row r="91" spans="1:54" s="33" customFormat="1" ht="13.15">
      <c r="A91" s="5"/>
      <c r="B91" s="5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109"/>
      <c r="AA91" s="55"/>
      <c r="AB91" s="20"/>
      <c r="AC91" s="20"/>
      <c r="AD91" s="24"/>
      <c r="AE91" s="5"/>
      <c r="AF91" s="5"/>
      <c r="AG91" s="9"/>
      <c r="AH91" s="5"/>
      <c r="AI91" s="5"/>
      <c r="AJ91" s="22"/>
      <c r="AK91" s="23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90"/>
      <c r="AZ91" s="24"/>
      <c r="BA91" s="5"/>
      <c r="BB91" s="5"/>
    </row>
    <row r="92" spans="1:54" s="33" customFormat="1" ht="13.15">
      <c r="A92" s="5"/>
      <c r="B92" s="5"/>
      <c r="C92" s="38" t="s">
        <v>2001</v>
      </c>
      <c r="D92" s="36">
        <f>IFERROR(IF(D93&lt;0,D93,1/(1/#REF!)),0)</f>
        <v>0</v>
      </c>
      <c r="E92" s="36">
        <f>IFERROR(IF(E93&lt;0,E93,1/(1/#REF!)),0)</f>
        <v>0</v>
      </c>
      <c r="F92" s="36">
        <f>IFERROR(IF(F93&lt;0,F93,1/(1/#REF!)),0)</f>
        <v>0</v>
      </c>
      <c r="G92" s="36">
        <f>IFERROR(IF(G93&lt;0,G93,1/(1/#REF!)),0)</f>
        <v>0</v>
      </c>
      <c r="H92" s="36">
        <f>IFERROR(IF(H93&lt;0,H93,1/(1/#REF!)),0)</f>
        <v>0</v>
      </c>
      <c r="I92" s="36">
        <f>IFERROR(IF(I93&lt;0,I93,1/(1/#REF!)),0)</f>
        <v>0</v>
      </c>
      <c r="J92" s="36">
        <f>IFERROR(IF(J93&lt;0,J93,1/(1/#REF!)),0)</f>
        <v>0</v>
      </c>
      <c r="K92" s="36">
        <f>IFERROR(IF(K93&lt;0,K93,1/(1/#REF!)),0)</f>
        <v>0</v>
      </c>
      <c r="L92" s="36">
        <f>IFERROR(IF(L93&lt;0,L93,1/(1/#REF!)),0)</f>
        <v>-96.971999999999994</v>
      </c>
      <c r="M92" s="36">
        <f>IFERROR(IF(M93&lt;0,M93,1/(1/#REF!)),0)</f>
        <v>-109.25</v>
      </c>
      <c r="N92" s="36">
        <f>IFERROR(IF(N93&lt;0,N93,1/(1/#REF!)),0)</f>
        <v>-160.63499999999999</v>
      </c>
      <c r="O92" s="36">
        <f>IFERROR(IF(O93&lt;0,O93,1/(1/#REF!)),0)</f>
        <v>-171.03299999999999</v>
      </c>
      <c r="P92" s="36">
        <f>IFERROR(IF(P93&lt;0,P93,1/(1/#REF!)),0)</f>
        <v>-166.34</v>
      </c>
      <c r="Q92" s="36">
        <f>IFERROR(IF(Q93&lt;0,Q93,1/(1/#REF!)),0)</f>
        <v>-202.506</v>
      </c>
      <c r="R92" s="36">
        <f>IFERROR(IF(R93&lt;0,R93,1/(1/#REF!)),0)</f>
        <v>-337.54199999999997</v>
      </c>
      <c r="S92" s="36">
        <f>IFERROR(IF(S93&lt;0,S93,1/(1/#REF!)),0)</f>
        <v>-353.45800000000003</v>
      </c>
      <c r="T92" s="36">
        <f>IFERROR(IF(T93&lt;0,T93,1/(1/#REF!)),0)</f>
        <v>-351.97800000000001</v>
      </c>
      <c r="U92" s="36">
        <f>IFERROR(IF(U93&lt;0,U93,1/(1/#REF!)),0)</f>
        <v>-384.827</v>
      </c>
      <c r="V92" s="36">
        <f>IFERROR(IF(V93&lt;0,V93,1/(1/#REF!)),0)</f>
        <v>0</v>
      </c>
      <c r="W92" s="36">
        <f>IFERROR(IF(W93&lt;0,W93,1/(1/#REF!)),0)</f>
        <v>0</v>
      </c>
      <c r="X92" s="36">
        <f>IFERROR(IF(X93&lt;0,X93,1/(1/#REF!)),0)</f>
        <v>0</v>
      </c>
      <c r="Y92" s="36">
        <f>IFERROR(IF(Y93&lt;0,Y93,1/(1/#REF!)),0)</f>
        <v>0</v>
      </c>
      <c r="Z92" s="109"/>
      <c r="AA92" s="55"/>
      <c r="AB92" s="20"/>
      <c r="AC92" s="20"/>
      <c r="AD92" s="24"/>
      <c r="AE92" s="5"/>
      <c r="AF92" s="5"/>
      <c r="AG92" s="9"/>
      <c r="AH92" s="5"/>
      <c r="AI92" s="5"/>
      <c r="AJ92" s="22"/>
      <c r="AK92" s="23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36"/>
      <c r="AZ92" s="24"/>
      <c r="BA92" s="5"/>
      <c r="BB92" s="5"/>
    </row>
    <row r="93" spans="1:54" s="33" customFormat="1" ht="13.15">
      <c r="A93" s="5"/>
      <c r="B93" s="5"/>
      <c r="C93" s="67" t="s">
        <v>1575</v>
      </c>
      <c r="D93" s="25" t="str">
        <f t="shared" ref="D93:V93" si="49">IFERROR(D118/1,"…")</f>
        <v>…</v>
      </c>
      <c r="E93" s="25" t="str">
        <f t="shared" si="49"/>
        <v>…</v>
      </c>
      <c r="F93" s="25" t="str">
        <f t="shared" si="49"/>
        <v>…</v>
      </c>
      <c r="G93" s="25" t="str">
        <f t="shared" si="49"/>
        <v>…</v>
      </c>
      <c r="H93" s="25" t="str">
        <f t="shared" si="49"/>
        <v>…</v>
      </c>
      <c r="I93" s="36" t="str">
        <f t="shared" si="49"/>
        <v>…</v>
      </c>
      <c r="J93" s="36" t="str">
        <f t="shared" si="49"/>
        <v>…</v>
      </c>
      <c r="K93" s="36" t="str">
        <f t="shared" si="49"/>
        <v>…</v>
      </c>
      <c r="L93" s="36">
        <f t="shared" si="49"/>
        <v>-96.971999999999994</v>
      </c>
      <c r="M93" s="36">
        <f t="shared" si="49"/>
        <v>-109.25</v>
      </c>
      <c r="N93" s="36">
        <f t="shared" si="49"/>
        <v>-160.63499999999999</v>
      </c>
      <c r="O93" s="36">
        <f t="shared" si="49"/>
        <v>-171.03299999999999</v>
      </c>
      <c r="P93" s="36">
        <f t="shared" si="49"/>
        <v>-166.34</v>
      </c>
      <c r="Q93" s="36">
        <f t="shared" si="49"/>
        <v>-202.506</v>
      </c>
      <c r="R93" s="36">
        <f t="shared" si="49"/>
        <v>-337.54199999999997</v>
      </c>
      <c r="S93" s="36">
        <f t="shared" si="49"/>
        <v>-353.45800000000003</v>
      </c>
      <c r="T93" s="36">
        <f t="shared" si="49"/>
        <v>-351.97800000000001</v>
      </c>
      <c r="U93" s="36">
        <f t="shared" si="49"/>
        <v>-384.827</v>
      </c>
      <c r="V93" s="36" t="str">
        <f t="shared" si="49"/>
        <v>…</v>
      </c>
      <c r="W93" s="36" t="str">
        <f>IFERROR(W118/1,"…")</f>
        <v>…</v>
      </c>
      <c r="X93" s="36" t="str">
        <f>IFERROR(X118/1,"…")</f>
        <v>…</v>
      </c>
      <c r="Y93" s="36" t="str">
        <f>IFERROR(Y118/1,"…")</f>
        <v>…</v>
      </c>
      <c r="Z93" s="109"/>
      <c r="AA93" s="25"/>
      <c r="AB93" s="20"/>
      <c r="AC93" s="20"/>
      <c r="AD93" s="24"/>
      <c r="AE93" s="5"/>
      <c r="AF93" s="5"/>
      <c r="AG93" s="9"/>
      <c r="AH93" s="5"/>
      <c r="AI93" s="5"/>
      <c r="AJ93" s="22"/>
      <c r="AK93" s="23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5"/>
      <c r="AZ93" s="24"/>
      <c r="BA93" s="5"/>
      <c r="BB93" s="5"/>
    </row>
    <row r="94" spans="1:54" ht="13.15" hidden="1">
      <c r="C94" s="67" t="s">
        <v>2002</v>
      </c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109"/>
      <c r="AA94" s="55"/>
      <c r="AG94" s="9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5"/>
      <c r="AZ94" s="5"/>
    </row>
    <row r="95" spans="1:54" ht="13.15" hidden="1">
      <c r="C95" s="67"/>
      <c r="D95" s="55" t="str">
        <f t="shared" ref="D95:Y95" ca="1" si="50">IF(D$8="A",IF(D66=1,0,D64*$AC$64-D71),IFERROR(D64*$AC$64-D71,"…"))</f>
        <v>…</v>
      </c>
      <c r="E95" s="55" t="str">
        <f t="shared" ca="1" si="50"/>
        <v>…</v>
      </c>
      <c r="F95" s="55" t="str">
        <f t="shared" ca="1" si="50"/>
        <v>…</v>
      </c>
      <c r="G95" s="55" t="str">
        <f t="shared" ca="1" si="50"/>
        <v>…</v>
      </c>
      <c r="H95" s="55" t="str">
        <f t="shared" ca="1" si="50"/>
        <v>…</v>
      </c>
      <c r="I95" s="55" t="str">
        <f t="shared" ca="1" si="50"/>
        <v>…</v>
      </c>
      <c r="J95" s="55" t="str">
        <f t="shared" ca="1" si="50"/>
        <v>…</v>
      </c>
      <c r="K95" s="55" t="str">
        <f t="shared" ca="1" si="50"/>
        <v>…</v>
      </c>
      <c r="L95" s="55">
        <f t="shared" ca="1" si="50"/>
        <v>161.38</v>
      </c>
      <c r="M95" s="55">
        <f t="shared" ca="1" si="50"/>
        <v>161.65299999999999</v>
      </c>
      <c r="N95" s="55">
        <f t="shared" ca="1" si="50"/>
        <v>169.363</v>
      </c>
      <c r="O95" s="55" t="e">
        <f t="shared" ca="1" si="50"/>
        <v>#VALUE!</v>
      </c>
      <c r="P95" s="55" t="e">
        <f t="shared" ca="1" si="50"/>
        <v>#VALUE!</v>
      </c>
      <c r="Q95" s="55" t="e">
        <f t="shared" ca="1" si="50"/>
        <v>#VALUE!</v>
      </c>
      <c r="R95" s="55" t="e">
        <f t="shared" ca="1" si="50"/>
        <v>#VALUE!</v>
      </c>
      <c r="S95" s="55">
        <f t="shared" ca="1" si="50"/>
        <v>-362.84568493184759</v>
      </c>
      <c r="T95" s="55">
        <f t="shared" ca="1" si="50"/>
        <v>-382.73914764587329</v>
      </c>
      <c r="U95" s="55">
        <f ca="1">IF(U$8="A",IF(U66=1,0,U64*$AC$64-U71),IFERROR(U64*$AC$64-U71,"…"))</f>
        <v>-344.67816742227939</v>
      </c>
      <c r="V95" s="55">
        <f ca="1">IF(V$8="A",IF(V66=1,0,V64*$AC$64-V71),IFERROR(V64*$AC$64-V71,"…"))</f>
        <v>-222.64408693155099</v>
      </c>
      <c r="W95" s="55">
        <f t="shared" ca="1" si="50"/>
        <v>-234.51608617624896</v>
      </c>
      <c r="X95" s="55">
        <f t="shared" ca="1" si="50"/>
        <v>-227.80093138826351</v>
      </c>
      <c r="Y95" s="55">
        <f t="shared" ca="1" si="50"/>
        <v>-147.11582796248308</v>
      </c>
      <c r="Z95" s="55"/>
      <c r="AA95" s="55"/>
      <c r="AG95" s="9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5"/>
      <c r="AZ95" s="5"/>
    </row>
    <row r="96" spans="1:54" ht="13.15">
      <c r="C96" s="67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G96" s="9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5"/>
      <c r="AZ96" s="5"/>
    </row>
    <row r="97" spans="1:54" ht="13.15">
      <c r="C97" s="67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G97" s="9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5"/>
      <c r="AZ97" s="5"/>
    </row>
    <row r="98" spans="1:54" ht="13.15">
      <c r="C98" s="67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G98" s="9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5"/>
      <c r="AZ98" s="5"/>
    </row>
    <row r="99" spans="1:54" ht="13.15">
      <c r="C99" s="67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G99" s="9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5"/>
      <c r="AZ99" s="5"/>
    </row>
    <row r="100" spans="1:54" ht="13.15">
      <c r="C100" s="67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G100" s="9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5"/>
      <c r="AZ100" s="5"/>
    </row>
    <row r="101" spans="1:54" s="33" customFormat="1" ht="13.15">
      <c r="A101" s="5"/>
      <c r="B101" s="5"/>
      <c r="C101" s="52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55"/>
      <c r="AB101" s="20"/>
      <c r="AC101" s="20"/>
      <c r="AD101" s="24"/>
      <c r="AE101" s="5"/>
      <c r="AF101" s="5"/>
      <c r="AG101" s="9"/>
      <c r="AH101" s="5"/>
      <c r="AI101" s="5"/>
      <c r="AJ101" s="22"/>
      <c r="AK101" s="23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5"/>
      <c r="AZ101" s="24"/>
      <c r="BA101" s="5"/>
      <c r="BB101" s="5"/>
    </row>
    <row r="102" spans="1:54">
      <c r="C102" s="53" t="s">
        <v>2208</v>
      </c>
      <c r="D102" s="109"/>
      <c r="E102" s="109" t="str">
        <f t="shared" ref="E102:V102" ca="1" si="51">IF(E$8="A",IF(E92="…","…",-E92/E190),IF(E95="…","…",-E95/E190))</f>
        <v>…</v>
      </c>
      <c r="F102" s="109" t="str">
        <f t="shared" ca="1" si="51"/>
        <v>…</v>
      </c>
      <c r="G102" s="109" t="str">
        <f t="shared" ca="1" si="51"/>
        <v>…</v>
      </c>
      <c r="H102" s="109" t="str">
        <f t="shared" ca="1" si="51"/>
        <v>…</v>
      </c>
      <c r="I102" s="109" t="str">
        <f t="shared" ca="1" si="51"/>
        <v>…</v>
      </c>
      <c r="J102" s="109" t="str">
        <f t="shared" ca="1" si="51"/>
        <v>…</v>
      </c>
      <c r="K102" s="109" t="str">
        <f t="shared" ca="1" si="51"/>
        <v>…</v>
      </c>
      <c r="L102" s="109" t="e">
        <f t="shared" ca="1" si="51"/>
        <v>#VALUE!</v>
      </c>
      <c r="M102" s="109">
        <f t="shared" ca="1" si="51"/>
        <v>1.0466331085573179</v>
      </c>
      <c r="N102" s="109">
        <f t="shared" si="51"/>
        <v>1.5389099257950092</v>
      </c>
      <c r="O102" s="109">
        <f t="shared" si="51"/>
        <v>1.4958665771953765</v>
      </c>
      <c r="P102" s="109" t="e">
        <f t="shared" si="51"/>
        <v>#DIV/0!</v>
      </c>
      <c r="Q102" s="109">
        <f t="shared" si="51"/>
        <v>1.7290176055736752</v>
      </c>
      <c r="R102" s="109">
        <f t="shared" si="51"/>
        <v>2.550104257955335</v>
      </c>
      <c r="S102" s="109">
        <f t="shared" si="51"/>
        <v>2.2027245986638748</v>
      </c>
      <c r="T102" s="109">
        <f t="shared" si="51"/>
        <v>1.6866473392912764</v>
      </c>
      <c r="U102" s="109">
        <f t="shared" si="51"/>
        <v>1.7035884404936872</v>
      </c>
      <c r="V102" s="109">
        <f t="shared" ca="1" si="51"/>
        <v>1.0152435624239458</v>
      </c>
      <c r="W102" s="109">
        <f ca="1">IF(W$8="A",IF(W92="…","…",-W92/W190),IF(W95="…","…",-W95/W190))</f>
        <v>1.3246009171945115</v>
      </c>
      <c r="X102" s="109">
        <f ca="1">IF(X$8="A",IF(X92="…","…",-X92/X190),IF(X95="…","…",-X95/X190))</f>
        <v>1.5937538395815498</v>
      </c>
      <c r="Y102" s="109">
        <f ca="1">IF(Y$8="A",IF(Y92="…","…",-Y92/Y190),IF(Y95="…","…",-Y95/Y190))</f>
        <v>1.2749069359351617</v>
      </c>
      <c r="Z102" s="109"/>
      <c r="AA102" s="55"/>
      <c r="AB102" s="86" t="s">
        <v>1711</v>
      </c>
      <c r="AC102" s="86" t="s">
        <v>1711</v>
      </c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109"/>
      <c r="AZ102" s="5"/>
    </row>
    <row r="103" spans="1:54">
      <c r="C103" s="53" t="s">
        <v>2003</v>
      </c>
      <c r="D103" s="6" t="str">
        <f t="shared" ref="D103:T103" ca="1" si="52">IF(D88="…","…",IFERROR(-D88/D147,"…"))</f>
        <v>…</v>
      </c>
      <c r="E103" s="6" t="str">
        <f t="shared" ca="1" si="52"/>
        <v>…</v>
      </c>
      <c r="F103" s="6" t="str">
        <f t="shared" ca="1" si="52"/>
        <v>…</v>
      </c>
      <c r="G103" s="6" t="str">
        <f t="shared" ca="1" si="52"/>
        <v>…</v>
      </c>
      <c r="H103" s="6" t="str">
        <f t="shared" ca="1" si="52"/>
        <v>…</v>
      </c>
      <c r="I103" s="6" t="str">
        <f t="shared" ca="1" si="52"/>
        <v>…</v>
      </c>
      <c r="J103" s="6" t="str">
        <f t="shared" ca="1" si="52"/>
        <v>…</v>
      </c>
      <c r="K103" s="6" t="str">
        <f t="shared" ca="1" si="52"/>
        <v>…</v>
      </c>
      <c r="L103" s="6" t="str">
        <f t="shared" ca="1" si="52"/>
        <v>…</v>
      </c>
      <c r="M103" s="6">
        <f t="shared" si="52"/>
        <v>4.6782599014246744E-2</v>
      </c>
      <c r="N103" s="6">
        <f t="shared" si="52"/>
        <v>5.8151363327010229E-2</v>
      </c>
      <c r="O103" s="6">
        <f t="shared" si="52"/>
        <v>5.992747021723896E-2</v>
      </c>
      <c r="P103" s="6">
        <f t="shared" si="52"/>
        <v>5.357165861513688E-2</v>
      </c>
      <c r="Q103" s="6">
        <f t="shared" si="52"/>
        <v>5.9264266900790168E-2</v>
      </c>
      <c r="R103" s="6">
        <f t="shared" si="52"/>
        <v>9.8696491228070171E-2</v>
      </c>
      <c r="S103" s="39">
        <f t="shared" si="52"/>
        <v>9.3855018587360603E-2</v>
      </c>
      <c r="T103" s="39">
        <f t="shared" si="52"/>
        <v>0.10172774566473988</v>
      </c>
      <c r="U103" s="39">
        <f>IF(U88="…","…",IFERROR(-U88/U147,"…"))</f>
        <v>9.0102317958323574E-2</v>
      </c>
      <c r="V103" s="39">
        <f ca="1">IF(V88="…","…",IFERROR(-V88/V147,"…"))</f>
        <v>4.5570485778427816E-2</v>
      </c>
      <c r="W103" s="39">
        <f ca="1">IF(W88="…","…",IFERROR(-W88/W147,"…"))</f>
        <v>4.3051210202390867E-2</v>
      </c>
      <c r="X103" s="39">
        <f ca="1">IF(X88="…","…",IFERROR(-X88/X147,"…"))</f>
        <v>3.8782620790134531E-2</v>
      </c>
      <c r="Y103" s="39">
        <f ca="1">IF(Y88="…","…",IFERROR(-Y88/Y147,"…"))</f>
        <v>2.3233298968145549E-2</v>
      </c>
      <c r="Z103" s="39"/>
      <c r="AA103" s="55"/>
      <c r="AB103" s="86" t="s">
        <v>1711</v>
      </c>
      <c r="AC103" s="86" t="s">
        <v>1711</v>
      </c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6"/>
      <c r="AZ103" s="5"/>
    </row>
    <row r="104" spans="1:54">
      <c r="C104" s="53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55"/>
      <c r="AB104" s="5"/>
      <c r="AC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6"/>
      <c r="AZ104" s="5"/>
    </row>
    <row r="105" spans="1:54" ht="13.15">
      <c r="C105" s="111" t="s">
        <v>2207</v>
      </c>
      <c r="D105" s="5"/>
      <c r="E105" s="5"/>
      <c r="F105" s="5"/>
      <c r="G105" s="5"/>
      <c r="H105" s="5"/>
      <c r="I105" s="5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55"/>
      <c r="AB105" s="5"/>
      <c r="AC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23"/>
      <c r="AZ105" s="5"/>
    </row>
    <row r="106" spans="1:54" ht="13.15" hidden="1" outlineLevel="1">
      <c r="C106" s="52" t="s">
        <v>1550</v>
      </c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 t="str">
        <f t="shared" ref="P106:V106" si="53">IFERROR(IF(P107&gt;0,P107,IF(P109=1,P110,IF(P109=2,P111,"…"))),"…")</f>
        <v>…</v>
      </c>
      <c r="Q106" s="25" t="str">
        <f t="shared" si="53"/>
        <v>…</v>
      </c>
      <c r="R106" s="25" t="str">
        <f t="shared" si="53"/>
        <v>…</v>
      </c>
      <c r="S106" s="25" t="str">
        <f t="shared" si="53"/>
        <v>…</v>
      </c>
      <c r="T106" s="25" t="str">
        <f t="shared" si="53"/>
        <v>…</v>
      </c>
      <c r="U106" s="25" t="str">
        <f t="shared" si="53"/>
        <v>…</v>
      </c>
      <c r="V106" s="25" t="str">
        <f t="shared" si="53"/>
        <v>…</v>
      </c>
      <c r="W106" s="25" t="str">
        <f>IFERROR(IF(W107&gt;0,W107,IF(W109=1,W110,IF(W109=2,W111,"…"))),"…")</f>
        <v>…</v>
      </c>
      <c r="X106" s="25" t="str">
        <f>IFERROR(IF(X107&gt;0,X107,IF(X109=1,X110,IF(X109=2,X111,"…"))),"…")</f>
        <v>…</v>
      </c>
      <c r="Y106" s="25" t="str">
        <f>IFERROR(IF(Y107&gt;0,Y107,IF(Y109=1,Y110,IF(Y109=2,Y111,"…"))),"…")</f>
        <v>…</v>
      </c>
      <c r="Z106" s="25"/>
      <c r="AA106" s="55"/>
      <c r="AG106" s="9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36"/>
      <c r="AZ106" s="5"/>
    </row>
    <row r="107" spans="1:54" hidden="1" outlineLevel="1">
      <c r="C107" s="52" t="s">
        <v>1551</v>
      </c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75">
        <v>0</v>
      </c>
      <c r="Q107" s="75">
        <v>0</v>
      </c>
      <c r="R107" s="75">
        <v>0</v>
      </c>
      <c r="S107" s="75">
        <v>0</v>
      </c>
      <c r="T107" s="75">
        <v>0</v>
      </c>
      <c r="U107" s="75">
        <v>0</v>
      </c>
      <c r="V107" s="75">
        <v>0</v>
      </c>
      <c r="W107" s="75">
        <v>0</v>
      </c>
      <c r="X107" s="75">
        <v>0</v>
      </c>
      <c r="Y107" s="75">
        <v>0</v>
      </c>
      <c r="Z107" s="75"/>
      <c r="AA107" s="5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75"/>
      <c r="AZ107" s="5"/>
    </row>
    <row r="108" spans="1:54" hidden="1" outlineLevel="1">
      <c r="AA108" s="55"/>
    </row>
    <row r="109" spans="1:54" ht="13.15" hidden="1" outlineLevel="1" thickBot="1">
      <c r="C109" s="52" t="s">
        <v>1548</v>
      </c>
      <c r="D109" s="5"/>
      <c r="E109" s="5"/>
      <c r="F109" s="5"/>
      <c r="G109" s="5"/>
      <c r="H109" s="5"/>
      <c r="I109" s="5"/>
      <c r="J109" s="23"/>
      <c r="K109" s="23"/>
      <c r="L109" s="23"/>
      <c r="M109" s="23"/>
      <c r="N109" s="23"/>
      <c r="O109" s="23"/>
      <c r="P109" s="75">
        <v>1</v>
      </c>
      <c r="Q109" s="75">
        <v>1</v>
      </c>
      <c r="R109" s="75">
        <v>1</v>
      </c>
      <c r="S109" s="75">
        <v>1</v>
      </c>
      <c r="T109" s="75">
        <v>1</v>
      </c>
      <c r="U109" s="75">
        <v>1</v>
      </c>
      <c r="V109" s="75">
        <v>1</v>
      </c>
      <c r="W109" s="75">
        <v>1</v>
      </c>
      <c r="X109" s="75">
        <v>1</v>
      </c>
      <c r="Y109" s="75">
        <v>1</v>
      </c>
      <c r="Z109" s="75"/>
      <c r="AA109" s="55"/>
      <c r="AB109" s="5"/>
      <c r="AC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75"/>
      <c r="AZ109" s="5"/>
    </row>
    <row r="110" spans="1:54" ht="13.15" hidden="1" outlineLevel="1" thickBot="1">
      <c r="C110" s="74" t="s">
        <v>2144</v>
      </c>
      <c r="D110" s="36" t="str">
        <f t="shared" ref="D110:P110" si="54">IF("E"=D28,MAX($AF$86,C102-(($K$76-$AF$86)/$AF$83)),"…")</f>
        <v>…</v>
      </c>
      <c r="E110" s="36" t="str">
        <f t="shared" si="54"/>
        <v>…</v>
      </c>
      <c r="F110" s="36" t="str">
        <f t="shared" si="54"/>
        <v>…</v>
      </c>
      <c r="G110" s="36" t="str">
        <f t="shared" si="54"/>
        <v>…</v>
      </c>
      <c r="H110" s="36" t="str">
        <f t="shared" si="54"/>
        <v>…</v>
      </c>
      <c r="I110" s="36" t="str">
        <f t="shared" si="54"/>
        <v>…</v>
      </c>
      <c r="J110" s="36" t="str">
        <f t="shared" si="54"/>
        <v>…</v>
      </c>
      <c r="K110" s="36" t="str">
        <f t="shared" si="54"/>
        <v>…</v>
      </c>
      <c r="L110" s="36" t="str">
        <f t="shared" si="54"/>
        <v>…</v>
      </c>
      <c r="M110" s="36" t="str">
        <f t="shared" si="54"/>
        <v>…</v>
      </c>
      <c r="N110" s="36" t="str">
        <f t="shared" si="54"/>
        <v>…</v>
      </c>
      <c r="O110" s="36" t="str">
        <f t="shared" si="54"/>
        <v>…</v>
      </c>
      <c r="P110" s="36" t="str">
        <f t="shared" si="54"/>
        <v>…</v>
      </c>
      <c r="Q110" s="25" t="str">
        <f t="shared" ref="Q110:Y110" si="55">IF("E"=Q28,MAX($AF$86,P102-((P102-$AF$86)/($AF$83-COUNTIF(D28:Q28,"E")+1))),"…")</f>
        <v>…</v>
      </c>
      <c r="R110" s="25" t="str">
        <f t="shared" si="55"/>
        <v>…</v>
      </c>
      <c r="S110" s="25" t="str">
        <f t="shared" si="55"/>
        <v>…</v>
      </c>
      <c r="T110" s="25" t="str">
        <f t="shared" si="55"/>
        <v>…</v>
      </c>
      <c r="U110" s="25" t="str">
        <f t="shared" si="55"/>
        <v>…</v>
      </c>
      <c r="V110" s="25" t="str">
        <f t="shared" si="55"/>
        <v>…</v>
      </c>
      <c r="W110" s="25" t="str">
        <f t="shared" si="55"/>
        <v>…</v>
      </c>
      <c r="X110" s="25" t="str">
        <f t="shared" si="55"/>
        <v>…</v>
      </c>
      <c r="Y110" s="25" t="str">
        <f t="shared" si="55"/>
        <v>…</v>
      </c>
      <c r="Z110" s="25"/>
      <c r="AA110" s="55"/>
      <c r="AC110" s="29" t="s">
        <v>324</v>
      </c>
      <c r="AF110" s="26">
        <v>5</v>
      </c>
      <c r="AG110" s="29" t="s">
        <v>1748</v>
      </c>
      <c r="AK110" s="22"/>
      <c r="AY110" s="36"/>
    </row>
    <row r="111" spans="1:54" s="33" customFormat="1" ht="13.5" hidden="1" outlineLevel="1" thickBot="1">
      <c r="A111" s="5"/>
      <c r="B111" s="5"/>
      <c r="C111" s="74" t="s">
        <v>2145</v>
      </c>
      <c r="D111" s="7"/>
      <c r="E111" s="7"/>
      <c r="F111" s="7"/>
      <c r="G111" s="7"/>
      <c r="H111" s="7"/>
      <c r="I111" s="7"/>
      <c r="J111" s="7"/>
      <c r="K111" s="36" t="str">
        <f>IF("E"=K28,(SUM($D102:J102)-MAX($D102:J102)-MIN($D102:J102))/(COUNT($D102:J102)-2),"…")</f>
        <v>…</v>
      </c>
      <c r="L111" s="36" t="str">
        <f>IF("E"=L28,(SUM($D102:K102)-MAX($D102:K102)-MIN($D102:K102))/(COUNT($D102:K102)-2),"…")</f>
        <v>…</v>
      </c>
      <c r="M111" s="36" t="str">
        <f>IF("E"=M28,(SUM($D102:L102)-MAX($D102:L102)-MIN($D102:L102))/(COUNT($D102:L102)-2),"…")</f>
        <v>…</v>
      </c>
      <c r="N111" s="36" t="str">
        <f>IF("E"=N28,(SUM($D102:M102)-MAX($D102:M102)-MIN($D102:M102))/(COUNT($D102:M102)-2),"…")</f>
        <v>…</v>
      </c>
      <c r="O111" s="36" t="str">
        <f>IF("E"=O28,(SUM($D102:N102)-MAX($D102:N102)-MIN($D102:N102))/(COUNT($D102:N102)-2),"…")</f>
        <v>…</v>
      </c>
      <c r="P111" s="36" t="str">
        <f>IF("E"=P28,(SUM($D102:O102)-MAX($D102:O102)-MIN($D102:O102))/(COUNT($D102:O102)-2),"…")</f>
        <v>…</v>
      </c>
      <c r="Q111" s="25" t="str">
        <f>IF("E"=Q28,(SUM($D102:P102)-MAX($D102:P102)-MIN($D102:P102))/(COUNT($D102:P102)-2),"…")</f>
        <v>…</v>
      </c>
      <c r="R111" s="25" t="str">
        <f>IF("E"=R28,(SUM($D102:Q102)-MAX($D102:Q102)-MIN($D102:Q102))/(COUNT($D102:Q102)-2),"…")</f>
        <v>…</v>
      </c>
      <c r="S111" s="25" t="str">
        <f>IF("E"=S28,(SUM($D102:R102)-MAX($D102:R102)-MIN($D102:R102))/(COUNT($D102:R102)-2),"…")</f>
        <v>…</v>
      </c>
      <c r="T111" s="25" t="str">
        <f>IF("E"=T28,(SUM($D102:S102)-MAX($D102:S102)-MIN($D102:S102))/(COUNT($D102:S102)-2),"…")</f>
        <v>…</v>
      </c>
      <c r="U111" s="25" t="str">
        <f>IF("E"=U28,(SUM($D102:T102)-MAX($D102:T102)-MIN($D102:T102))/(COUNT($D102:T102)-2),"…")</f>
        <v>…</v>
      </c>
      <c r="V111" s="25" t="str">
        <f>IF("E"=V28,(SUM($D102:U102)-MAX($D102:U102)-MIN($D102:U102))/(COUNT($D102:U102)-2),"…")</f>
        <v>…</v>
      </c>
      <c r="W111" s="25" t="str">
        <f>IF("E"=W28,(SUM($D102:V102)-MAX($D102:V102)-MIN($D102:V102))/(COUNT($D102:V102)-2),"…")</f>
        <v>…</v>
      </c>
      <c r="X111" s="25" t="str">
        <f>IF("E"=X28,(SUM($D102:W102)-MAX($D102:W102)-MIN($D102:W102))/(COUNT($D102:W102)-2),"…")</f>
        <v>…</v>
      </c>
      <c r="Y111" s="25" t="str">
        <f>IF("E"=Y28,(SUM($D102:X102)-MAX($D102:X102)-MIN($D102:X102))/(COUNT($D102:X102)-2),"…")</f>
        <v>…</v>
      </c>
      <c r="Z111" s="25"/>
      <c r="AA111" s="55"/>
      <c r="AB111" s="20"/>
      <c r="AC111" s="29" t="s">
        <v>324</v>
      </c>
      <c r="AE111" s="5"/>
      <c r="AF111" s="26">
        <v>1.2</v>
      </c>
      <c r="AG111" s="29" t="s">
        <v>1749</v>
      </c>
      <c r="AH111" s="5"/>
      <c r="AI111" s="5"/>
      <c r="AJ111" s="22"/>
      <c r="AK111" s="23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36"/>
      <c r="AZ111" s="24"/>
      <c r="BA111" s="5"/>
      <c r="BB111" s="5"/>
    </row>
    <row r="112" spans="1:54" hidden="1" outlineLevel="1">
      <c r="C112" s="52"/>
      <c r="D112" s="5"/>
      <c r="E112" s="5"/>
      <c r="F112" s="5"/>
      <c r="G112" s="5"/>
      <c r="H112" s="5"/>
      <c r="I112" s="5"/>
      <c r="J112" s="23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5"/>
      <c r="AB112" s="5"/>
      <c r="AC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4"/>
      <c r="AZ112" s="5"/>
    </row>
    <row r="113" spans="1:72" s="33" customFormat="1" ht="13.15" collapsed="1">
      <c r="A113" s="5"/>
      <c r="B113" s="5"/>
      <c r="C113" s="52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55"/>
      <c r="AB113" s="20"/>
      <c r="AC113" s="20"/>
      <c r="AD113" s="24"/>
      <c r="AE113" s="5"/>
      <c r="AF113" s="5"/>
      <c r="AG113" s="9"/>
      <c r="AH113" s="5"/>
      <c r="AI113" s="5"/>
      <c r="AJ113" s="22"/>
      <c r="AK113" s="23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5"/>
      <c r="AZ113" s="24"/>
      <c r="BA113" s="5"/>
      <c r="BB113" s="5"/>
    </row>
    <row r="114" spans="1:72" s="33" customFormat="1" ht="13.15">
      <c r="A114" s="5"/>
      <c r="B114" s="5"/>
      <c r="C114" s="52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55"/>
      <c r="AB114" s="20"/>
      <c r="AC114" s="20"/>
      <c r="AD114" s="24"/>
      <c r="AE114" s="5"/>
      <c r="AF114" s="5"/>
      <c r="AG114" s="9"/>
      <c r="AH114" s="5"/>
      <c r="AI114" s="5"/>
      <c r="AJ114" s="22"/>
      <c r="AK114" s="23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5"/>
      <c r="AZ114" s="24"/>
      <c r="BA114" s="5"/>
      <c r="BB114" s="5"/>
    </row>
    <row r="115" spans="1:72" s="33" customFormat="1" ht="13.15">
      <c r="A115" s="5"/>
      <c r="B115" s="5"/>
      <c r="C115" s="52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55"/>
      <c r="AB115" s="20"/>
      <c r="AC115" s="20"/>
      <c r="AD115" s="24"/>
      <c r="AE115" s="5"/>
      <c r="AF115" s="5"/>
      <c r="AG115" s="9"/>
      <c r="AH115" s="5"/>
      <c r="AI115" s="5"/>
      <c r="AJ115" s="22"/>
      <c r="AK115" s="23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5"/>
      <c r="AZ115" s="24"/>
      <c r="BA115" s="5"/>
      <c r="BB115" s="5"/>
    </row>
    <row r="116" spans="1:72" s="33" customFormat="1" ht="13.15">
      <c r="A116" s="5"/>
      <c r="B116" s="5"/>
      <c r="C116" s="52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55"/>
      <c r="AB116" s="20"/>
      <c r="AC116" s="20"/>
      <c r="AD116" s="24"/>
      <c r="AE116" s="5"/>
      <c r="AF116" s="5"/>
      <c r="AG116" s="9"/>
      <c r="AH116" s="5"/>
      <c r="AI116" s="5"/>
      <c r="AJ116" s="22"/>
      <c r="AK116" s="23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5"/>
      <c r="AZ116" s="24"/>
      <c r="BA116" s="5"/>
      <c r="BB116" s="5"/>
    </row>
    <row r="117" spans="1:72">
      <c r="C117" s="38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Z117" s="5"/>
    </row>
    <row r="118" spans="1:72">
      <c r="C118" s="38" t="s">
        <v>2000</v>
      </c>
      <c r="D118" s="103" t="str">
        <f t="shared" ref="D118:V118" si="56">IF(ISNUMBER(D463),D463,IF(ISNUMBER(D119),D119,IF(ISNUMBER(D464),D464,"…")))</f>
        <v>…</v>
      </c>
      <c r="E118" s="103" t="str">
        <f t="shared" si="56"/>
        <v>…</v>
      </c>
      <c r="F118" s="103" t="str">
        <f t="shared" si="56"/>
        <v>…</v>
      </c>
      <c r="G118" s="103" t="str">
        <f t="shared" si="56"/>
        <v>…</v>
      </c>
      <c r="H118" s="103" t="str">
        <f t="shared" si="56"/>
        <v>…</v>
      </c>
      <c r="I118" s="103" t="str">
        <f t="shared" si="56"/>
        <v>…</v>
      </c>
      <c r="J118" s="103" t="str">
        <f t="shared" si="56"/>
        <v>…</v>
      </c>
      <c r="K118" s="103" t="str">
        <f t="shared" si="56"/>
        <v>…</v>
      </c>
      <c r="L118" s="103">
        <f t="shared" si="56"/>
        <v>-96.971999999999994</v>
      </c>
      <c r="M118" s="36">
        <f t="shared" si="56"/>
        <v>-109.25</v>
      </c>
      <c r="N118" s="36">
        <f t="shared" si="56"/>
        <v>-160.63499999999999</v>
      </c>
      <c r="O118" s="36">
        <f t="shared" si="56"/>
        <v>-171.03299999999999</v>
      </c>
      <c r="P118" s="36">
        <f t="shared" si="56"/>
        <v>-166.34</v>
      </c>
      <c r="Q118" s="36">
        <f t="shared" si="56"/>
        <v>-202.506</v>
      </c>
      <c r="R118" s="36">
        <f t="shared" si="56"/>
        <v>-337.54199999999997</v>
      </c>
      <c r="S118" s="36">
        <f t="shared" si="56"/>
        <v>-353.45800000000003</v>
      </c>
      <c r="T118" s="36">
        <f t="shared" si="56"/>
        <v>-351.97800000000001</v>
      </c>
      <c r="U118" s="36">
        <f t="shared" si="56"/>
        <v>-384.827</v>
      </c>
      <c r="V118" s="36" t="str">
        <f t="shared" si="56"/>
        <v>…</v>
      </c>
      <c r="W118" s="36" t="str">
        <f>IF(ISNUMBER(W463),W463,IF(ISNUMBER(W119),W119,IF(ISNUMBER(W464),W464,"…")))</f>
        <v>…</v>
      </c>
      <c r="X118" s="36" t="str">
        <f>IF(ISNUMBER(X463),X463,IF(ISNUMBER(X119),X119,IF(ISNUMBER(X464),X464,"…")))</f>
        <v>…</v>
      </c>
      <c r="Y118" s="36" t="str">
        <f>IF(ISNUMBER(Y463),Y463,IF(ISNUMBER(Y119),Y119,IF(ISNUMBER(Y464),Y464,"…")))</f>
        <v>…</v>
      </c>
      <c r="Z118" s="36"/>
      <c r="AA118" s="25"/>
      <c r="AD118" s="33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25"/>
      <c r="AZ118" s="5"/>
      <c r="BJ118" s="33"/>
      <c r="BK118" s="23"/>
      <c r="BL118" s="23"/>
      <c r="BM118" s="23"/>
      <c r="BN118" s="23"/>
      <c r="BO118" s="23"/>
      <c r="BP118" s="23"/>
      <c r="BQ118" s="23"/>
      <c r="BR118" s="33"/>
      <c r="BT118" s="33"/>
    </row>
    <row r="119" spans="1:72">
      <c r="B119" s="5" t="s">
        <v>1776</v>
      </c>
      <c r="C119" s="43" t="s">
        <v>154</v>
      </c>
      <c r="D119" s="105" t="s">
        <v>289</v>
      </c>
      <c r="E119" s="105" t="s">
        <v>289</v>
      </c>
      <c r="F119" s="105" t="s">
        <v>289</v>
      </c>
      <c r="G119" s="105" t="s">
        <v>289</v>
      </c>
      <c r="H119" s="105" t="s">
        <v>289</v>
      </c>
      <c r="I119" s="105" t="s">
        <v>289</v>
      </c>
      <c r="J119" s="105" t="s">
        <v>289</v>
      </c>
      <c r="K119" s="105" t="s">
        <v>289</v>
      </c>
      <c r="L119" s="105">
        <v>-96.971999999999994</v>
      </c>
      <c r="M119" s="99">
        <v>-109.25</v>
      </c>
      <c r="N119" s="99">
        <v>-160.63499999999999</v>
      </c>
      <c r="O119" s="99">
        <v>-171.03299999999999</v>
      </c>
      <c r="P119" s="99">
        <v>-166.34</v>
      </c>
      <c r="Q119" s="99">
        <v>-202.506</v>
      </c>
      <c r="R119" s="99">
        <v>-337.54199999999997</v>
      </c>
      <c r="S119" s="99">
        <v>-353.45800000000003</v>
      </c>
      <c r="T119" s="99">
        <v>-351.97800000000001</v>
      </c>
      <c r="U119" s="99">
        <v>-384.827</v>
      </c>
      <c r="V119" s="99" t="s">
        <v>289</v>
      </c>
      <c r="W119" s="99"/>
      <c r="X119" s="99"/>
      <c r="Y119" s="99"/>
      <c r="Z119" s="99"/>
      <c r="AA119" s="16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16"/>
      <c r="AZ119" s="5"/>
    </row>
    <row r="120" spans="1:72" s="33" customFormat="1" ht="13.15">
      <c r="A120" s="5"/>
      <c r="B120" s="5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20"/>
      <c r="AC120" s="20"/>
      <c r="AD120" s="24"/>
      <c r="AE120" s="5"/>
      <c r="AF120" s="5"/>
      <c r="AG120" s="9"/>
      <c r="AH120" s="5"/>
      <c r="AI120" s="5"/>
      <c r="AJ120" s="22"/>
      <c r="AK120" s="23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7"/>
      <c r="AZ120" s="24"/>
      <c r="BA120" s="5"/>
      <c r="BB120" s="5"/>
    </row>
    <row r="121" spans="1:72" ht="13.15" hidden="1" outlineLevel="1">
      <c r="C121" s="50" t="s">
        <v>1574</v>
      </c>
      <c r="D121" s="14" t="str">
        <f t="shared" ref="D121:Y121" si="57">IF(D11="yes",SUM(D122,D629,D630),"...")</f>
        <v>...</v>
      </c>
      <c r="E121" s="14" t="str">
        <f t="shared" si="57"/>
        <v>...</v>
      </c>
      <c r="F121" s="14" t="str">
        <f t="shared" si="57"/>
        <v>...</v>
      </c>
      <c r="G121" s="14" t="str">
        <f t="shared" si="57"/>
        <v>...</v>
      </c>
      <c r="H121" s="14" t="str">
        <f t="shared" si="57"/>
        <v>...</v>
      </c>
      <c r="I121" s="14" t="str">
        <f t="shared" si="57"/>
        <v>...</v>
      </c>
      <c r="J121" s="14" t="str">
        <f t="shared" si="57"/>
        <v>...</v>
      </c>
      <c r="K121" s="14" t="str">
        <f t="shared" si="57"/>
        <v>...</v>
      </c>
      <c r="L121" s="14" t="str">
        <f t="shared" si="57"/>
        <v>...</v>
      </c>
      <c r="M121" s="14">
        <f t="shared" si="57"/>
        <v>0</v>
      </c>
      <c r="N121" s="14">
        <f t="shared" si="57"/>
        <v>0</v>
      </c>
      <c r="O121" s="14">
        <f t="shared" si="57"/>
        <v>0</v>
      </c>
      <c r="P121" s="14">
        <f t="shared" si="57"/>
        <v>0</v>
      </c>
      <c r="Q121" s="14">
        <f t="shared" si="57"/>
        <v>0</v>
      </c>
      <c r="R121" s="14">
        <f t="shared" si="57"/>
        <v>0</v>
      </c>
      <c r="S121" s="14">
        <f t="shared" si="57"/>
        <v>0</v>
      </c>
      <c r="T121" s="14">
        <f t="shared" si="57"/>
        <v>0</v>
      </c>
      <c r="U121" s="14">
        <f t="shared" si="57"/>
        <v>0</v>
      </c>
      <c r="V121" s="14" t="str">
        <f t="shared" si="57"/>
        <v>...</v>
      </c>
      <c r="W121" s="14" t="str">
        <f t="shared" si="57"/>
        <v>...</v>
      </c>
      <c r="X121" s="14" t="str">
        <f t="shared" si="57"/>
        <v>...</v>
      </c>
      <c r="Y121" s="14" t="str">
        <f t="shared" si="57"/>
        <v>...</v>
      </c>
      <c r="Z121" s="14"/>
      <c r="AA121" s="14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14"/>
      <c r="AZ121" s="5"/>
    </row>
    <row r="122" spans="1:72" hidden="1" outlineLevel="1">
      <c r="A122" s="5" t="s">
        <v>1561</v>
      </c>
      <c r="B122" s="5" t="s">
        <v>1561</v>
      </c>
      <c r="C122" s="38" t="s">
        <v>1573</v>
      </c>
      <c r="D122" s="16" t="s">
        <v>289</v>
      </c>
      <c r="E122" s="16" t="s">
        <v>289</v>
      </c>
      <c r="F122" s="16" t="s">
        <v>289</v>
      </c>
      <c r="G122" s="16" t="s">
        <v>289</v>
      </c>
      <c r="H122" s="16" t="s">
        <v>289</v>
      </c>
      <c r="I122" s="16" t="s">
        <v>289</v>
      </c>
      <c r="J122" s="16" t="s">
        <v>289</v>
      </c>
      <c r="K122" s="16" t="s">
        <v>289</v>
      </c>
      <c r="L122" s="16" t="s">
        <v>289</v>
      </c>
      <c r="M122" s="16" t="s">
        <v>289</v>
      </c>
      <c r="N122" s="16" t="s">
        <v>289</v>
      </c>
      <c r="O122" s="16" t="s">
        <v>289</v>
      </c>
      <c r="P122" s="20" t="s">
        <v>289</v>
      </c>
      <c r="Q122" s="20" t="s">
        <v>289</v>
      </c>
      <c r="R122" s="20" t="s">
        <v>289</v>
      </c>
      <c r="S122" s="20" t="s">
        <v>289</v>
      </c>
      <c r="T122" s="20" t="s">
        <v>289</v>
      </c>
      <c r="U122" s="20" t="s">
        <v>289</v>
      </c>
      <c r="V122" s="20" t="s">
        <v>289</v>
      </c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Z122" s="5"/>
    </row>
    <row r="123" spans="1:72" s="33" customFormat="1" ht="13.15" collapsed="1">
      <c r="A123" s="5"/>
      <c r="B123" s="5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20"/>
      <c r="AC123" s="20"/>
      <c r="AD123" s="24"/>
      <c r="AE123" s="5"/>
      <c r="AF123" s="5"/>
      <c r="AG123" s="9"/>
      <c r="AH123" s="5"/>
      <c r="AI123" s="5"/>
      <c r="AJ123" s="22"/>
      <c r="AK123" s="23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7"/>
      <c r="AZ123" s="24"/>
      <c r="BA123" s="5"/>
      <c r="BB123" s="5"/>
    </row>
    <row r="124" spans="1:72" s="33" customFormat="1" ht="13.15">
      <c r="A124" s="5"/>
      <c r="B124" s="5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20"/>
      <c r="AC124" s="20"/>
      <c r="AD124" s="24"/>
      <c r="AE124" s="5"/>
      <c r="AF124" s="5"/>
      <c r="AG124" s="9"/>
      <c r="AH124" s="5"/>
      <c r="AI124" s="5"/>
      <c r="AJ124" s="22"/>
      <c r="AK124" s="23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7"/>
      <c r="AZ124" s="24"/>
      <c r="BA124" s="5"/>
      <c r="BB124" s="5"/>
    </row>
    <row r="125" spans="1:72" s="33" customFormat="1" ht="13.15">
      <c r="A125" s="5"/>
      <c r="B125" s="5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20"/>
      <c r="AC125" s="20"/>
      <c r="AD125" s="24"/>
      <c r="AE125" s="5"/>
      <c r="AF125" s="5"/>
      <c r="AG125" s="9"/>
      <c r="AH125" s="5"/>
      <c r="AI125" s="5"/>
      <c r="AJ125" s="22"/>
      <c r="AK125" s="23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7"/>
      <c r="AZ125" s="24"/>
      <c r="BA125" s="5"/>
      <c r="BB125" s="5"/>
    </row>
    <row r="126" spans="1:72" s="33" customFormat="1" ht="13.15">
      <c r="A126" s="5"/>
      <c r="B126" s="5"/>
      <c r="C126" s="38" t="s">
        <v>1560</v>
      </c>
      <c r="D126" s="58" t="str">
        <f t="shared" ref="D126:Y128" ca="1" si="58">IFERROR((D31-C31)*100,"…")</f>
        <v>…</v>
      </c>
      <c r="E126" s="58" t="str">
        <f t="shared" ca="1" si="58"/>
        <v>…</v>
      </c>
      <c r="F126" s="58" t="str">
        <f t="shared" ca="1" si="58"/>
        <v>…</v>
      </c>
      <c r="G126" s="58" t="str">
        <f t="shared" ca="1" si="58"/>
        <v>…</v>
      </c>
      <c r="H126" s="58" t="str">
        <f t="shared" ca="1" si="58"/>
        <v>…</v>
      </c>
      <c r="I126" s="58" t="str">
        <f t="shared" ca="1" si="58"/>
        <v>…</v>
      </c>
      <c r="J126" s="58" t="str">
        <f t="shared" ca="1" si="58"/>
        <v>…</v>
      </c>
      <c r="K126" s="58" t="str">
        <f t="shared" ca="1" si="58"/>
        <v>…</v>
      </c>
      <c r="L126" s="58" t="str">
        <f t="shared" ca="1" si="58"/>
        <v>…</v>
      </c>
      <c r="M126" s="58" t="str">
        <f t="shared" ca="1" si="58"/>
        <v>…</v>
      </c>
      <c r="N126" s="58">
        <f t="shared" si="58"/>
        <v>-2.5797671326295015</v>
      </c>
      <c r="O126" s="58">
        <f t="shared" si="58"/>
        <v>0.63488923677409992</v>
      </c>
      <c r="P126" s="58">
        <f t="shared" si="58"/>
        <v>1.9478750732085492</v>
      </c>
      <c r="Q126" s="58">
        <f t="shared" si="58"/>
        <v>3.1763520844201807</v>
      </c>
      <c r="R126" s="58">
        <f t="shared" si="58"/>
        <v>2.2901582130626599</v>
      </c>
      <c r="S126" s="58">
        <f t="shared" si="58"/>
        <v>1.0968430214321423</v>
      </c>
      <c r="T126" s="58">
        <f t="shared" si="58"/>
        <v>-0.67877707139327725</v>
      </c>
      <c r="U126" s="58">
        <f t="shared" si="58"/>
        <v>2.8297130668861028</v>
      </c>
      <c r="V126" s="58">
        <f t="shared" si="58"/>
        <v>-0.48632415332824364</v>
      </c>
      <c r="W126" s="58">
        <f t="shared" si="58"/>
        <v>1.9795105022529402</v>
      </c>
      <c r="X126" s="58">
        <f t="shared" si="58"/>
        <v>0.87088806428114451</v>
      </c>
      <c r="Y126" s="58">
        <f t="shared" si="58"/>
        <v>0.22788253408572157</v>
      </c>
      <c r="Z126" s="58"/>
      <c r="AA126" s="58"/>
      <c r="AB126" s="20"/>
      <c r="AC126" s="20"/>
      <c r="AD126" s="24"/>
      <c r="AE126" s="5"/>
      <c r="AF126" s="5"/>
      <c r="AG126" s="9"/>
      <c r="AH126" s="5"/>
      <c r="AI126" s="5"/>
      <c r="AJ126" s="22"/>
      <c r="AK126" s="23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106"/>
      <c r="AZ126" s="24"/>
      <c r="BA126" s="5"/>
      <c r="BB126" s="5"/>
    </row>
    <row r="127" spans="1:72" s="33" customFormat="1" ht="13.15">
      <c r="A127" s="5"/>
      <c r="B127" s="5"/>
      <c r="C127" s="38" t="s">
        <v>1557</v>
      </c>
      <c r="D127" s="58" t="str">
        <f t="shared" ca="1" si="58"/>
        <v>…</v>
      </c>
      <c r="E127" s="58" t="str">
        <f t="shared" ca="1" si="58"/>
        <v>…</v>
      </c>
      <c r="F127" s="58" t="str">
        <f t="shared" ca="1" si="58"/>
        <v>…</v>
      </c>
      <c r="G127" s="58" t="str">
        <f t="shared" ca="1" si="58"/>
        <v>…</v>
      </c>
      <c r="H127" s="58" t="str">
        <f t="shared" ca="1" si="58"/>
        <v>…</v>
      </c>
      <c r="I127" s="58" t="str">
        <f t="shared" ca="1" si="58"/>
        <v>…</v>
      </c>
      <c r="J127" s="58" t="str">
        <f t="shared" ca="1" si="58"/>
        <v>…</v>
      </c>
      <c r="K127" s="58" t="str">
        <f t="shared" ca="1" si="58"/>
        <v>…</v>
      </c>
      <c r="L127" s="58" t="str">
        <f t="shared" ca="1" si="58"/>
        <v>…</v>
      </c>
      <c r="M127" s="58" t="str">
        <f t="shared" ca="1" si="58"/>
        <v>…</v>
      </c>
      <c r="N127" s="58">
        <f t="shared" si="58"/>
        <v>-2.1296985810713736</v>
      </c>
      <c r="O127" s="58">
        <f t="shared" si="58"/>
        <v>-3.563757554210603</v>
      </c>
      <c r="P127" s="58">
        <f t="shared" si="58"/>
        <v>3.5969566458692315</v>
      </c>
      <c r="Q127" s="58">
        <f t="shared" si="58"/>
        <v>6.9552332681576452</v>
      </c>
      <c r="R127" s="58">
        <f t="shared" si="58"/>
        <v>1.9166486709897457</v>
      </c>
      <c r="S127" s="58">
        <f t="shared" si="58"/>
        <v>0.5849817697900217</v>
      </c>
      <c r="T127" s="58">
        <f t="shared" si="58"/>
        <v>-1.8934749922488725</v>
      </c>
      <c r="U127" s="58">
        <f t="shared" si="58"/>
        <v>3.741476986207565</v>
      </c>
      <c r="V127" s="58">
        <f t="shared" si="58"/>
        <v>-1.28807096049528</v>
      </c>
      <c r="W127" s="58">
        <f t="shared" ca="1" si="58"/>
        <v>2.0333986559845751</v>
      </c>
      <c r="X127" s="58">
        <f t="shared" ca="1" si="58"/>
        <v>0.78463281180043976</v>
      </c>
      <c r="Y127" s="58">
        <f t="shared" ca="1" si="58"/>
        <v>0.29100641334649513</v>
      </c>
      <c r="Z127" s="58"/>
      <c r="AA127" s="58"/>
      <c r="AB127" s="20"/>
      <c r="AC127" s="20"/>
      <c r="AD127" s="24"/>
      <c r="AE127" s="5"/>
      <c r="AF127" s="5"/>
      <c r="AG127" s="9"/>
      <c r="AH127" s="5"/>
      <c r="AI127" s="5"/>
      <c r="AJ127" s="22"/>
      <c r="AK127" s="23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106"/>
      <c r="AZ127" s="24"/>
      <c r="BA127" s="5"/>
      <c r="BB127" s="5"/>
    </row>
    <row r="128" spans="1:72" s="33" customFormat="1" ht="13.15">
      <c r="A128" s="5"/>
      <c r="B128" s="5"/>
      <c r="C128" s="38" t="s">
        <v>1558</v>
      </c>
      <c r="D128" s="58" t="str">
        <f t="shared" ca="1" si="58"/>
        <v>…</v>
      </c>
      <c r="E128" s="58" t="str">
        <f t="shared" ca="1" si="58"/>
        <v>…</v>
      </c>
      <c r="F128" s="58" t="str">
        <f t="shared" ca="1" si="58"/>
        <v>…</v>
      </c>
      <c r="G128" s="58" t="str">
        <f t="shared" ca="1" si="58"/>
        <v>…</v>
      </c>
      <c r="H128" s="58" t="str">
        <f t="shared" ca="1" si="58"/>
        <v>…</v>
      </c>
      <c r="I128" s="58" t="str">
        <f t="shared" ca="1" si="58"/>
        <v>…</v>
      </c>
      <c r="J128" s="58" t="str">
        <f t="shared" ca="1" si="58"/>
        <v>…</v>
      </c>
      <c r="K128" s="58" t="str">
        <f t="shared" ca="1" si="58"/>
        <v>…</v>
      </c>
      <c r="L128" s="58" t="str">
        <f t="shared" ca="1" si="58"/>
        <v>…</v>
      </c>
      <c r="M128" s="58" t="str">
        <f t="shared" ca="1" si="58"/>
        <v>…</v>
      </c>
      <c r="N128" s="58">
        <f t="shared" si="58"/>
        <v>-1.4686465309267067</v>
      </c>
      <c r="O128" s="58">
        <f t="shared" si="58"/>
        <v>1.469221492691325</v>
      </c>
      <c r="P128" s="58">
        <f t="shared" si="58"/>
        <v>3.5969566458692315</v>
      </c>
      <c r="Q128" s="58">
        <f t="shared" si="58"/>
        <v>3.5276066951403839</v>
      </c>
      <c r="R128" s="58">
        <f t="shared" si="58"/>
        <v>1.4739828463461835</v>
      </c>
      <c r="S128" s="58">
        <f t="shared" si="58"/>
        <v>0.19441383818903091</v>
      </c>
      <c r="T128" s="58">
        <f t="shared" si="58"/>
        <v>-3.663973044489949</v>
      </c>
      <c r="U128" s="58">
        <f t="shared" si="58"/>
        <v>4.4838632300377741</v>
      </c>
      <c r="V128" s="58">
        <f t="shared" si="58"/>
        <v>-0.97450972276350856</v>
      </c>
      <c r="W128" s="58">
        <f t="shared" si="58"/>
        <v>2.0896330299651962</v>
      </c>
      <c r="X128" s="58">
        <f t="shared" si="58"/>
        <v>0.6930943716885074</v>
      </c>
      <c r="Y128" s="58">
        <f t="shared" si="58"/>
        <v>0.93770740904764449</v>
      </c>
      <c r="Z128" s="58"/>
      <c r="AA128" s="58"/>
      <c r="AB128" s="20"/>
      <c r="AC128" s="20"/>
      <c r="AD128" s="24"/>
      <c r="AE128" s="5"/>
      <c r="AF128" s="5"/>
      <c r="AG128" s="9"/>
      <c r="AH128" s="5"/>
      <c r="AI128" s="5"/>
      <c r="AJ128" s="22"/>
      <c r="AK128" s="23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106"/>
      <c r="AZ128" s="24"/>
      <c r="BA128" s="5"/>
      <c r="BB128" s="5"/>
    </row>
    <row r="129" spans="1:54" s="33" customFormat="1" ht="13.15">
      <c r="A129" s="5"/>
      <c r="B129" s="5"/>
      <c r="C129" s="12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20"/>
      <c r="AC129" s="20"/>
      <c r="AD129" s="24"/>
      <c r="AE129" s="5"/>
      <c r="AF129" s="5"/>
      <c r="AG129" s="9"/>
      <c r="AH129" s="5"/>
      <c r="AI129" s="5"/>
      <c r="AJ129" s="22"/>
      <c r="AK129" s="23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7"/>
      <c r="AZ129" s="24"/>
      <c r="BA129" s="5"/>
      <c r="BB129" s="5"/>
    </row>
    <row r="130" spans="1:54" s="33" customFormat="1" ht="13.15">
      <c r="A130" s="5"/>
      <c r="B130" s="5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20"/>
      <c r="AC130" s="20"/>
      <c r="AD130" s="24"/>
      <c r="AE130" s="5"/>
      <c r="AF130" s="5"/>
      <c r="AG130" s="9"/>
      <c r="AH130" s="5"/>
      <c r="AI130" s="5"/>
      <c r="AJ130" s="22"/>
      <c r="AK130" s="23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7"/>
      <c r="AZ130" s="24"/>
      <c r="BA130" s="5"/>
      <c r="BB130" s="5"/>
    </row>
    <row r="131" spans="1:54" s="33" customFormat="1" ht="13.15">
      <c r="A131" s="5"/>
      <c r="B131" s="5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20"/>
      <c r="AC131" s="20"/>
      <c r="AD131" s="24"/>
      <c r="AE131" s="5"/>
      <c r="AF131" s="5"/>
      <c r="AG131" s="9"/>
      <c r="AH131" s="5"/>
      <c r="AI131" s="5"/>
      <c r="AJ131" s="22"/>
      <c r="AK131" s="23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7"/>
      <c r="AZ131" s="24"/>
      <c r="BA131" s="5"/>
      <c r="BB131" s="5"/>
    </row>
    <row r="132" spans="1:54" s="33" customFormat="1" ht="13.15">
      <c r="A132" s="5"/>
      <c r="B132" s="5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20"/>
      <c r="AC132" s="20"/>
      <c r="AD132" s="24"/>
      <c r="AE132" s="5"/>
      <c r="AF132" s="5"/>
      <c r="AG132" s="9"/>
      <c r="AH132" s="5"/>
      <c r="AI132" s="5"/>
      <c r="AJ132" s="22"/>
      <c r="AK132" s="23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7"/>
      <c r="AZ132" s="24"/>
      <c r="BA132" s="5"/>
      <c r="BB132" s="5"/>
    </row>
    <row r="133" spans="1:54" s="33" customFormat="1" ht="13.15">
      <c r="A133" s="5"/>
      <c r="B133" s="5"/>
      <c r="C133" s="12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20"/>
      <c r="AC133" s="20"/>
      <c r="AD133" s="24"/>
      <c r="AE133" s="5"/>
      <c r="AF133" s="5"/>
      <c r="AG133" s="9"/>
      <c r="AH133" s="5"/>
      <c r="AI133" s="5"/>
      <c r="AJ133" s="22"/>
      <c r="AK133" s="23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7"/>
      <c r="AZ133" s="24"/>
      <c r="BA133" s="5"/>
      <c r="BB133" s="5"/>
    </row>
    <row r="134" spans="1:54" s="33" customFormat="1" ht="13.15">
      <c r="A134" s="5"/>
      <c r="B134" s="5"/>
      <c r="C134" s="12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20"/>
      <c r="AC134" s="20"/>
      <c r="AD134" s="24"/>
      <c r="AE134" s="5"/>
      <c r="AF134" s="5"/>
      <c r="AG134" s="9"/>
      <c r="AH134" s="5"/>
      <c r="AI134" s="5"/>
      <c r="AJ134" s="22"/>
      <c r="AK134" s="23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7"/>
      <c r="AZ134" s="24"/>
      <c r="BA134" s="5"/>
      <c r="BB134" s="5"/>
    </row>
    <row r="135" spans="1:54" s="33" customFormat="1" ht="13.15">
      <c r="A135" s="5"/>
      <c r="B135" s="5"/>
      <c r="C135" s="12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20"/>
      <c r="AC135" s="20"/>
      <c r="AD135" s="24"/>
      <c r="AE135" s="5"/>
      <c r="AF135" s="5"/>
      <c r="AG135" s="9"/>
      <c r="AH135" s="5"/>
      <c r="AI135" s="5"/>
      <c r="AJ135" s="22"/>
      <c r="AK135" s="23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7"/>
      <c r="AZ135" s="24"/>
      <c r="BA135" s="5"/>
      <c r="BB135" s="5"/>
    </row>
    <row r="136" spans="1:54" s="33" customFormat="1">
      <c r="A136" s="5"/>
      <c r="C136" s="5" t="s">
        <v>315</v>
      </c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Y136" s="23"/>
    </row>
    <row r="137" spans="1:54">
      <c r="C137" s="5" t="s">
        <v>138</v>
      </c>
      <c r="D137" s="36" t="str">
        <f t="shared" ref="D137:J137" ca="1" si="59">IF(ISNUMBER(D138),D138,IF(ISNUMBER(D139),D139,IF(ISNUMBER(D144),D144,"…")))</f>
        <v>…</v>
      </c>
      <c r="E137" s="36" t="str">
        <f t="shared" ca="1" si="59"/>
        <v>…</v>
      </c>
      <c r="F137" s="36" t="str">
        <f t="shared" ca="1" si="59"/>
        <v>…</v>
      </c>
      <c r="G137" s="36" t="str">
        <f t="shared" ca="1" si="59"/>
        <v>…</v>
      </c>
      <c r="H137" s="36" t="str">
        <f t="shared" ca="1" si="59"/>
        <v>…</v>
      </c>
      <c r="I137" s="36" t="str">
        <f t="shared" ca="1" si="59"/>
        <v>…</v>
      </c>
      <c r="J137" s="36" t="str">
        <f t="shared" ca="1" si="59"/>
        <v>…</v>
      </c>
      <c r="K137" s="36" t="str">
        <f t="shared" ref="K137:Y137" ca="1" si="60">IF(ISNUMBER(K138),K138,IF(ISNUMBER(K139),K139,"…"))</f>
        <v>…</v>
      </c>
      <c r="L137" s="36" t="str">
        <f ca="1">IF(ISNUMBER(L138),L138,IF(ISNUMBER(L139),L139,"…"))</f>
        <v>…</v>
      </c>
      <c r="M137" s="36">
        <f>IF(ISNUMBER(M138),M138,IF(ISNUMBER(M139),M139,"…"))</f>
        <v>339.97094404501411</v>
      </c>
      <c r="N137" s="36">
        <f t="shared" si="60"/>
        <v>369.0813098220363</v>
      </c>
      <c r="O137" s="36">
        <f t="shared" si="60"/>
        <v>245.89413104414857</v>
      </c>
      <c r="P137" s="36">
        <f t="shared" si="60"/>
        <v>179.01092914653785</v>
      </c>
      <c r="Q137" s="36">
        <f t="shared" si="60"/>
        <v>164.06103745976003</v>
      </c>
      <c r="R137" s="36">
        <f t="shared" si="60"/>
        <v>190.63907309941521</v>
      </c>
      <c r="S137" s="36">
        <f t="shared" si="60"/>
        <v>179.90594131704728</v>
      </c>
      <c r="T137" s="36">
        <f t="shared" si="60"/>
        <v>191.70696676300577</v>
      </c>
      <c r="U137" s="36">
        <f t="shared" si="60"/>
        <v>183.54286935143995</v>
      </c>
      <c r="V137" s="36">
        <f t="shared" ca="1" si="60"/>
        <v>189.99631990305508</v>
      </c>
      <c r="W137" s="36">
        <f t="shared" ca="1" si="60"/>
        <v>196.44977045467022</v>
      </c>
      <c r="X137" s="36">
        <f t="shared" ca="1" si="60"/>
        <v>202.90322100628535</v>
      </c>
      <c r="Y137" s="36">
        <f t="shared" ca="1" si="60"/>
        <v>209.35667155790048</v>
      </c>
      <c r="Z137" s="36"/>
      <c r="AA137" s="36"/>
      <c r="AB137" s="5"/>
      <c r="AC137" s="5"/>
      <c r="AD137" s="27"/>
      <c r="AE137" s="27"/>
      <c r="AF137" s="30"/>
      <c r="AJ137" s="31"/>
      <c r="AY137" s="36"/>
      <c r="AZ137" s="27"/>
    </row>
    <row r="138" spans="1:54">
      <c r="C138" s="38" t="s">
        <v>349</v>
      </c>
      <c r="D138" s="36" t="str">
        <f t="shared" ref="D138:O138" ca="1" si="61">IF(D$8="A",(D242+D233)/D145*365,IF(D$8="L","…",IF(D$8="E","…","…")))</f>
        <v>…</v>
      </c>
      <c r="E138" s="36" t="str">
        <f t="shared" ca="1" si="61"/>
        <v>…</v>
      </c>
      <c r="F138" s="36" t="str">
        <f t="shared" ca="1" si="61"/>
        <v>…</v>
      </c>
      <c r="G138" s="36" t="str">
        <f t="shared" ca="1" si="61"/>
        <v>…</v>
      </c>
      <c r="H138" s="36" t="str">
        <f t="shared" ca="1" si="61"/>
        <v>…</v>
      </c>
      <c r="I138" s="36" t="str">
        <f t="shared" ca="1" si="61"/>
        <v>…</v>
      </c>
      <c r="J138" s="36" t="str">
        <f t="shared" ca="1" si="61"/>
        <v>…</v>
      </c>
      <c r="K138" s="36" t="str">
        <f t="shared" ca="1" si="61"/>
        <v>…</v>
      </c>
      <c r="L138" s="36" t="str">
        <f t="shared" ca="1" si="61"/>
        <v>…</v>
      </c>
      <c r="M138" s="36">
        <f t="shared" si="61"/>
        <v>339.97094404501411</v>
      </c>
      <c r="N138" s="36">
        <f t="shared" si="61"/>
        <v>369.0813098220363</v>
      </c>
      <c r="O138" s="36">
        <f t="shared" si="61"/>
        <v>245.89413104414857</v>
      </c>
      <c r="P138" s="36">
        <f t="shared" ref="P138:V138" si="62">IF(P$8="A",(P242+P233)/P147*365,IF(P$8="L","…",IF(P$8="E","…","…")))</f>
        <v>179.01092914653785</v>
      </c>
      <c r="Q138" s="36">
        <f t="shared" si="62"/>
        <v>164.06103745976003</v>
      </c>
      <c r="R138" s="36">
        <f t="shared" si="62"/>
        <v>190.63907309941521</v>
      </c>
      <c r="S138" s="36">
        <f t="shared" si="62"/>
        <v>179.90594131704728</v>
      </c>
      <c r="T138" s="36">
        <f t="shared" si="62"/>
        <v>191.70696676300577</v>
      </c>
      <c r="U138" s="36">
        <f t="shared" si="62"/>
        <v>183.54286935143995</v>
      </c>
      <c r="V138" s="36" t="str">
        <f t="shared" si="62"/>
        <v>…</v>
      </c>
      <c r="W138" s="36" t="str">
        <f>IF(W$8="A",(W242+W233)/W147*365,IF(W$8="L","…",IF(W$8="E","…","…")))</f>
        <v>…</v>
      </c>
      <c r="X138" s="36" t="str">
        <f>IF(X$8="A",(X242+X233)/X147*365,IF(X$8="L","…",IF(X$8="E","…","…")))</f>
        <v>…</v>
      </c>
      <c r="Y138" s="36" t="str">
        <f>IF(Y$8="A",(Y242+Y233)/Y147*365,IF(Y$8="L","…",IF(Y$8="E","…","…")))</f>
        <v>…</v>
      </c>
      <c r="Z138" s="36"/>
      <c r="AA138" s="36"/>
      <c r="AB138" s="5"/>
      <c r="AC138" s="5"/>
      <c r="AD138" s="27"/>
      <c r="AE138" s="27"/>
      <c r="AF138" s="30"/>
      <c r="AG138" s="5" t="s">
        <v>421</v>
      </c>
      <c r="AJ138" s="31"/>
      <c r="AY138" s="36"/>
      <c r="AZ138" s="27"/>
    </row>
    <row r="139" spans="1:54">
      <c r="C139" s="38" t="s">
        <v>350</v>
      </c>
      <c r="D139" s="36" t="str">
        <f t="shared" ref="D139:Y139" ca="1" si="63">IF(D$8="E",C137+$AE139,"…")</f>
        <v>…</v>
      </c>
      <c r="E139" s="36" t="str">
        <f t="shared" ca="1" si="63"/>
        <v>…</v>
      </c>
      <c r="F139" s="36" t="str">
        <f t="shared" ca="1" si="63"/>
        <v>…</v>
      </c>
      <c r="G139" s="36" t="str">
        <f t="shared" ca="1" si="63"/>
        <v>…</v>
      </c>
      <c r="H139" s="36" t="str">
        <f t="shared" ca="1" si="63"/>
        <v>…</v>
      </c>
      <c r="I139" s="36" t="str">
        <f t="shared" ca="1" si="63"/>
        <v>…</v>
      </c>
      <c r="J139" s="36" t="str">
        <f t="shared" ca="1" si="63"/>
        <v>…</v>
      </c>
      <c r="K139" s="36" t="str">
        <f t="shared" ca="1" si="63"/>
        <v>…</v>
      </c>
      <c r="L139" s="36" t="str">
        <f t="shared" ca="1" si="63"/>
        <v>…</v>
      </c>
      <c r="M139" s="36" t="str">
        <f t="shared" si="63"/>
        <v>…</v>
      </c>
      <c r="N139" s="36" t="str">
        <f t="shared" si="63"/>
        <v>…</v>
      </c>
      <c r="O139" s="36" t="str">
        <f t="shared" si="63"/>
        <v>…</v>
      </c>
      <c r="P139" s="55" t="str">
        <f t="shared" si="63"/>
        <v>…</v>
      </c>
      <c r="Q139" s="55" t="str">
        <f t="shared" si="63"/>
        <v>…</v>
      </c>
      <c r="R139" s="55" t="str">
        <f t="shared" si="63"/>
        <v>…</v>
      </c>
      <c r="S139" s="55" t="str">
        <f t="shared" si="63"/>
        <v>…</v>
      </c>
      <c r="T139" s="55" t="str">
        <f t="shared" si="63"/>
        <v>…</v>
      </c>
      <c r="U139" s="55" t="str">
        <f t="shared" si="63"/>
        <v>…</v>
      </c>
      <c r="V139" s="55">
        <f t="shared" ca="1" si="63"/>
        <v>189.99631990305508</v>
      </c>
      <c r="W139" s="55">
        <f t="shared" ca="1" si="63"/>
        <v>196.44977045467022</v>
      </c>
      <c r="X139" s="55">
        <f t="shared" ca="1" si="63"/>
        <v>202.90322100628535</v>
      </c>
      <c r="Y139" s="55">
        <f t="shared" ca="1" si="63"/>
        <v>209.35667155790048</v>
      </c>
      <c r="Z139" s="55"/>
      <c r="AA139" s="55"/>
      <c r="AB139" s="5"/>
      <c r="AC139" s="5"/>
      <c r="AD139" s="27">
        <f ca="1">(SUMIF(L15:AA15,"A",L137:AA137)-_xlfn.MAXIFS(L137:AA137,L15:AA15,"A")-_xlfn.MINIFS(L137:AA137,L15:AA15,"A"))/(COUNTIF(L15:AA15,"A")-2)</f>
        <v>215.81012210951556</v>
      </c>
      <c r="AE139" s="75">
        <f ca="1">(AD139-U138)/5</f>
        <v>6.4534505516151226</v>
      </c>
      <c r="AF139" s="30"/>
      <c r="AG139" s="5">
        <f ca="1">(SUMIFS($C138:Q138,C$8:Q$8,"A")-MAX($A138:Q138)-MIN($A138:Q138))/(COUNTIFS($C$8:Q9,"A")-2)</f>
        <v>254.95866807856692</v>
      </c>
      <c r="AJ139" s="31"/>
      <c r="AY139" s="55"/>
      <c r="AZ139" s="27"/>
    </row>
    <row r="140" spans="1:54">
      <c r="C140" s="5" t="s">
        <v>139</v>
      </c>
      <c r="D140" s="36" t="str">
        <f t="shared" ref="D140:Y140" ca="1" si="64">IF(ISNUMBER(D141),D141,IF(ISNUMBER(D142),D142,"…"))</f>
        <v>…</v>
      </c>
      <c r="E140" s="36" t="str">
        <f t="shared" ca="1" si="64"/>
        <v>…</v>
      </c>
      <c r="F140" s="36" t="str">
        <f t="shared" ca="1" si="64"/>
        <v>…</v>
      </c>
      <c r="G140" s="36" t="str">
        <f t="shared" ca="1" si="64"/>
        <v>…</v>
      </c>
      <c r="H140" s="36" t="str">
        <f t="shared" ca="1" si="64"/>
        <v>…</v>
      </c>
      <c r="I140" s="36" t="str">
        <f t="shared" ca="1" si="64"/>
        <v>…</v>
      </c>
      <c r="J140" s="36" t="str">
        <f t="shared" ca="1" si="64"/>
        <v>…</v>
      </c>
      <c r="K140" s="36" t="str">
        <f t="shared" ca="1" si="64"/>
        <v>…</v>
      </c>
      <c r="L140" s="36" t="str">
        <f t="shared" ca="1" si="64"/>
        <v>…</v>
      </c>
      <c r="M140" s="36">
        <f t="shared" si="64"/>
        <v>92.894967177242876</v>
      </c>
      <c r="N140" s="36">
        <f t="shared" si="64"/>
        <v>99.009665648213854</v>
      </c>
      <c r="O140" s="36">
        <f t="shared" si="64"/>
        <v>94.135597407147856</v>
      </c>
      <c r="P140" s="36">
        <f t="shared" si="64"/>
        <v>81.830648953301136</v>
      </c>
      <c r="Q140" s="36">
        <f t="shared" si="64"/>
        <v>68.162067603160651</v>
      </c>
      <c r="R140" s="36">
        <f t="shared" si="64"/>
        <v>71.796994152046778</v>
      </c>
      <c r="S140" s="36">
        <f t="shared" si="64"/>
        <v>71.084476898566123</v>
      </c>
      <c r="T140" s="36">
        <f t="shared" si="64"/>
        <v>77.202985549132947</v>
      </c>
      <c r="U140" s="36">
        <f t="shared" si="64"/>
        <v>80.953085928354028</v>
      </c>
      <c r="V140" s="36">
        <f t="shared" ca="1" si="64"/>
        <v>81.045290344562986</v>
      </c>
      <c r="W140" s="36">
        <f t="shared" ca="1" si="64"/>
        <v>81.137494760771943</v>
      </c>
      <c r="X140" s="36">
        <f t="shared" ca="1" si="64"/>
        <v>81.229699176980901</v>
      </c>
      <c r="Y140" s="36">
        <f t="shared" ca="1" si="64"/>
        <v>81.321903593189859</v>
      </c>
      <c r="Z140" s="36"/>
      <c r="AA140" s="36"/>
      <c r="AB140" s="5"/>
      <c r="AC140" s="5"/>
      <c r="AD140" s="27"/>
      <c r="AE140" s="27"/>
      <c r="AF140" s="30"/>
      <c r="AJ140" s="31"/>
      <c r="AY140" s="36"/>
      <c r="AZ140" s="27"/>
    </row>
    <row r="141" spans="1:54">
      <c r="C141" s="38" t="s">
        <v>351</v>
      </c>
      <c r="D141" s="36" t="str">
        <f t="shared" ref="D141:T141" ca="1" si="65">IF(D$8="A",(D229)/D147*365,IF(D$8="L","…",IF(D$8="E",".","…")))</f>
        <v>…</v>
      </c>
      <c r="E141" s="36" t="str">
        <f t="shared" ca="1" si="65"/>
        <v>…</v>
      </c>
      <c r="F141" s="36" t="str">
        <f t="shared" ca="1" si="65"/>
        <v>…</v>
      </c>
      <c r="G141" s="36" t="str">
        <f t="shared" ca="1" si="65"/>
        <v>…</v>
      </c>
      <c r="H141" s="36" t="str">
        <f t="shared" ca="1" si="65"/>
        <v>…</v>
      </c>
      <c r="I141" s="36" t="str">
        <f t="shared" ca="1" si="65"/>
        <v>…</v>
      </c>
      <c r="J141" s="36" t="str">
        <f t="shared" ca="1" si="65"/>
        <v>…</v>
      </c>
      <c r="K141" s="36" t="str">
        <f t="shared" ca="1" si="65"/>
        <v>…</v>
      </c>
      <c r="L141" s="36" t="str">
        <f t="shared" ca="1" si="65"/>
        <v>…</v>
      </c>
      <c r="M141" s="55">
        <f t="shared" si="65"/>
        <v>92.894967177242876</v>
      </c>
      <c r="N141" s="55">
        <f t="shared" si="65"/>
        <v>99.009665648213854</v>
      </c>
      <c r="O141" s="55">
        <f t="shared" si="65"/>
        <v>94.135597407147856</v>
      </c>
      <c r="P141" s="55">
        <f t="shared" si="65"/>
        <v>81.830648953301136</v>
      </c>
      <c r="Q141" s="55">
        <f t="shared" si="65"/>
        <v>68.162067603160651</v>
      </c>
      <c r="R141" s="55">
        <f t="shared" si="65"/>
        <v>71.796994152046778</v>
      </c>
      <c r="S141" s="55">
        <f t="shared" si="65"/>
        <v>71.084476898566123</v>
      </c>
      <c r="T141" s="55">
        <f t="shared" si="65"/>
        <v>77.202985549132947</v>
      </c>
      <c r="U141" s="55">
        <f>IF(U$8="A",(U229)/U147*365,IF(U$8="L","…",IF(U$8="E",".","…")))</f>
        <v>80.953085928354028</v>
      </c>
      <c r="V141" s="55" t="str">
        <f>IF(V$8="A",(V229)/V147*365,IF(V$8="L","…",IF(V$8="E",".","…")))</f>
        <v>.</v>
      </c>
      <c r="W141" s="55" t="str">
        <f>IF(W$8="A",(W229)/W147*365,IF(W$8="L","…",IF(W$8="E",".","…")))</f>
        <v>.</v>
      </c>
      <c r="X141" s="55" t="str">
        <f>IF(X$8="A",(X229)/X147*365,IF(X$8="L","…",IF(X$8="E",".","…")))</f>
        <v>.</v>
      </c>
      <c r="Y141" s="55" t="str">
        <f>IF(Y$8="A",(Y229)/Y147*365,IF(Y$8="L","…",IF(Y$8="E",".","…")))</f>
        <v>.</v>
      </c>
      <c r="Z141" s="55"/>
      <c r="AA141" s="55"/>
      <c r="AB141" s="31"/>
      <c r="AC141" s="31"/>
      <c r="AE141" s="30"/>
      <c r="AF141" s="30"/>
      <c r="AG141" s="5" t="s">
        <v>421</v>
      </c>
      <c r="AJ141" s="31"/>
      <c r="AY141" s="55"/>
      <c r="AZ141" s="27"/>
    </row>
    <row r="142" spans="1:54">
      <c r="C142" s="38" t="s">
        <v>352</v>
      </c>
      <c r="D142" s="36" t="str">
        <f t="shared" ref="D142:Y142" ca="1" si="66">IF(D$8="E",C140+$AE142,"…")</f>
        <v>…</v>
      </c>
      <c r="E142" s="36" t="str">
        <f t="shared" ca="1" si="66"/>
        <v>…</v>
      </c>
      <c r="F142" s="36" t="str">
        <f t="shared" ca="1" si="66"/>
        <v>…</v>
      </c>
      <c r="G142" s="36" t="str">
        <f t="shared" ca="1" si="66"/>
        <v>…</v>
      </c>
      <c r="H142" s="36" t="str">
        <f t="shared" ca="1" si="66"/>
        <v>…</v>
      </c>
      <c r="I142" s="36" t="str">
        <f t="shared" ca="1" si="66"/>
        <v>…</v>
      </c>
      <c r="J142" s="36" t="str">
        <f t="shared" ca="1" si="66"/>
        <v>…</v>
      </c>
      <c r="K142" s="55" t="str">
        <f t="shared" ca="1" si="66"/>
        <v>…</v>
      </c>
      <c r="L142" s="55" t="str">
        <f t="shared" ca="1" si="66"/>
        <v>…</v>
      </c>
      <c r="M142" s="55" t="str">
        <f t="shared" si="66"/>
        <v>…</v>
      </c>
      <c r="N142" s="55" t="str">
        <f t="shared" si="66"/>
        <v>…</v>
      </c>
      <c r="O142" s="55" t="str">
        <f t="shared" si="66"/>
        <v>…</v>
      </c>
      <c r="P142" s="55" t="str">
        <f t="shared" si="66"/>
        <v>…</v>
      </c>
      <c r="Q142" s="55" t="str">
        <f t="shared" si="66"/>
        <v>…</v>
      </c>
      <c r="R142" s="55" t="str">
        <f t="shared" si="66"/>
        <v>…</v>
      </c>
      <c r="S142" s="55" t="str">
        <f t="shared" si="66"/>
        <v>…</v>
      </c>
      <c r="T142" s="55" t="str">
        <f t="shared" si="66"/>
        <v>…</v>
      </c>
      <c r="U142" s="55" t="str">
        <f t="shared" si="66"/>
        <v>…</v>
      </c>
      <c r="V142" s="55">
        <f t="shared" ca="1" si="66"/>
        <v>81.045290344562986</v>
      </c>
      <c r="W142" s="55">
        <f t="shared" ca="1" si="66"/>
        <v>81.137494760771943</v>
      </c>
      <c r="X142" s="55">
        <f t="shared" ca="1" si="66"/>
        <v>81.229699176980901</v>
      </c>
      <c r="Y142" s="55">
        <f t="shared" ca="1" si="66"/>
        <v>81.321903593189859</v>
      </c>
      <c r="Z142" s="55"/>
      <c r="AA142" s="55"/>
      <c r="AB142" s="31"/>
      <c r="AC142" s="31"/>
      <c r="AD142" s="27">
        <f ca="1">(SUMIF(L15:AA15,"A",L140:AA140)-_xlfn.MAXIFS(L140:AA140,L15:AA15,"A")-_xlfn.MINIFS(L140:AA140,L15:AA15,"A"))/(COUNTIF(L15:AA15,"A")-2)</f>
        <v>81.414108009398817</v>
      </c>
      <c r="AE142" s="75">
        <f ca="1">(AD142-U141)/5</f>
        <v>9.2204416208957696E-2</v>
      </c>
      <c r="AF142" s="30"/>
      <c r="AG142" s="5">
        <f ca="1">(SUMIFS($C141:O141,C$8:O$8,"A")-MAX($A141:O141)-MIN($A141:O141))/(COUNTIFS($C$8:O8,"A")-2)</f>
        <v>94.135597407147856</v>
      </c>
      <c r="AJ142" s="31"/>
      <c r="AY142" s="55"/>
      <c r="AZ142" s="27"/>
    </row>
    <row r="143" spans="1:54">
      <c r="C143" s="38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31"/>
      <c r="AC143" s="31"/>
      <c r="AE143" s="30"/>
      <c r="AF143" s="30"/>
      <c r="AJ143" s="31"/>
      <c r="AY143" s="5"/>
      <c r="AZ143" s="27"/>
    </row>
    <row r="144" spans="1:54"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31"/>
      <c r="AC144" s="31"/>
      <c r="AE144" s="30"/>
      <c r="AF144" s="30"/>
      <c r="AJ144" s="31"/>
      <c r="AY144" s="25"/>
      <c r="AZ144" s="27"/>
    </row>
    <row r="145" spans="1:54" ht="13.15">
      <c r="C145" s="89" t="s">
        <v>340</v>
      </c>
      <c r="D145" s="90" t="str">
        <f t="shared" ref="D145:Y145" ca="1" si="67">D147</f>
        <v>…</v>
      </c>
      <c r="E145" s="90" t="str">
        <f t="shared" ca="1" si="67"/>
        <v>…</v>
      </c>
      <c r="F145" s="90" t="str">
        <f t="shared" ca="1" si="67"/>
        <v>…</v>
      </c>
      <c r="G145" s="90" t="str">
        <f t="shared" ca="1" si="67"/>
        <v>…</v>
      </c>
      <c r="H145" s="90" t="str">
        <f t="shared" ca="1" si="67"/>
        <v>…</v>
      </c>
      <c r="I145" s="90" t="str">
        <f t="shared" ca="1" si="67"/>
        <v>…</v>
      </c>
      <c r="J145" s="90" t="str">
        <f t="shared" ca="1" si="67"/>
        <v>…</v>
      </c>
      <c r="K145" s="90" t="str">
        <f t="shared" ca="1" si="67"/>
        <v>…</v>
      </c>
      <c r="L145" s="90" t="str">
        <f t="shared" ca="1" si="67"/>
        <v>…</v>
      </c>
      <c r="M145" s="90">
        <f t="shared" si="67"/>
        <v>2335.27</v>
      </c>
      <c r="N145" s="90">
        <f t="shared" si="67"/>
        <v>2762.36</v>
      </c>
      <c r="O145" s="90">
        <f t="shared" si="67"/>
        <v>2854</v>
      </c>
      <c r="P145" s="90">
        <f t="shared" si="67"/>
        <v>3105</v>
      </c>
      <c r="Q145" s="90">
        <f t="shared" si="67"/>
        <v>3417</v>
      </c>
      <c r="R145" s="90">
        <f t="shared" si="67"/>
        <v>3420</v>
      </c>
      <c r="S145" s="90">
        <f t="shared" si="67"/>
        <v>3766</v>
      </c>
      <c r="T145" s="90">
        <f t="shared" si="67"/>
        <v>3460</v>
      </c>
      <c r="U145" s="90">
        <f t="shared" si="67"/>
        <v>4271</v>
      </c>
      <c r="V145" s="90">
        <f t="shared" si="67"/>
        <v>4885.7079999999996</v>
      </c>
      <c r="W145" s="90">
        <f t="shared" si="67"/>
        <v>5447.375</v>
      </c>
      <c r="X145" s="90">
        <f t="shared" si="67"/>
        <v>5873.7889999999998</v>
      </c>
      <c r="Y145" s="90">
        <f t="shared" si="67"/>
        <v>6332.1109999999999</v>
      </c>
      <c r="Z145" s="90"/>
      <c r="AA145" s="90"/>
      <c r="AB145" s="31"/>
      <c r="AC145" s="31"/>
      <c r="AE145" s="30"/>
      <c r="AF145" s="30"/>
      <c r="AJ145" s="31"/>
      <c r="AY145" s="90"/>
      <c r="AZ145" s="27"/>
    </row>
    <row r="146" spans="1:54" hidden="1" outlineLevel="1">
      <c r="C146" s="41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1"/>
      <c r="AC146" s="31"/>
      <c r="AE146" s="30"/>
      <c r="AF146" s="30"/>
      <c r="AJ146" s="31"/>
      <c r="AY146" s="36"/>
      <c r="AZ146" s="27"/>
    </row>
    <row r="147" spans="1:54" hidden="1" outlineLevel="1">
      <c r="C147" s="41" t="s">
        <v>345</v>
      </c>
      <c r="D147" s="25" t="str">
        <f t="shared" ref="D147:Y147" ca="1" si="68">IF(ISNUMBER(D148),D148,IF(ISNUMBER(D149),D149,"…"))</f>
        <v>…</v>
      </c>
      <c r="E147" s="25" t="str">
        <f t="shared" ca="1" si="68"/>
        <v>…</v>
      </c>
      <c r="F147" s="25" t="str">
        <f t="shared" ca="1" si="68"/>
        <v>…</v>
      </c>
      <c r="G147" s="25" t="str">
        <f t="shared" ca="1" si="68"/>
        <v>…</v>
      </c>
      <c r="H147" s="25" t="str">
        <f t="shared" ca="1" si="68"/>
        <v>…</v>
      </c>
      <c r="I147" s="25" t="str">
        <f t="shared" ca="1" si="68"/>
        <v>…</v>
      </c>
      <c r="J147" s="25" t="str">
        <f t="shared" ca="1" si="68"/>
        <v>…</v>
      </c>
      <c r="K147" s="25" t="str">
        <f t="shared" ca="1" si="68"/>
        <v>…</v>
      </c>
      <c r="L147" s="25" t="str">
        <f t="shared" ca="1" si="68"/>
        <v>…</v>
      </c>
      <c r="M147" s="25">
        <f t="shared" si="68"/>
        <v>2335.27</v>
      </c>
      <c r="N147" s="36">
        <f t="shared" si="68"/>
        <v>2762.36</v>
      </c>
      <c r="O147" s="36">
        <f t="shared" si="68"/>
        <v>2854</v>
      </c>
      <c r="P147" s="36">
        <f t="shared" si="68"/>
        <v>3105</v>
      </c>
      <c r="Q147" s="36">
        <f t="shared" si="68"/>
        <v>3417</v>
      </c>
      <c r="R147" s="36">
        <f t="shared" si="68"/>
        <v>3420</v>
      </c>
      <c r="S147" s="36">
        <f t="shared" si="68"/>
        <v>3766</v>
      </c>
      <c r="T147" s="36">
        <f t="shared" si="68"/>
        <v>3460</v>
      </c>
      <c r="U147" s="25">
        <f t="shared" si="68"/>
        <v>4271</v>
      </c>
      <c r="V147" s="25">
        <f t="shared" si="68"/>
        <v>4885.7079999999996</v>
      </c>
      <c r="W147" s="25">
        <f t="shared" si="68"/>
        <v>5447.375</v>
      </c>
      <c r="X147" s="25">
        <f t="shared" si="68"/>
        <v>5873.7889999999998</v>
      </c>
      <c r="Y147" s="25">
        <f t="shared" si="68"/>
        <v>6332.1109999999999</v>
      </c>
      <c r="Z147" s="25"/>
      <c r="AA147" s="2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25"/>
      <c r="AZ147" s="5"/>
    </row>
    <row r="148" spans="1:54" s="23" customFormat="1" hidden="1" outlineLevel="1">
      <c r="A148" s="5"/>
      <c r="B148" s="5"/>
      <c r="C148" s="43" t="s">
        <v>299</v>
      </c>
      <c r="D148" s="25" t="str">
        <f t="shared" ref="D148:T148" ca="1" si="69">IF(D$8="A",D315,IF(D$8="L","…","…"))</f>
        <v>…</v>
      </c>
      <c r="E148" s="25" t="str">
        <f t="shared" ca="1" si="69"/>
        <v>…</v>
      </c>
      <c r="F148" s="25" t="str">
        <f t="shared" ca="1" si="69"/>
        <v>…</v>
      </c>
      <c r="G148" s="25" t="str">
        <f t="shared" ca="1" si="69"/>
        <v>…</v>
      </c>
      <c r="H148" s="25" t="str">
        <f t="shared" ca="1" si="69"/>
        <v>…</v>
      </c>
      <c r="I148" s="25" t="str">
        <f t="shared" ca="1" si="69"/>
        <v>…</v>
      </c>
      <c r="J148" s="25" t="str">
        <f t="shared" ca="1" si="69"/>
        <v>…</v>
      </c>
      <c r="K148" s="25" t="str">
        <f t="shared" ca="1" si="69"/>
        <v>…</v>
      </c>
      <c r="L148" s="25" t="str">
        <f t="shared" ca="1" si="69"/>
        <v>…</v>
      </c>
      <c r="M148" s="25">
        <f t="shared" si="69"/>
        <v>2335.27</v>
      </c>
      <c r="N148" s="36">
        <f t="shared" si="69"/>
        <v>2762.36</v>
      </c>
      <c r="O148" s="36">
        <f t="shared" si="69"/>
        <v>2854</v>
      </c>
      <c r="P148" s="36">
        <f t="shared" si="69"/>
        <v>3105</v>
      </c>
      <c r="Q148" s="36">
        <f t="shared" si="69"/>
        <v>3417</v>
      </c>
      <c r="R148" s="36">
        <f t="shared" si="69"/>
        <v>3420</v>
      </c>
      <c r="S148" s="36">
        <f t="shared" si="69"/>
        <v>3766</v>
      </c>
      <c r="T148" s="36">
        <f t="shared" si="69"/>
        <v>3460</v>
      </c>
      <c r="U148" s="25">
        <f>IF(U$8="A",U315,IF(U$8="L","…","…"))</f>
        <v>4271</v>
      </c>
      <c r="V148" s="25" t="str">
        <f>IF(V$8="A",V315,IF(V$8="L","…","…"))</f>
        <v>…</v>
      </c>
      <c r="W148" s="25" t="str">
        <f>IF(W$8="A",W315,IF(W$8="L","…","…"))</f>
        <v>…</v>
      </c>
      <c r="X148" s="25" t="str">
        <f>IF(X$8="A",X315,IF(X$8="L","…","…"))</f>
        <v>…</v>
      </c>
      <c r="Y148" s="25" t="str">
        <f>IF(Y$8="A",Y315,IF(Y$8="L","…","…"))</f>
        <v>…</v>
      </c>
      <c r="Z148" s="25"/>
      <c r="AA148" s="25"/>
      <c r="AB148" s="20"/>
      <c r="AC148" s="20"/>
      <c r="AD148" s="5"/>
      <c r="AE148" s="5"/>
      <c r="AF148" s="5"/>
      <c r="AG148" s="5"/>
      <c r="AI148" s="5"/>
      <c r="AJ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5"/>
      <c r="AZ148" s="24"/>
      <c r="BA148" s="5"/>
      <c r="BB148" s="5"/>
    </row>
    <row r="149" spans="1:54" s="23" customFormat="1" hidden="1" outlineLevel="1">
      <c r="A149" s="5"/>
      <c r="B149" s="5"/>
      <c r="C149" s="43" t="s">
        <v>346</v>
      </c>
      <c r="D149" s="25"/>
      <c r="E149" s="25"/>
      <c r="F149" s="25"/>
      <c r="G149" s="25"/>
      <c r="H149" s="25"/>
      <c r="I149" s="60"/>
      <c r="J149" s="60"/>
      <c r="K149" s="60"/>
      <c r="L149" s="60"/>
      <c r="M149" s="60"/>
      <c r="N149" s="60" t="str">
        <f t="shared" ref="N149:Y149" si="70">IFERROR(1/(1/AL19),"…")</f>
        <v>…</v>
      </c>
      <c r="O149" s="94" t="str">
        <f t="shared" si="70"/>
        <v>…</v>
      </c>
      <c r="P149" s="94" t="str">
        <f t="shared" si="70"/>
        <v>…</v>
      </c>
      <c r="Q149" s="94" t="str">
        <f t="shared" si="70"/>
        <v>…</v>
      </c>
      <c r="R149" s="94" t="str">
        <f t="shared" si="70"/>
        <v>…</v>
      </c>
      <c r="S149" s="94">
        <f t="shared" si="70"/>
        <v>3748.4710000000005</v>
      </c>
      <c r="T149" s="94">
        <f t="shared" si="70"/>
        <v>3446.85</v>
      </c>
      <c r="U149" s="94">
        <f t="shared" si="70"/>
        <v>4278.7370000000001</v>
      </c>
      <c r="V149" s="94">
        <f t="shared" si="70"/>
        <v>4885.7079999999996</v>
      </c>
      <c r="W149" s="94">
        <f t="shared" si="70"/>
        <v>5447.375</v>
      </c>
      <c r="X149" s="94">
        <f t="shared" si="70"/>
        <v>5873.7889999999998</v>
      </c>
      <c r="Y149" s="94">
        <f t="shared" si="70"/>
        <v>6332.1109999999999</v>
      </c>
      <c r="Z149" s="94"/>
      <c r="AA149" s="60"/>
      <c r="AB149" s="20"/>
      <c r="AC149" s="20"/>
      <c r="AD149" s="5"/>
      <c r="AE149" s="5"/>
      <c r="AF149" s="5"/>
      <c r="AG149" s="5"/>
      <c r="AI149" s="5"/>
      <c r="AJ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60"/>
      <c r="AZ149" s="24"/>
      <c r="BA149" s="5"/>
      <c r="BB149" s="5"/>
    </row>
    <row r="150" spans="1:54" s="23" customFormat="1" hidden="1" outlineLevel="1">
      <c r="A150" s="5"/>
      <c r="B150" s="5"/>
      <c r="C150" s="43"/>
      <c r="D150" s="25"/>
      <c r="E150" s="25"/>
      <c r="F150" s="25"/>
      <c r="G150" s="25"/>
      <c r="H150" s="25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20"/>
      <c r="AC150" s="20"/>
      <c r="AD150" s="5"/>
      <c r="AE150" s="5"/>
      <c r="AF150" s="5"/>
      <c r="AG150" s="5"/>
      <c r="AI150" s="5"/>
      <c r="AJ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60"/>
      <c r="AZ150" s="24"/>
      <c r="BA150" s="5"/>
      <c r="BB150" s="5"/>
    </row>
    <row r="151" spans="1:54" ht="13.15" collapsed="1">
      <c r="C151" s="89" t="str">
        <f t="shared" ref="C151:Y151" si="71">C153</f>
        <v>EBITDA</v>
      </c>
      <c r="D151" s="90" t="str">
        <f t="shared" ca="1" si="71"/>
        <v>…</v>
      </c>
      <c r="E151" s="90" t="str">
        <f t="shared" ca="1" si="71"/>
        <v>…</v>
      </c>
      <c r="F151" s="90" t="str">
        <f t="shared" ca="1" si="71"/>
        <v>…</v>
      </c>
      <c r="G151" s="90" t="str">
        <f t="shared" ca="1" si="71"/>
        <v>…</v>
      </c>
      <c r="H151" s="90" t="str">
        <f t="shared" ca="1" si="71"/>
        <v>…</v>
      </c>
      <c r="I151" s="90" t="str">
        <f t="shared" ca="1" si="71"/>
        <v>…</v>
      </c>
      <c r="J151" s="90" t="str">
        <f t="shared" ca="1" si="71"/>
        <v>…</v>
      </c>
      <c r="K151" s="90" t="str">
        <f t="shared" ca="1" si="71"/>
        <v>…</v>
      </c>
      <c r="L151" s="90">
        <f t="shared" ca="1" si="71"/>
        <v>573.03700000000003</v>
      </c>
      <c r="M151" s="90">
        <f t="shared" si="71"/>
        <v>633.79899999999998</v>
      </c>
      <c r="N151" s="90">
        <f t="shared" si="71"/>
        <v>678.45</v>
      </c>
      <c r="O151" s="90">
        <f t="shared" si="71"/>
        <v>719.077</v>
      </c>
      <c r="P151" s="90">
        <f t="shared" si="71"/>
        <v>842.79899999999998</v>
      </c>
      <c r="Q151" s="90">
        <f t="shared" si="71"/>
        <v>1036.0219999999999</v>
      </c>
      <c r="R151" s="90">
        <f t="shared" si="71"/>
        <v>1115.2550000000001</v>
      </c>
      <c r="S151" s="90">
        <f t="shared" si="71"/>
        <v>1269.3920000000001</v>
      </c>
      <c r="T151" s="90">
        <f t="shared" si="71"/>
        <v>1142.7639999999999</v>
      </c>
      <c r="U151" s="90">
        <f t="shared" si="71"/>
        <v>1531.4770000000001</v>
      </c>
      <c r="V151" s="90">
        <f t="shared" si="71"/>
        <v>1728.1359999999997</v>
      </c>
      <c r="W151" s="90">
        <f t="shared" si="71"/>
        <v>2034.636</v>
      </c>
      <c r="X151" s="90">
        <f t="shared" si="71"/>
        <v>2245.0590000000002</v>
      </c>
      <c r="Y151" s="90">
        <f t="shared" si="71"/>
        <v>2434.6669999999999</v>
      </c>
      <c r="Z151" s="90"/>
      <c r="AA151" s="90"/>
      <c r="AB151" s="31"/>
      <c r="AC151" s="31"/>
      <c r="AE151" s="30"/>
      <c r="AF151" s="30"/>
      <c r="AJ151" s="31"/>
      <c r="AY151" s="90"/>
      <c r="AZ151" s="27"/>
    </row>
    <row r="152" spans="1:54" s="23" customFormat="1" hidden="1" outlineLevel="1">
      <c r="A152" s="5"/>
      <c r="B152" s="5"/>
      <c r="C152" s="44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0"/>
      <c r="AC152" s="20"/>
      <c r="AD152" s="5"/>
      <c r="AE152" s="5"/>
      <c r="AF152" s="5"/>
      <c r="AG152" s="5"/>
      <c r="AI152" s="5"/>
      <c r="AY152" s="25"/>
      <c r="BB152" s="5"/>
    </row>
    <row r="153" spans="1:54" s="23" customFormat="1" hidden="1" outlineLevel="1">
      <c r="A153" s="5"/>
      <c r="B153" s="5"/>
      <c r="C153" s="44" t="s">
        <v>7</v>
      </c>
      <c r="D153" s="25" t="str">
        <f ca="1">IF(ISNUMBER(D154),D154,IF(ISNUMBER(D155),D155,"…"))</f>
        <v>…</v>
      </c>
      <c r="E153" s="25" t="str">
        <f ca="1">IF(ISNUMBER(E154),E154,IF(ISNUMBER(E155),E155,"…"))</f>
        <v>…</v>
      </c>
      <c r="F153" s="25" t="str">
        <f ca="1">IF(ISNUMBER(F154),F154,IF(ISNUMBER(F155),F155,"…"))</f>
        <v>…</v>
      </c>
      <c r="G153" s="25" t="str">
        <f t="shared" ref="G153:Y153" ca="1" si="72">IF(ISNUMBER(G154),G154,IF(ISNUMBER(G155),G155,IF(ISNUMBER(G158),G158,"…")))</f>
        <v>…</v>
      </c>
      <c r="H153" s="25" t="str">
        <f t="shared" ca="1" si="72"/>
        <v>…</v>
      </c>
      <c r="I153" s="25" t="str">
        <f t="shared" ca="1" si="72"/>
        <v>…</v>
      </c>
      <c r="J153" s="25" t="str">
        <f t="shared" ca="1" si="72"/>
        <v>…</v>
      </c>
      <c r="K153" s="25" t="str">
        <f t="shared" ca="1" si="72"/>
        <v>…</v>
      </c>
      <c r="L153" s="25">
        <f ca="1">IF(ISNUMBER(L154),L154,IF(ISNUMBER(L155),L155,IF(ISNUMBER(L158),L158,"…")))</f>
        <v>573.03700000000003</v>
      </c>
      <c r="M153" s="25">
        <f>IF(ISNUMBER(M154),M154,IF(ISNUMBER(M155),M155,IF(ISNUMBER(M158),M158,"…")))</f>
        <v>633.79899999999998</v>
      </c>
      <c r="N153" s="25">
        <f t="shared" si="72"/>
        <v>678.45</v>
      </c>
      <c r="O153" s="25">
        <f t="shared" si="72"/>
        <v>719.077</v>
      </c>
      <c r="P153" s="25">
        <f t="shared" si="72"/>
        <v>842.79899999999998</v>
      </c>
      <c r="Q153" s="25">
        <f t="shared" si="72"/>
        <v>1036.0219999999999</v>
      </c>
      <c r="R153" s="25">
        <f t="shared" si="72"/>
        <v>1115.2550000000001</v>
      </c>
      <c r="S153" s="25">
        <f t="shared" si="72"/>
        <v>1269.3920000000001</v>
      </c>
      <c r="T153" s="25">
        <f t="shared" si="72"/>
        <v>1142.7639999999999</v>
      </c>
      <c r="U153" s="25">
        <f t="shared" si="72"/>
        <v>1531.4770000000001</v>
      </c>
      <c r="V153" s="25">
        <f t="shared" si="72"/>
        <v>1728.1359999999997</v>
      </c>
      <c r="W153" s="25">
        <f t="shared" si="72"/>
        <v>2034.636</v>
      </c>
      <c r="X153" s="25">
        <f t="shared" si="72"/>
        <v>2245.0590000000002</v>
      </c>
      <c r="Y153" s="25">
        <f t="shared" si="72"/>
        <v>2434.6669999999999</v>
      </c>
      <c r="Z153" s="25"/>
      <c r="AA153" s="25"/>
      <c r="AB153" s="20"/>
      <c r="AC153" s="20"/>
      <c r="AD153" s="5"/>
      <c r="AE153" s="5"/>
      <c r="AF153" s="5"/>
      <c r="AG153" s="5"/>
      <c r="AI153" s="5"/>
      <c r="AY153" s="25"/>
      <c r="BB153" s="5"/>
    </row>
    <row r="154" spans="1:54" s="23" customFormat="1" hidden="1" outlineLevel="1">
      <c r="A154" s="5"/>
      <c r="B154" s="5"/>
      <c r="C154" s="43" t="s">
        <v>293</v>
      </c>
      <c r="D154" s="25" t="str">
        <f t="shared" ref="D154:T154" ca="1" si="73">IF(D$8="A",IF(D325="…","calc.",D325),IF(D$8="L","…","…"))</f>
        <v>…</v>
      </c>
      <c r="E154" s="25" t="str">
        <f t="shared" ca="1" si="73"/>
        <v>…</v>
      </c>
      <c r="F154" s="25" t="str">
        <f t="shared" ca="1" si="73"/>
        <v>…</v>
      </c>
      <c r="G154" s="25" t="str">
        <f t="shared" ca="1" si="73"/>
        <v>…</v>
      </c>
      <c r="H154" s="25" t="str">
        <f t="shared" ca="1" si="73"/>
        <v>…</v>
      </c>
      <c r="I154" s="25" t="str">
        <f t="shared" ca="1" si="73"/>
        <v>…</v>
      </c>
      <c r="J154" s="25" t="str">
        <f t="shared" ca="1" si="73"/>
        <v>…</v>
      </c>
      <c r="K154" s="25" t="str">
        <f t="shared" ca="1" si="73"/>
        <v>…</v>
      </c>
      <c r="L154" s="25" t="str">
        <f t="shared" ca="1" si="73"/>
        <v>…</v>
      </c>
      <c r="M154" s="25">
        <f t="shared" si="73"/>
        <v>633.79899999999998</v>
      </c>
      <c r="N154" s="25">
        <f t="shared" si="73"/>
        <v>678.45</v>
      </c>
      <c r="O154" s="25">
        <f t="shared" si="73"/>
        <v>719.077</v>
      </c>
      <c r="P154" s="25">
        <f t="shared" si="73"/>
        <v>842.79899999999998</v>
      </c>
      <c r="Q154" s="25">
        <f t="shared" si="73"/>
        <v>1036.0219999999999</v>
      </c>
      <c r="R154" s="25">
        <f t="shared" si="73"/>
        <v>1115.2550000000001</v>
      </c>
      <c r="S154" s="25">
        <f t="shared" si="73"/>
        <v>1269.3920000000001</v>
      </c>
      <c r="T154" s="25">
        <f t="shared" si="73"/>
        <v>1142.7639999999999</v>
      </c>
      <c r="U154" s="25">
        <f>IF(U$8="A",IF(U325="…","calc.",U325),IF(U$8="L","…","…"))</f>
        <v>1531.4770000000001</v>
      </c>
      <c r="V154" s="25" t="str">
        <f>IF(V$8="A",IF(V325="…","calc.",V325),IF(V$8="L","…","…"))</f>
        <v>…</v>
      </c>
      <c r="W154" s="25" t="str">
        <f>IF(W$8="A",IF(W325="…","calc.",W325),IF(W$8="L","…","…"))</f>
        <v>…</v>
      </c>
      <c r="X154" s="25" t="str">
        <f>IF(X$8="A",IF(X325="…","calc.",X325),IF(X$8="L","…","…"))</f>
        <v>…</v>
      </c>
      <c r="Y154" s="25" t="str">
        <f>IF(Y$8="A",IF(Y325="…","calc.",Y325),IF(Y$8="L","…","…"))</f>
        <v>…</v>
      </c>
      <c r="Z154" s="25"/>
      <c r="AA154" s="25"/>
      <c r="AB154" s="20"/>
      <c r="AC154" s="20"/>
      <c r="AD154" s="5"/>
      <c r="AE154" s="5"/>
      <c r="AF154" s="5"/>
      <c r="AG154" s="5"/>
      <c r="AH154" s="5"/>
      <c r="AI154" s="5"/>
      <c r="AY154" s="25"/>
      <c r="BB154" s="5"/>
    </row>
    <row r="155" spans="1:54" s="23" customFormat="1" hidden="1" outlineLevel="1">
      <c r="A155" s="5"/>
      <c r="B155" s="5"/>
      <c r="C155" s="43" t="s">
        <v>294</v>
      </c>
      <c r="D155" s="25" t="str">
        <f t="shared" ref="D155:K155" ca="1" si="74">IF(ISNUMBER(D156),D156,IF(ISNUMBER(D157),D157,"…"))</f>
        <v>…</v>
      </c>
      <c r="E155" s="25" t="str">
        <f t="shared" ca="1" si="74"/>
        <v>…</v>
      </c>
      <c r="F155" s="25" t="str">
        <f t="shared" ca="1" si="74"/>
        <v>…</v>
      </c>
      <c r="G155" s="25" t="str">
        <f t="shared" ca="1" si="74"/>
        <v>…</v>
      </c>
      <c r="H155" s="25" t="str">
        <f t="shared" ca="1" si="74"/>
        <v>…</v>
      </c>
      <c r="I155" s="25" t="str">
        <f t="shared" ca="1" si="74"/>
        <v>…</v>
      </c>
      <c r="J155" s="25" t="str">
        <f t="shared" ca="1" si="74"/>
        <v>…</v>
      </c>
      <c r="K155" s="25" t="str">
        <f t="shared" ca="1" si="74"/>
        <v>…</v>
      </c>
      <c r="L155" s="25">
        <f>IF(ISNUMBER(L156),L156,IF(ISNUMBER(L157),L157,"…"))</f>
        <v>573.03700000000003</v>
      </c>
      <c r="M155" s="25" t="s">
        <v>314</v>
      </c>
      <c r="N155" s="25" t="s">
        <v>314</v>
      </c>
      <c r="O155" s="25" t="s">
        <v>314</v>
      </c>
      <c r="P155" s="25" t="s">
        <v>314</v>
      </c>
      <c r="Q155" s="25" t="s">
        <v>314</v>
      </c>
      <c r="R155" s="25" t="s">
        <v>314</v>
      </c>
      <c r="S155" s="25" t="s">
        <v>314</v>
      </c>
      <c r="T155" s="25" t="s">
        <v>314</v>
      </c>
      <c r="U155" s="25" t="s">
        <v>314</v>
      </c>
      <c r="V155" s="25" t="s">
        <v>314</v>
      </c>
      <c r="W155" s="25" t="s">
        <v>314</v>
      </c>
      <c r="X155" s="25" t="s">
        <v>314</v>
      </c>
      <c r="Y155" s="25" t="s">
        <v>314</v>
      </c>
      <c r="Z155" s="25"/>
      <c r="AA155" s="25"/>
      <c r="AB155" s="20"/>
      <c r="AC155" s="20"/>
      <c r="AD155" s="5"/>
      <c r="AE155" s="5"/>
      <c r="AF155" s="5"/>
      <c r="AG155" s="5"/>
      <c r="AY155" s="25"/>
    </row>
    <row r="156" spans="1:54" s="23" customFormat="1" hidden="1" outlineLevel="1">
      <c r="A156" s="5"/>
      <c r="B156" s="5"/>
      <c r="C156" s="52" t="s">
        <v>156</v>
      </c>
      <c r="D156" s="25" t="str">
        <f t="shared" ref="D156:L156" si="75">IFERROR(D322+D339,"…")</f>
        <v>…</v>
      </c>
      <c r="E156" s="25" t="str">
        <f t="shared" si="75"/>
        <v>…</v>
      </c>
      <c r="F156" s="25" t="str">
        <f t="shared" si="75"/>
        <v>…</v>
      </c>
      <c r="G156" s="25" t="str">
        <f t="shared" si="75"/>
        <v>…</v>
      </c>
      <c r="H156" s="25" t="str">
        <f t="shared" si="75"/>
        <v>…</v>
      </c>
      <c r="I156" s="25" t="str">
        <f t="shared" si="75"/>
        <v>…</v>
      </c>
      <c r="J156" s="25" t="str">
        <f t="shared" si="75"/>
        <v>…</v>
      </c>
      <c r="K156" s="25" t="str">
        <f t="shared" si="75"/>
        <v>…</v>
      </c>
      <c r="L156" s="25">
        <f t="shared" si="75"/>
        <v>573.03700000000003</v>
      </c>
      <c r="M156" s="25" t="s">
        <v>314</v>
      </c>
      <c r="N156" s="25" t="s">
        <v>314</v>
      </c>
      <c r="O156" s="25" t="s">
        <v>314</v>
      </c>
      <c r="P156" s="25" t="s">
        <v>314</v>
      </c>
      <c r="Q156" s="25" t="s">
        <v>314</v>
      </c>
      <c r="R156" s="25" t="s">
        <v>314</v>
      </c>
      <c r="S156" s="25" t="s">
        <v>314</v>
      </c>
      <c r="T156" s="25" t="s">
        <v>314</v>
      </c>
      <c r="U156" s="25" t="s">
        <v>314</v>
      </c>
      <c r="V156" s="25" t="s">
        <v>314</v>
      </c>
      <c r="W156" s="25" t="s">
        <v>314</v>
      </c>
      <c r="X156" s="25" t="s">
        <v>314</v>
      </c>
      <c r="Y156" s="25" t="s">
        <v>314</v>
      </c>
      <c r="Z156" s="25"/>
      <c r="AA156" s="25"/>
      <c r="AB156" s="20"/>
      <c r="AC156" s="20"/>
      <c r="AD156" s="5"/>
      <c r="AE156" s="5"/>
      <c r="AF156" s="5"/>
      <c r="AG156" s="5"/>
      <c r="AY156" s="25"/>
    </row>
    <row r="157" spans="1:54" hidden="1" outlineLevel="1">
      <c r="C157" s="52" t="s">
        <v>157</v>
      </c>
      <c r="D157" s="25" t="str">
        <f t="shared" ref="D157:L157" ca="1" si="76">IFERROR(D322+D163+D191,"…")</f>
        <v>…</v>
      </c>
      <c r="E157" s="25" t="str">
        <f t="shared" ca="1" si="76"/>
        <v>…</v>
      </c>
      <c r="F157" s="25" t="str">
        <f t="shared" ca="1" si="76"/>
        <v>…</v>
      </c>
      <c r="G157" s="25" t="str">
        <f t="shared" ca="1" si="76"/>
        <v>…</v>
      </c>
      <c r="H157" s="25" t="str">
        <f t="shared" ca="1" si="76"/>
        <v>…</v>
      </c>
      <c r="I157" s="25" t="str">
        <f t="shared" ca="1" si="76"/>
        <v>…</v>
      </c>
      <c r="J157" s="25" t="str">
        <f t="shared" ca="1" si="76"/>
        <v>…</v>
      </c>
      <c r="K157" s="25" t="str">
        <f t="shared" ca="1" si="76"/>
        <v>…</v>
      </c>
      <c r="L157" s="25" t="str">
        <f t="shared" ca="1" si="76"/>
        <v>…</v>
      </c>
      <c r="M157" s="25" t="s">
        <v>314</v>
      </c>
      <c r="N157" s="25" t="s">
        <v>314</v>
      </c>
      <c r="O157" s="25" t="s">
        <v>314</v>
      </c>
      <c r="P157" s="25" t="s">
        <v>314</v>
      </c>
      <c r="Q157" s="25" t="s">
        <v>314</v>
      </c>
      <c r="R157" s="25" t="s">
        <v>314</v>
      </c>
      <c r="S157" s="25" t="s">
        <v>314</v>
      </c>
      <c r="T157" s="25" t="s">
        <v>314</v>
      </c>
      <c r="U157" s="25" t="s">
        <v>314</v>
      </c>
      <c r="V157" s="25" t="s">
        <v>314</v>
      </c>
      <c r="W157" s="25" t="s">
        <v>314</v>
      </c>
      <c r="X157" s="25" t="s">
        <v>314</v>
      </c>
      <c r="Y157" s="25" t="s">
        <v>314</v>
      </c>
      <c r="Z157" s="25"/>
      <c r="AA157" s="2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25"/>
      <c r="AZ157" s="5"/>
    </row>
    <row r="158" spans="1:54" hidden="1" outlineLevel="1">
      <c r="C158" s="43" t="s">
        <v>347</v>
      </c>
      <c r="D158" s="60" t="str">
        <f t="shared" ref="D158:Y158" si="77">IFERROR(1/(1/AB20),"…")</f>
        <v>…</v>
      </c>
      <c r="E158" s="60" t="str">
        <f t="shared" si="77"/>
        <v>…</v>
      </c>
      <c r="F158" s="60" t="str">
        <f t="shared" si="77"/>
        <v>…</v>
      </c>
      <c r="G158" s="60" t="str">
        <f t="shared" si="77"/>
        <v>…</v>
      </c>
      <c r="H158" s="60" t="str">
        <f t="shared" si="77"/>
        <v>…</v>
      </c>
      <c r="I158" s="60" t="str">
        <f t="shared" si="77"/>
        <v>…</v>
      </c>
      <c r="J158" s="60" t="str">
        <f t="shared" si="77"/>
        <v>…</v>
      </c>
      <c r="K158" s="60" t="str">
        <f t="shared" si="77"/>
        <v>…</v>
      </c>
      <c r="L158" s="60" t="str">
        <f t="shared" si="77"/>
        <v>…</v>
      </c>
      <c r="M158" s="60" t="str">
        <f t="shared" si="77"/>
        <v>…</v>
      </c>
      <c r="N158" s="60" t="str">
        <f t="shared" si="77"/>
        <v>…</v>
      </c>
      <c r="O158" s="60" t="str">
        <f t="shared" si="77"/>
        <v>…</v>
      </c>
      <c r="P158" s="94" t="str">
        <f t="shared" si="77"/>
        <v>…</v>
      </c>
      <c r="Q158" s="94" t="str">
        <f t="shared" si="77"/>
        <v>…</v>
      </c>
      <c r="R158" s="94" t="str">
        <f t="shared" si="77"/>
        <v>…</v>
      </c>
      <c r="S158" s="94">
        <f t="shared" si="77"/>
        <v>1278.125</v>
      </c>
      <c r="T158" s="94">
        <f t="shared" si="77"/>
        <v>1132.579</v>
      </c>
      <c r="U158" s="94">
        <f t="shared" si="77"/>
        <v>1526.6</v>
      </c>
      <c r="V158" s="94">
        <f t="shared" si="77"/>
        <v>1728.1359999999997</v>
      </c>
      <c r="W158" s="94">
        <f t="shared" si="77"/>
        <v>2034.636</v>
      </c>
      <c r="X158" s="94">
        <f t="shared" si="77"/>
        <v>2245.0590000000002</v>
      </c>
      <c r="Y158" s="94">
        <f t="shared" si="77"/>
        <v>2434.6669999999999</v>
      </c>
      <c r="Z158" s="94"/>
      <c r="AA158" s="60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60"/>
      <c r="AZ158" s="5"/>
    </row>
    <row r="159" spans="1:54" hidden="1" outlineLevel="1">
      <c r="C159" s="44"/>
      <c r="D159" s="25"/>
      <c r="E159" s="25"/>
      <c r="F159" s="25"/>
      <c r="G159" s="25"/>
      <c r="H159" s="25"/>
      <c r="I159" s="25"/>
      <c r="J159" s="25"/>
      <c r="K159" s="25"/>
      <c r="L159" s="25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29"/>
      <c r="AC159" s="29"/>
      <c r="AE159" s="30"/>
      <c r="AF159" s="30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48"/>
      <c r="AZ159" s="5"/>
    </row>
    <row r="160" spans="1:54" ht="13.15" collapsed="1">
      <c r="C160" s="91" t="s">
        <v>141</v>
      </c>
      <c r="D160" s="90" t="str">
        <f t="shared" ref="D160:Y160" ca="1" si="78">IFERROR(-D162,"…")</f>
        <v>…</v>
      </c>
      <c r="E160" s="90" t="str">
        <f t="shared" ca="1" si="78"/>
        <v>…</v>
      </c>
      <c r="F160" s="90" t="str">
        <f t="shared" ca="1" si="78"/>
        <v>…</v>
      </c>
      <c r="G160" s="90" t="str">
        <f t="shared" ca="1" si="78"/>
        <v>…</v>
      </c>
      <c r="H160" s="90" t="str">
        <f t="shared" ca="1" si="78"/>
        <v>…</v>
      </c>
      <c r="I160" s="90" t="str">
        <f t="shared" ca="1" si="78"/>
        <v>…</v>
      </c>
      <c r="J160" s="90" t="str">
        <f t="shared" ca="1" si="78"/>
        <v>…</v>
      </c>
      <c r="K160" s="90" t="str">
        <f t="shared" ca="1" si="78"/>
        <v>…</v>
      </c>
      <c r="L160" s="90" t="str">
        <f t="shared" ca="1" si="78"/>
        <v>…</v>
      </c>
      <c r="M160" s="90">
        <f t="shared" si="78"/>
        <v>-137.279</v>
      </c>
      <c r="N160" s="90">
        <f t="shared" si="78"/>
        <v>-149.953</v>
      </c>
      <c r="O160" s="90">
        <f t="shared" si="78"/>
        <v>-274.75700000000001</v>
      </c>
      <c r="P160" s="90">
        <f t="shared" si="78"/>
        <v>-247.71700000000001</v>
      </c>
      <c r="Q160" s="90">
        <f t="shared" si="78"/>
        <v>-143.48400000000001</v>
      </c>
      <c r="R160" s="90">
        <f t="shared" si="78"/>
        <v>-156.38399999999999</v>
      </c>
      <c r="S160" s="90">
        <f t="shared" si="78"/>
        <v>-191.482</v>
      </c>
      <c r="T160" s="90">
        <f t="shared" si="78"/>
        <v>-217.952</v>
      </c>
      <c r="U160" s="90">
        <f t="shared" si="78"/>
        <v>-230.09700000000001</v>
      </c>
      <c r="V160" s="90">
        <f t="shared" si="78"/>
        <v>-302.3849516287147</v>
      </c>
      <c r="W160" s="90">
        <f t="shared" ca="1" si="78"/>
        <v>-334.21200771897065</v>
      </c>
      <c r="X160" s="90">
        <f t="shared" ca="1" si="78"/>
        <v>-365.44017550149658</v>
      </c>
      <c r="Y160" s="90">
        <f t="shared" ca="1" si="78"/>
        <v>-389.95779134059649</v>
      </c>
      <c r="Z160" s="90"/>
      <c r="AA160" s="90"/>
      <c r="AB160" s="86" t="s">
        <v>1711</v>
      </c>
      <c r="AC160" s="86" t="s">
        <v>1711</v>
      </c>
      <c r="AE160" s="30"/>
      <c r="AF160" s="30"/>
      <c r="AJ160" s="31"/>
      <c r="AY160" s="90"/>
      <c r="AZ160" s="27"/>
    </row>
    <row r="161" spans="2:70" hidden="1" outlineLevel="1"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0"/>
      <c r="AF161" s="30"/>
      <c r="AJ161" s="31"/>
      <c r="AY161" s="31"/>
      <c r="AZ161" s="27"/>
    </row>
    <row r="162" spans="2:70" hidden="1" outlineLevel="1">
      <c r="C162" s="29" t="s">
        <v>141</v>
      </c>
      <c r="D162" s="25" t="str">
        <f t="shared" ref="D162:T162" ca="1" si="79">IF(ISNUMBER(D163),D163,IF(ISNUMBER(D166),D166,IF(ISNUMBER(D171),D171,"…")))</f>
        <v>…</v>
      </c>
      <c r="E162" s="25" t="str">
        <f t="shared" ca="1" si="79"/>
        <v>…</v>
      </c>
      <c r="F162" s="25" t="str">
        <f t="shared" ca="1" si="79"/>
        <v>…</v>
      </c>
      <c r="G162" s="25" t="str">
        <f t="shared" ca="1" si="79"/>
        <v>…</v>
      </c>
      <c r="H162" s="25" t="str">
        <f t="shared" ca="1" si="79"/>
        <v>…</v>
      </c>
      <c r="I162" s="25" t="str">
        <f t="shared" ca="1" si="79"/>
        <v>…</v>
      </c>
      <c r="J162" s="25" t="str">
        <f t="shared" ca="1" si="79"/>
        <v>…</v>
      </c>
      <c r="K162" s="25" t="str">
        <f t="shared" ca="1" si="79"/>
        <v>…</v>
      </c>
      <c r="L162" s="25" t="str">
        <f t="shared" ca="1" si="79"/>
        <v>…</v>
      </c>
      <c r="M162" s="25">
        <f t="shared" si="79"/>
        <v>137.279</v>
      </c>
      <c r="N162" s="25">
        <f t="shared" si="79"/>
        <v>149.953</v>
      </c>
      <c r="O162" s="25">
        <f t="shared" si="79"/>
        <v>274.75700000000001</v>
      </c>
      <c r="P162" s="25">
        <f t="shared" si="79"/>
        <v>247.71700000000001</v>
      </c>
      <c r="Q162" s="25">
        <f t="shared" si="79"/>
        <v>143.48400000000001</v>
      </c>
      <c r="R162" s="25">
        <f t="shared" si="79"/>
        <v>156.38399999999999</v>
      </c>
      <c r="S162" s="25">
        <f>IF(ISNUMBER(S163),S163,IF(ISNUMBER(S166),S166,IF(ISNUMBER(S171),S171,"…")))</f>
        <v>191.482</v>
      </c>
      <c r="T162" s="25">
        <f t="shared" si="79"/>
        <v>217.952</v>
      </c>
      <c r="U162" s="25">
        <f>IF(ISNUMBER(U163),U163,IF(ISNUMBER(U166),U166,IF(ISNUMBER(U171),U171,"…")))</f>
        <v>230.09700000000001</v>
      </c>
      <c r="V162" s="25">
        <f>IF(ISNUMBER(V163),V163,IF(ISNUMBER(V166),V166,IF(ISNUMBER(V171),V171,"…")))</f>
        <v>302.3849516287147</v>
      </c>
      <c r="W162" s="25">
        <f ca="1">IF(ISNUMBER(W163),W163,IF(ISNUMBER(W166),W166,IF(ISNUMBER(W171),W171,"…")))</f>
        <v>334.21200771897065</v>
      </c>
      <c r="X162" s="25">
        <f ca="1">IF(ISNUMBER(X163),X163,IF(ISNUMBER(X166),X166,IF(ISNUMBER(X171),X171,"…")))</f>
        <v>365.44017550149658</v>
      </c>
      <c r="Y162" s="25">
        <f ca="1">IF(ISNUMBER(Y163),Y163,IF(ISNUMBER(Y166),Y166,IF(ISNUMBER(Y171),Y171,"…")))</f>
        <v>389.95779134059649</v>
      </c>
      <c r="Z162" s="25"/>
      <c r="AA162" s="2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25"/>
      <c r="AZ162" s="5"/>
    </row>
    <row r="163" spans="2:70" hidden="1" outlineLevel="1">
      <c r="C163" s="44" t="s">
        <v>291</v>
      </c>
      <c r="D163" s="25" t="str">
        <f t="shared" ref="D163:Y163" ca="1" si="80">IF(ISNUMBER(D164),D164,IF(ISNUMBER(D165),D165,"…"))</f>
        <v>…</v>
      </c>
      <c r="E163" s="25" t="str">
        <f t="shared" ca="1" si="80"/>
        <v>…</v>
      </c>
      <c r="F163" s="25" t="str">
        <f t="shared" ca="1" si="80"/>
        <v>…</v>
      </c>
      <c r="G163" s="25" t="str">
        <f t="shared" ca="1" si="80"/>
        <v>…</v>
      </c>
      <c r="H163" s="25" t="str">
        <f t="shared" ca="1" si="80"/>
        <v>…</v>
      </c>
      <c r="I163" s="25" t="str">
        <f t="shared" ca="1" si="80"/>
        <v>…</v>
      </c>
      <c r="J163" s="25" t="str">
        <f ca="1">IF(ISNUMBER(J164),J164,IF(ISNUMBER(J165),J165,"…"))</f>
        <v>…</v>
      </c>
      <c r="K163" s="25" t="str">
        <f t="shared" ca="1" si="80"/>
        <v>…</v>
      </c>
      <c r="L163" s="25" t="str">
        <f t="shared" ca="1" si="80"/>
        <v>…</v>
      </c>
      <c r="M163" s="25">
        <f t="shared" si="80"/>
        <v>137.279</v>
      </c>
      <c r="N163" s="25">
        <f t="shared" si="80"/>
        <v>149.953</v>
      </c>
      <c r="O163" s="25">
        <f t="shared" si="80"/>
        <v>274.75700000000001</v>
      </c>
      <c r="P163" s="25">
        <f t="shared" si="80"/>
        <v>247.71700000000001</v>
      </c>
      <c r="Q163" s="25">
        <f>IF(ISNUMBER(Q164),Q164,IF(ISNUMBER(Q165),Q165,"…"))</f>
        <v>143.48400000000001</v>
      </c>
      <c r="R163" s="25">
        <f t="shared" si="80"/>
        <v>156.38399999999999</v>
      </c>
      <c r="S163" s="25">
        <f t="shared" si="80"/>
        <v>191.482</v>
      </c>
      <c r="T163" s="25">
        <f t="shared" si="80"/>
        <v>217.952</v>
      </c>
      <c r="U163" s="25">
        <f t="shared" si="80"/>
        <v>230.09700000000001</v>
      </c>
      <c r="V163" s="25" t="str">
        <f t="shared" si="80"/>
        <v>…</v>
      </c>
      <c r="W163" s="25" t="str">
        <f t="shared" si="80"/>
        <v>…</v>
      </c>
      <c r="X163" s="25" t="str">
        <f t="shared" si="80"/>
        <v>…</v>
      </c>
      <c r="Y163" s="25" t="str">
        <f t="shared" si="80"/>
        <v>…</v>
      </c>
      <c r="Z163" s="25"/>
      <c r="AA163" s="25"/>
      <c r="AB163" s="5"/>
      <c r="AC163" s="5"/>
      <c r="AD163" s="29" t="s">
        <v>325</v>
      </c>
      <c r="AE163" s="30"/>
      <c r="AF163" s="30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25"/>
      <c r="AZ163" s="5"/>
    </row>
    <row r="164" spans="2:70" hidden="1" outlineLevel="1">
      <c r="C164" s="43" t="s">
        <v>154</v>
      </c>
      <c r="D164" s="25" t="str">
        <f t="shared" ref="D164:T164" ca="1" si="81">IF(D$8="A",IF(D331="…","calc.",D331),"…")</f>
        <v>…</v>
      </c>
      <c r="E164" s="25" t="str">
        <f t="shared" ca="1" si="81"/>
        <v>…</v>
      </c>
      <c r="F164" s="25" t="str">
        <f t="shared" ca="1" si="81"/>
        <v>…</v>
      </c>
      <c r="G164" s="25" t="str">
        <f t="shared" ca="1" si="81"/>
        <v>…</v>
      </c>
      <c r="H164" s="25" t="str">
        <f t="shared" ca="1" si="81"/>
        <v>…</v>
      </c>
      <c r="I164" s="25" t="str">
        <f t="shared" ca="1" si="81"/>
        <v>…</v>
      </c>
      <c r="J164" s="25" t="str">
        <f t="shared" ca="1" si="81"/>
        <v>…</v>
      </c>
      <c r="K164" s="25" t="str">
        <f t="shared" ca="1" si="81"/>
        <v>…</v>
      </c>
      <c r="L164" s="25" t="str">
        <f t="shared" ca="1" si="81"/>
        <v>…</v>
      </c>
      <c r="M164" s="25">
        <f t="shared" si="81"/>
        <v>137.279</v>
      </c>
      <c r="N164" s="25">
        <f t="shared" si="81"/>
        <v>149.953</v>
      </c>
      <c r="O164" s="25">
        <f t="shared" si="81"/>
        <v>274.75700000000001</v>
      </c>
      <c r="P164" s="25">
        <f t="shared" si="81"/>
        <v>247.71700000000001</v>
      </c>
      <c r="Q164" s="25">
        <f t="shared" si="81"/>
        <v>143.48400000000001</v>
      </c>
      <c r="R164" s="25">
        <f t="shared" si="81"/>
        <v>156.38399999999999</v>
      </c>
      <c r="S164" s="25">
        <f t="shared" si="81"/>
        <v>191.482</v>
      </c>
      <c r="T164" s="25">
        <f t="shared" si="81"/>
        <v>217.952</v>
      </c>
      <c r="U164" s="25">
        <f>IF(U$8="A",IF(U331="…","calc.",U331),"…")</f>
        <v>230.09700000000001</v>
      </c>
      <c r="V164" s="25" t="str">
        <f>IF(V$8="A",IF(V331="…","calc.",V331),"…")</f>
        <v>…</v>
      </c>
      <c r="W164" s="25" t="str">
        <f>IF(W$8="A",IF(W331="…","calc.",W331),"…")</f>
        <v>…</v>
      </c>
      <c r="X164" s="25" t="str">
        <f>IF(X$8="A",IF(X331="…","calc.",X331),"…")</f>
        <v>…</v>
      </c>
      <c r="Y164" s="25" t="str">
        <f>IF(Y$8="A",IF(Y331="…","calc.",Y331),"…")</f>
        <v>…</v>
      </c>
      <c r="Z164" s="25"/>
      <c r="AA164" s="25"/>
      <c r="AB164" s="29"/>
      <c r="AC164" s="29"/>
      <c r="AE164" s="30"/>
      <c r="AF164" s="30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25"/>
      <c r="AZ164" s="5"/>
    </row>
    <row r="165" spans="2:70" hidden="1" outlineLevel="1">
      <c r="C165" s="43" t="s">
        <v>1712</v>
      </c>
      <c r="D165" s="25" t="s">
        <v>127</v>
      </c>
      <c r="E165" s="25" t="s">
        <v>127</v>
      </c>
      <c r="F165" s="25" t="s">
        <v>127</v>
      </c>
      <c r="G165" s="25" t="s">
        <v>127</v>
      </c>
      <c r="H165" s="25" t="s">
        <v>127</v>
      </c>
      <c r="I165" s="25" t="s">
        <v>127</v>
      </c>
      <c r="J165" s="25" t="s">
        <v>127</v>
      </c>
      <c r="K165" s="25" t="s">
        <v>127</v>
      </c>
      <c r="L165" s="25" t="s">
        <v>127</v>
      </c>
      <c r="M165" s="25" t="s">
        <v>127</v>
      </c>
      <c r="N165" s="25" t="s">
        <v>127</v>
      </c>
      <c r="O165" s="25" t="s">
        <v>127</v>
      </c>
      <c r="P165" s="25" t="s">
        <v>127</v>
      </c>
      <c r="Q165" s="25" t="s">
        <v>127</v>
      </c>
      <c r="R165" s="25" t="s">
        <v>127</v>
      </c>
      <c r="S165" s="25" t="s">
        <v>127</v>
      </c>
      <c r="T165" s="25" t="s">
        <v>127</v>
      </c>
      <c r="U165" s="25" t="s">
        <v>127</v>
      </c>
      <c r="V165" s="25" t="s">
        <v>127</v>
      </c>
      <c r="W165" s="25" t="s">
        <v>127</v>
      </c>
      <c r="X165" s="25" t="s">
        <v>127</v>
      </c>
      <c r="Y165" s="25" t="s">
        <v>127</v>
      </c>
      <c r="Z165" s="25"/>
      <c r="AA165" s="25"/>
      <c r="AB165" s="29"/>
      <c r="AC165" s="29"/>
      <c r="AE165" s="30"/>
      <c r="AF165" s="30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25"/>
      <c r="AZ165" s="5"/>
    </row>
    <row r="166" spans="2:70" hidden="1" outlineLevel="1">
      <c r="C166" s="44" t="s">
        <v>2475</v>
      </c>
      <c r="D166" s="25" t="str">
        <f t="shared" ref="D166:Y166" ca="1" si="82">IF(ISNUMBER(D167),D167,IF(ISNUMBER(D168),D168,IF(ISNUMBER(D169),D169,IF(ISNUMBER(D170),D170,"…"))))</f>
        <v>…</v>
      </c>
      <c r="E166" s="25" t="str">
        <f t="shared" ca="1" si="82"/>
        <v>…</v>
      </c>
      <c r="F166" s="25" t="str">
        <f t="shared" ca="1" si="82"/>
        <v>…</v>
      </c>
      <c r="G166" s="25" t="str">
        <f t="shared" ca="1" si="82"/>
        <v>…</v>
      </c>
      <c r="H166" s="25" t="str">
        <f t="shared" ca="1" si="82"/>
        <v>…</v>
      </c>
      <c r="I166" s="25" t="str">
        <f t="shared" ca="1" si="82"/>
        <v>…</v>
      </c>
      <c r="J166" s="25" t="str">
        <f t="shared" ca="1" si="82"/>
        <v>…</v>
      </c>
      <c r="K166" s="25" t="str">
        <f t="shared" ca="1" si="82"/>
        <v>…</v>
      </c>
      <c r="L166" s="25" t="str">
        <f t="shared" ca="1" si="82"/>
        <v>…</v>
      </c>
      <c r="M166" s="25">
        <f t="shared" ca="1" si="82"/>
        <v>165.86767241379312</v>
      </c>
      <c r="N166" s="25">
        <f t="shared" si="82"/>
        <v>184.59967241379314</v>
      </c>
      <c r="O166" s="25">
        <f t="shared" si="82"/>
        <v>160.41993103448277</v>
      </c>
      <c r="P166" s="25">
        <f t="shared" si="82"/>
        <v>247.71699999999998</v>
      </c>
      <c r="Q166" s="25">
        <f t="shared" si="82"/>
        <v>143.48399999999992</v>
      </c>
      <c r="R166" s="25">
        <f t="shared" si="82"/>
        <v>156.38400000000013</v>
      </c>
      <c r="S166" s="25">
        <f t="shared" si="82"/>
        <v>191.48199999999997</v>
      </c>
      <c r="T166" s="25">
        <f t="shared" si="82"/>
        <v>217.952</v>
      </c>
      <c r="U166" s="25">
        <f t="shared" si="82"/>
        <v>230.09699999999998</v>
      </c>
      <c r="V166" s="25" t="str">
        <f t="shared" si="82"/>
        <v>…</v>
      </c>
      <c r="W166" s="25" t="str">
        <f t="shared" si="82"/>
        <v>…</v>
      </c>
      <c r="X166" s="25" t="str">
        <f t="shared" si="82"/>
        <v>…</v>
      </c>
      <c r="Y166" s="25" t="str">
        <f t="shared" si="82"/>
        <v>…</v>
      </c>
      <c r="Z166" s="25"/>
      <c r="AA166" s="2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25"/>
      <c r="AZ166" s="5"/>
      <c r="BK166" s="22"/>
      <c r="BL166" s="23"/>
      <c r="BM166" s="22"/>
      <c r="BN166" s="22"/>
      <c r="BO166" s="22"/>
      <c r="BP166" s="22"/>
      <c r="BQ166" s="22"/>
      <c r="BR166" s="24"/>
    </row>
    <row r="167" spans="2:70" hidden="1" outlineLevel="1">
      <c r="C167" s="43" t="s">
        <v>156</v>
      </c>
      <c r="D167" s="25" t="str">
        <f t="shared" ref="D167:T167" ca="1" si="83">IFERROR(D154-(D321+D191),"…")</f>
        <v>…</v>
      </c>
      <c r="E167" s="25" t="str">
        <f t="shared" ca="1" si="83"/>
        <v>…</v>
      </c>
      <c r="F167" s="25" t="str">
        <f t="shared" ca="1" si="83"/>
        <v>…</v>
      </c>
      <c r="G167" s="25" t="str">
        <f t="shared" ca="1" si="83"/>
        <v>…</v>
      </c>
      <c r="H167" s="25" t="str">
        <f t="shared" ca="1" si="83"/>
        <v>…</v>
      </c>
      <c r="I167" s="25" t="str">
        <f t="shared" ca="1" si="83"/>
        <v>…</v>
      </c>
      <c r="J167" s="25" t="str">
        <f t="shared" ca="1" si="83"/>
        <v>…</v>
      </c>
      <c r="K167" s="25" t="str">
        <f t="shared" ca="1" si="83"/>
        <v>…</v>
      </c>
      <c r="L167" s="25" t="str">
        <f t="shared" ca="1" si="83"/>
        <v>…</v>
      </c>
      <c r="M167" s="48" t="str">
        <f t="shared" si="83"/>
        <v>…</v>
      </c>
      <c r="N167" s="48" t="str">
        <f t="shared" si="83"/>
        <v>…</v>
      </c>
      <c r="O167" s="48" t="str">
        <f t="shared" si="83"/>
        <v>…</v>
      </c>
      <c r="P167" s="48">
        <f t="shared" si="83"/>
        <v>247.71699999999998</v>
      </c>
      <c r="Q167" s="48">
        <f t="shared" si="83"/>
        <v>143.48399999999992</v>
      </c>
      <c r="R167" s="48">
        <f t="shared" si="83"/>
        <v>156.38400000000013</v>
      </c>
      <c r="S167" s="48">
        <f t="shared" si="83"/>
        <v>191.48199999999997</v>
      </c>
      <c r="T167" s="48">
        <f t="shared" si="83"/>
        <v>217.952</v>
      </c>
      <c r="U167" s="48">
        <f>IFERROR(U154-(U321+U191),"…")</f>
        <v>230.09699999999998</v>
      </c>
      <c r="V167" s="48" t="str">
        <f>IFERROR(V154-(V321+V191),"…")</f>
        <v>…</v>
      </c>
      <c r="W167" s="48" t="str">
        <f>IFERROR(W154-(W321+W191),"…")</f>
        <v>…</v>
      </c>
      <c r="X167" s="48" t="str">
        <f>IFERROR(X154-(X321+X191),"…")</f>
        <v>…</v>
      </c>
      <c r="Y167" s="48" t="str">
        <f>IFERROR(Y154-(Y321+Y191),"…")</f>
        <v>…</v>
      </c>
      <c r="Z167" s="48"/>
      <c r="AA167" s="48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48"/>
      <c r="AZ167" s="5"/>
    </row>
    <row r="168" spans="2:70" hidden="1" outlineLevel="1">
      <c r="C168" s="43" t="s">
        <v>157</v>
      </c>
      <c r="D168" s="25" t="str">
        <f t="shared" ref="D168:V168" ca="1" si="84">IFERROR(D339-(D196),"…")</f>
        <v>…</v>
      </c>
      <c r="E168" s="25" t="str">
        <f t="shared" ca="1" si="84"/>
        <v>…</v>
      </c>
      <c r="F168" s="25" t="str">
        <f t="shared" ca="1" si="84"/>
        <v>…</v>
      </c>
      <c r="G168" s="25" t="str">
        <f t="shared" ca="1" si="84"/>
        <v>…</v>
      </c>
      <c r="H168" s="25" t="str">
        <f t="shared" ca="1" si="84"/>
        <v>…</v>
      </c>
      <c r="I168" s="25" t="str">
        <f t="shared" ca="1" si="84"/>
        <v>…</v>
      </c>
      <c r="J168" s="25" t="str">
        <f t="shared" ca="1" si="84"/>
        <v>…</v>
      </c>
      <c r="K168" s="25" t="str">
        <f t="shared" ca="1" si="84"/>
        <v>…</v>
      </c>
      <c r="L168" s="25" t="str">
        <f t="shared" ca="1" si="84"/>
        <v>…</v>
      </c>
      <c r="M168" s="25">
        <f t="shared" ca="1" si="84"/>
        <v>165.86767241379312</v>
      </c>
      <c r="N168" s="25">
        <f t="shared" si="84"/>
        <v>184.59967241379314</v>
      </c>
      <c r="O168" s="25">
        <f t="shared" si="84"/>
        <v>160.41993103448277</v>
      </c>
      <c r="P168" s="25">
        <f t="shared" ca="1" si="84"/>
        <v>115.04027586206897</v>
      </c>
      <c r="Q168" s="25">
        <f t="shared" si="84"/>
        <v>169.50214395886888</v>
      </c>
      <c r="R168" s="25">
        <f t="shared" si="84"/>
        <v>192.99669565217391</v>
      </c>
      <c r="S168" s="25">
        <f t="shared" si="84"/>
        <v>225.8137734375</v>
      </c>
      <c r="T168" s="25">
        <f t="shared" si="84"/>
        <v>253.86627835051547</v>
      </c>
      <c r="U168" s="25">
        <f t="shared" si="84"/>
        <v>267.30113872832374</v>
      </c>
      <c r="V168" s="25" t="str">
        <f t="shared" si="84"/>
        <v>…</v>
      </c>
      <c r="W168" s="25" t="str">
        <f>IFERROR(W339-(W196),"…")</f>
        <v>…</v>
      </c>
      <c r="X168" s="25" t="str">
        <f>IFERROR(X339-(X196),"…")</f>
        <v>…</v>
      </c>
      <c r="Y168" s="25" t="str">
        <f>IFERROR(Y339-(Y196),"…")</f>
        <v>…</v>
      </c>
      <c r="Z168" s="25"/>
      <c r="AA168" s="2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25"/>
      <c r="AZ168" s="5"/>
      <c r="BK168" s="22"/>
      <c r="BL168" s="23"/>
      <c r="BM168" s="22"/>
      <c r="BN168" s="22"/>
      <c r="BO168" s="22"/>
      <c r="BP168" s="22"/>
      <c r="BQ168" s="22"/>
      <c r="BR168" s="24"/>
    </row>
    <row r="169" spans="2:70" hidden="1" outlineLevel="1">
      <c r="C169" s="43" t="s">
        <v>366</v>
      </c>
      <c r="D169" s="25" t="str">
        <f t="shared" ref="D169:V169" ca="1" si="85">IFERROR(D339-(D195),"…")</f>
        <v>…</v>
      </c>
      <c r="E169" s="25" t="str">
        <f t="shared" ca="1" si="85"/>
        <v>…</v>
      </c>
      <c r="F169" s="25" t="str">
        <f t="shared" ca="1" si="85"/>
        <v>…</v>
      </c>
      <c r="G169" s="25" t="str">
        <f t="shared" ca="1" si="85"/>
        <v>…</v>
      </c>
      <c r="H169" s="25" t="str">
        <f t="shared" ca="1" si="85"/>
        <v>…</v>
      </c>
      <c r="I169" s="25" t="str">
        <f t="shared" ca="1" si="85"/>
        <v>…</v>
      </c>
      <c r="J169" s="25" t="str">
        <f t="shared" ca="1" si="85"/>
        <v>…</v>
      </c>
      <c r="K169" s="25" t="str">
        <f t="shared" ca="1" si="85"/>
        <v>…</v>
      </c>
      <c r="L169" s="25" t="str">
        <f t="shared" ca="1" si="85"/>
        <v>…</v>
      </c>
      <c r="M169" s="25" t="str">
        <f t="shared" ca="1" si="85"/>
        <v>…</v>
      </c>
      <c r="N169" s="25" t="str">
        <f t="shared" si="85"/>
        <v>…</v>
      </c>
      <c r="O169" s="25" t="str">
        <f t="shared" si="85"/>
        <v>…</v>
      </c>
      <c r="P169" s="25" t="str">
        <f t="shared" si="85"/>
        <v>…</v>
      </c>
      <c r="Q169" s="25" t="str">
        <f t="shared" si="85"/>
        <v>…</v>
      </c>
      <c r="R169" s="25" t="str">
        <f t="shared" si="85"/>
        <v>…</v>
      </c>
      <c r="S169" s="25" t="str">
        <f t="shared" si="85"/>
        <v>…</v>
      </c>
      <c r="T169" s="25" t="str">
        <f t="shared" si="85"/>
        <v>…</v>
      </c>
      <c r="U169" s="25" t="str">
        <f t="shared" si="85"/>
        <v>…</v>
      </c>
      <c r="V169" s="25" t="str">
        <f t="shared" si="85"/>
        <v>…</v>
      </c>
      <c r="W169" s="25" t="str">
        <f>IFERROR(W339-(W195),"…")</f>
        <v>…</v>
      </c>
      <c r="X169" s="25" t="str">
        <f>IFERROR(X339-(X195),"…")</f>
        <v>…</v>
      </c>
      <c r="Y169" s="25" t="str">
        <f>IFERROR(Y339-(Y195),"…")</f>
        <v>…</v>
      </c>
      <c r="Z169" s="25"/>
      <c r="AA169" s="2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25"/>
      <c r="AZ169" s="5"/>
      <c r="BK169" s="22"/>
      <c r="BL169" s="23"/>
      <c r="BM169" s="22"/>
      <c r="BN169" s="22"/>
      <c r="BO169" s="22"/>
      <c r="BP169" s="22"/>
      <c r="BQ169" s="22"/>
      <c r="BR169" s="24"/>
    </row>
    <row r="170" spans="2:70" hidden="1" outlineLevel="1">
      <c r="C170" s="43" t="s">
        <v>409</v>
      </c>
      <c r="D170" s="25" t="str">
        <f t="shared" ref="D170:V170" ca="1" si="86">IF(D$8="A",IFERROR(D339-(D196),"…"),"...")</f>
        <v>...</v>
      </c>
      <c r="E170" s="25" t="str">
        <f t="shared" ca="1" si="86"/>
        <v>...</v>
      </c>
      <c r="F170" s="25" t="str">
        <f t="shared" ca="1" si="86"/>
        <v>...</v>
      </c>
      <c r="G170" s="25" t="str">
        <f t="shared" ca="1" si="86"/>
        <v>...</v>
      </c>
      <c r="H170" s="25" t="str">
        <f t="shared" ca="1" si="86"/>
        <v>...</v>
      </c>
      <c r="I170" s="25" t="str">
        <f t="shared" ca="1" si="86"/>
        <v>...</v>
      </c>
      <c r="J170" s="25" t="str">
        <f t="shared" ca="1" si="86"/>
        <v>...</v>
      </c>
      <c r="K170" s="25" t="str">
        <f t="shared" ca="1" si="86"/>
        <v>...</v>
      </c>
      <c r="L170" s="25" t="str">
        <f t="shared" ca="1" si="86"/>
        <v>...</v>
      </c>
      <c r="M170" s="25">
        <f t="shared" ca="1" si="86"/>
        <v>165.86767241379312</v>
      </c>
      <c r="N170" s="25">
        <f t="shared" si="86"/>
        <v>184.59967241379314</v>
      </c>
      <c r="O170" s="25">
        <f t="shared" si="86"/>
        <v>160.41993103448277</v>
      </c>
      <c r="P170" s="25">
        <f t="shared" ca="1" si="86"/>
        <v>115.04027586206897</v>
      </c>
      <c r="Q170" s="25">
        <f t="shared" si="86"/>
        <v>169.50214395886888</v>
      </c>
      <c r="R170" s="25">
        <f t="shared" si="86"/>
        <v>192.99669565217391</v>
      </c>
      <c r="S170" s="25">
        <f t="shared" si="86"/>
        <v>225.8137734375</v>
      </c>
      <c r="T170" s="25">
        <f t="shared" si="86"/>
        <v>253.86627835051547</v>
      </c>
      <c r="U170" s="25">
        <f t="shared" si="86"/>
        <v>267.30113872832374</v>
      </c>
      <c r="V170" s="25" t="str">
        <f t="shared" si="86"/>
        <v>...</v>
      </c>
      <c r="W170" s="25" t="str">
        <f>IF(W$8="A",IFERROR(W339-(W196),"…"),"...")</f>
        <v>...</v>
      </c>
      <c r="X170" s="25" t="str">
        <f>IF(X$8="A",IFERROR(X339-(X196),"…"),"...")</f>
        <v>...</v>
      </c>
      <c r="Y170" s="25" t="str">
        <f>IF(Y$8="A",IFERROR(Y339-(Y196),"…"),"...")</f>
        <v>...</v>
      </c>
      <c r="Z170" s="25"/>
      <c r="AA170" s="2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25"/>
      <c r="AZ170" s="5"/>
      <c r="BK170" s="22"/>
      <c r="BL170" s="23"/>
      <c r="BM170" s="22"/>
      <c r="BN170" s="22"/>
      <c r="BO170" s="22"/>
      <c r="BP170" s="22"/>
      <c r="BQ170" s="22"/>
      <c r="BR170" s="24"/>
    </row>
    <row r="171" spans="2:70" collapsed="1">
      <c r="C171" s="44" t="s">
        <v>364</v>
      </c>
      <c r="D171" s="55" t="str">
        <f t="shared" ref="D171:T171" ca="1" si="87">IF(ISNUMBER(D173),D173,IF(ISNUMBER(D172),D172,"…"))</f>
        <v>…</v>
      </c>
      <c r="E171" s="55" t="str">
        <f t="shared" ca="1" si="87"/>
        <v>…</v>
      </c>
      <c r="F171" s="55" t="str">
        <f t="shared" ca="1" si="87"/>
        <v>…</v>
      </c>
      <c r="G171" s="55" t="str">
        <f t="shared" ca="1" si="87"/>
        <v>…</v>
      </c>
      <c r="H171" s="55" t="str">
        <f t="shared" ca="1" si="87"/>
        <v>…</v>
      </c>
      <c r="I171" s="55" t="str">
        <f t="shared" ca="1" si="87"/>
        <v>…</v>
      </c>
      <c r="J171" s="55" t="str">
        <f t="shared" ca="1" si="87"/>
        <v>…</v>
      </c>
      <c r="K171" s="55" t="str">
        <f t="shared" ca="1" si="87"/>
        <v>…</v>
      </c>
      <c r="L171" s="55" t="str">
        <f t="shared" ca="1" si="87"/>
        <v>…</v>
      </c>
      <c r="M171" s="55" t="str">
        <f t="shared" si="87"/>
        <v>…</v>
      </c>
      <c r="N171" s="55" t="str">
        <f t="shared" si="87"/>
        <v>…</v>
      </c>
      <c r="O171" s="55" t="str">
        <f t="shared" si="87"/>
        <v>…</v>
      </c>
      <c r="P171" s="55" t="str">
        <f t="shared" si="87"/>
        <v>…</v>
      </c>
      <c r="Q171" s="55" t="str">
        <f t="shared" si="87"/>
        <v>…</v>
      </c>
      <c r="R171" s="55" t="str">
        <f t="shared" si="87"/>
        <v>…</v>
      </c>
      <c r="S171" s="55" t="str">
        <f t="shared" si="87"/>
        <v>…</v>
      </c>
      <c r="T171" s="55" t="str">
        <f t="shared" si="87"/>
        <v>…</v>
      </c>
      <c r="U171" s="55" t="str">
        <f>IF(ISNUMBER(U173),U173,IF(ISNUMBER(U172),U172,"…"))</f>
        <v>…</v>
      </c>
      <c r="V171" s="55">
        <f>IF(ISNUMBER(V173),V173,IF(ISNUMBER(V172),V172,"…"))</f>
        <v>302.3849516287147</v>
      </c>
      <c r="W171" s="55">
        <f ca="1">IF(ISNUMBER(W173),W173,IF(ISNUMBER(W172),W172,"…"))</f>
        <v>334.21200771897065</v>
      </c>
      <c r="X171" s="55">
        <f ca="1">IF(ISNUMBER(X173),X173,IF(ISNUMBER(X172),X172,"…"))</f>
        <v>365.44017550149658</v>
      </c>
      <c r="Y171" s="55">
        <f ca="1">IF(ISNUMBER(Y173),Y173,IF(ISNUMBER(Y172),Y172,"…"))</f>
        <v>389.95779134059649</v>
      </c>
      <c r="Z171" s="55"/>
      <c r="AA171" s="55"/>
      <c r="AB171" s="5"/>
      <c r="AC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48"/>
      <c r="AZ171" s="5"/>
    </row>
    <row r="172" spans="2:70">
      <c r="C172" s="43" t="s">
        <v>156</v>
      </c>
      <c r="D172" s="55" t="str">
        <f t="shared" ref="D172:T172" ca="1" si="88">IF(D$8="E",IFERROR((2*C246)/(2*D177-D79+1),"…"),"…")</f>
        <v>…</v>
      </c>
      <c r="E172" s="55" t="str">
        <f t="shared" ca="1" si="88"/>
        <v>…</v>
      </c>
      <c r="F172" s="55" t="str">
        <f t="shared" ca="1" si="88"/>
        <v>…</v>
      </c>
      <c r="G172" s="55" t="str">
        <f t="shared" ca="1" si="88"/>
        <v>…</v>
      </c>
      <c r="H172" s="55" t="str">
        <f t="shared" ca="1" si="88"/>
        <v>…</v>
      </c>
      <c r="I172" s="55" t="str">
        <f t="shared" ca="1" si="88"/>
        <v>…</v>
      </c>
      <c r="J172" s="55" t="str">
        <f t="shared" ca="1" si="88"/>
        <v>…</v>
      </c>
      <c r="K172" s="55" t="str">
        <f t="shared" ca="1" si="88"/>
        <v>…</v>
      </c>
      <c r="L172" s="55" t="str">
        <f t="shared" ca="1" si="88"/>
        <v>…</v>
      </c>
      <c r="M172" s="55" t="str">
        <f t="shared" si="88"/>
        <v>…</v>
      </c>
      <c r="N172" s="55" t="str">
        <f t="shared" si="88"/>
        <v>…</v>
      </c>
      <c r="O172" s="55" t="str">
        <f t="shared" si="88"/>
        <v>…</v>
      </c>
      <c r="P172" s="55" t="str">
        <f t="shared" si="88"/>
        <v>…</v>
      </c>
      <c r="Q172" s="55" t="str">
        <f t="shared" si="88"/>
        <v>…</v>
      </c>
      <c r="R172" s="55" t="str">
        <f t="shared" si="88"/>
        <v>…</v>
      </c>
      <c r="S172" s="55" t="str">
        <f t="shared" si="88"/>
        <v>…</v>
      </c>
      <c r="T172" s="55" t="str">
        <f t="shared" si="88"/>
        <v>…</v>
      </c>
      <c r="U172" s="55" t="str">
        <f>IF(U$8="E",IFERROR((2*T246)/(2*U177-U79+1),"…"),"…")</f>
        <v>…</v>
      </c>
      <c r="V172" s="55">
        <f ca="1">IF(V$8="E",IFERROR((2*U246)/(2*V177-V79+1),"…"),"…")</f>
        <v>252.76642746477239</v>
      </c>
      <c r="W172" s="55">
        <f ca="1">IF(W$8="E",IFERROR((2*V246)/(2*W177-W79+1),"…"),"…")</f>
        <v>280.59964377165903</v>
      </c>
      <c r="X172" s="55">
        <f ca="1">IF(X$8="E",IFERROR((2*W246)/(2*X177-X79+1),"…"),"…")</f>
        <v>309.6546978068767</v>
      </c>
      <c r="Y172" s="55">
        <f ca="1">IF(Y$8="E",IFERROR((2*X246)/(2*Y177-Y79+1),"…"),"…")</f>
        <v>339.56278719253908</v>
      </c>
      <c r="Z172" s="55"/>
      <c r="AA172" s="55"/>
      <c r="AB172" s="5"/>
      <c r="AC172" s="29" t="s">
        <v>324</v>
      </c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48"/>
      <c r="AZ172" s="5"/>
    </row>
    <row r="173" spans="2:70">
      <c r="C173" s="43" t="s">
        <v>157</v>
      </c>
      <c r="D173" s="48" t="str">
        <f t="shared" ref="D173:Y173" ca="1" si="89">IF(D$8="E",IFERROR(C246/D177-D64/D177*0.5,"…"),"…")</f>
        <v>…</v>
      </c>
      <c r="E173" s="48" t="str">
        <f t="shared" ca="1" si="89"/>
        <v>…</v>
      </c>
      <c r="F173" s="48" t="str">
        <f t="shared" ca="1" si="89"/>
        <v>…</v>
      </c>
      <c r="G173" s="48" t="str">
        <f t="shared" ca="1" si="89"/>
        <v>…</v>
      </c>
      <c r="H173" s="48" t="str">
        <f t="shared" ca="1" si="89"/>
        <v>…</v>
      </c>
      <c r="I173" s="48" t="str">
        <f t="shared" ca="1" si="89"/>
        <v>…</v>
      </c>
      <c r="J173" s="48" t="str">
        <f t="shared" ca="1" si="89"/>
        <v>…</v>
      </c>
      <c r="K173" s="48" t="str">
        <f t="shared" ca="1" si="89"/>
        <v>…</v>
      </c>
      <c r="L173" s="48" t="str">
        <f t="shared" ca="1" si="89"/>
        <v>…</v>
      </c>
      <c r="M173" s="48" t="str">
        <f t="shared" si="89"/>
        <v>…</v>
      </c>
      <c r="N173" s="48" t="str">
        <f t="shared" si="89"/>
        <v>…</v>
      </c>
      <c r="O173" s="48" t="str">
        <f t="shared" si="89"/>
        <v>…</v>
      </c>
      <c r="P173" s="48" t="str">
        <f t="shared" si="89"/>
        <v>…</v>
      </c>
      <c r="Q173" s="48" t="str">
        <f t="shared" si="89"/>
        <v>…</v>
      </c>
      <c r="R173" s="48" t="str">
        <f t="shared" si="89"/>
        <v>…</v>
      </c>
      <c r="S173" s="55" t="str">
        <f t="shared" si="89"/>
        <v>…</v>
      </c>
      <c r="T173" s="55" t="str">
        <f t="shared" si="89"/>
        <v>…</v>
      </c>
      <c r="U173" s="48" t="str">
        <f t="shared" si="89"/>
        <v>…</v>
      </c>
      <c r="V173" s="48">
        <f t="shared" si="89"/>
        <v>302.3849516287147</v>
      </c>
      <c r="W173" s="48">
        <f t="shared" ca="1" si="89"/>
        <v>334.21200771897065</v>
      </c>
      <c r="X173" s="48">
        <f t="shared" ca="1" si="89"/>
        <v>365.44017550149658</v>
      </c>
      <c r="Y173" s="48">
        <f t="shared" ca="1" si="89"/>
        <v>389.95779134059649</v>
      </c>
      <c r="Z173" s="48"/>
      <c r="AA173" s="48"/>
      <c r="AB173" s="5"/>
      <c r="AC173" s="29" t="s">
        <v>324</v>
      </c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48"/>
      <c r="AZ173" s="5"/>
    </row>
    <row r="174" spans="2:70" hidden="1" outlineLevel="1">
      <c r="C174" s="38" t="s">
        <v>131</v>
      </c>
      <c r="D174" s="25" t="str">
        <f t="shared" ref="D174:Y174" ca="1" si="90">IF(ISNUMBER(D175),D175,IF(ISNUMBER(D176),D176,IF(ISNUMBER(D177),D177,"…")))</f>
        <v>…</v>
      </c>
      <c r="E174" s="25" t="str">
        <f t="shared" ca="1" si="90"/>
        <v>…</v>
      </c>
      <c r="F174" s="25" t="str">
        <f t="shared" ca="1" si="90"/>
        <v>…</v>
      </c>
      <c r="G174" s="25" t="str">
        <f t="shared" ca="1" si="90"/>
        <v>…</v>
      </c>
      <c r="H174" s="25" t="str">
        <f t="shared" ca="1" si="90"/>
        <v>…</v>
      </c>
      <c r="I174" s="25" t="str">
        <f t="shared" ca="1" si="90"/>
        <v>…</v>
      </c>
      <c r="J174" s="25" t="str">
        <f t="shared" ca="1" si="90"/>
        <v>…</v>
      </c>
      <c r="K174" s="25" t="str">
        <f t="shared" ca="1" si="90"/>
        <v>…</v>
      </c>
      <c r="L174" s="25" t="str">
        <f ca="1">IF(ISNUMBER(L175),L175,IF(ISNUMBER(L176),L176,IF(ISNUMBER(L177),L177,"…")))</f>
        <v>…</v>
      </c>
      <c r="M174" s="25">
        <f ca="1">IF(ISNUMBER(M175),M175,IF(ISNUMBER(M176),M176,IF(ISNUMBER(M177),M177,"…")))</f>
        <v>4.1362043721180948</v>
      </c>
      <c r="N174" s="36">
        <f t="shared" si="90"/>
        <v>3.844534620847865</v>
      </c>
      <c r="O174" s="36">
        <f t="shared" si="90"/>
        <v>2.204338742961963</v>
      </c>
      <c r="P174" s="36">
        <f t="shared" si="90"/>
        <v>2.6147034721072835</v>
      </c>
      <c r="Q174" s="36">
        <f t="shared" si="90"/>
        <v>4.8073060410916897</v>
      </c>
      <c r="R174" s="36">
        <f t="shared" si="90"/>
        <v>4.9903123081645182</v>
      </c>
      <c r="S174" s="36">
        <f t="shared" si="90"/>
        <v>5.0140535402805488</v>
      </c>
      <c r="T174" s="36">
        <f t="shared" si="90"/>
        <v>5.2678617310233449</v>
      </c>
      <c r="U174" s="25">
        <f t="shared" si="90"/>
        <v>5.6058857786064138</v>
      </c>
      <c r="V174" s="25">
        <f t="shared" si="90"/>
        <v>5.6058857786064138</v>
      </c>
      <c r="W174" s="25">
        <f t="shared" si="90"/>
        <v>5.6058857786064138</v>
      </c>
      <c r="X174" s="25">
        <f t="shared" si="90"/>
        <v>5.6058857786064138</v>
      </c>
      <c r="Y174" s="25">
        <f t="shared" si="90"/>
        <v>5.6058857786064138</v>
      </c>
      <c r="Z174" s="25"/>
      <c r="AA174" s="2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25"/>
      <c r="AZ174" s="5"/>
    </row>
    <row r="175" spans="2:70" hidden="1" outlineLevel="1">
      <c r="C175" s="43" t="s">
        <v>367</v>
      </c>
      <c r="D175" s="25" t="str">
        <f t="shared" ref="D175:Y175" ca="1" si="91">IF(D$8="A",IFERROR(D265/D163,"…"),IF(D$8="L",IFERROR(C175/1,"…"),"…"))</f>
        <v>…</v>
      </c>
      <c r="E175" s="25" t="str">
        <f t="shared" ca="1" si="91"/>
        <v>…</v>
      </c>
      <c r="F175" s="25" t="str">
        <f t="shared" ca="1" si="91"/>
        <v>…</v>
      </c>
      <c r="G175" s="25" t="str">
        <f t="shared" ca="1" si="91"/>
        <v>…</v>
      </c>
      <c r="H175" s="25" t="str">
        <f t="shared" ca="1" si="91"/>
        <v>…</v>
      </c>
      <c r="I175" s="25" t="str">
        <f t="shared" ca="1" si="91"/>
        <v>…</v>
      </c>
      <c r="J175" s="25" t="str">
        <f t="shared" ca="1" si="91"/>
        <v>…</v>
      </c>
      <c r="K175" s="25" t="str">
        <f t="shared" ca="1" si="91"/>
        <v>…</v>
      </c>
      <c r="L175" s="25" t="str">
        <f t="shared" ca="1" si="91"/>
        <v>…</v>
      </c>
      <c r="M175" s="25">
        <f t="shared" ca="1" si="91"/>
        <v>4.1362043721180948</v>
      </c>
      <c r="N175" s="36">
        <f t="shared" si="91"/>
        <v>3.844534620847865</v>
      </c>
      <c r="O175" s="36">
        <f t="shared" si="91"/>
        <v>2.204338742961963</v>
      </c>
      <c r="P175" s="36">
        <f t="shared" si="91"/>
        <v>2.6147034721072835</v>
      </c>
      <c r="Q175" s="36">
        <f t="shared" si="91"/>
        <v>4.8073060410916897</v>
      </c>
      <c r="R175" s="36">
        <f t="shared" si="91"/>
        <v>4.9903123081645182</v>
      </c>
      <c r="S175" s="36">
        <f t="shared" si="91"/>
        <v>5.0140535402805488</v>
      </c>
      <c r="T175" s="36">
        <f t="shared" si="91"/>
        <v>5.2678617310233449</v>
      </c>
      <c r="U175" s="25">
        <f t="shared" si="91"/>
        <v>5.6058857786064138</v>
      </c>
      <c r="V175" s="25" t="str">
        <f t="shared" si="91"/>
        <v>…</v>
      </c>
      <c r="W175" s="25" t="str">
        <f t="shared" si="91"/>
        <v>…</v>
      </c>
      <c r="X175" s="25" t="str">
        <f t="shared" si="91"/>
        <v>…</v>
      </c>
      <c r="Y175" s="25" t="str">
        <f t="shared" si="91"/>
        <v>…</v>
      </c>
      <c r="Z175" s="25"/>
      <c r="AA175" s="2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25"/>
      <c r="AZ175" s="5"/>
    </row>
    <row r="176" spans="2:70" hidden="1" outlineLevel="1">
      <c r="C176" s="43" t="s">
        <v>368</v>
      </c>
      <c r="D176" s="25" t="str">
        <f t="shared" ref="D176:T176" ca="1" si="92">IF(D$8="A",IFERROR(D265/D166,"…"),IF(D$8="L","…","…"))</f>
        <v>…</v>
      </c>
      <c r="E176" s="25" t="str">
        <f t="shared" ca="1" si="92"/>
        <v>…</v>
      </c>
      <c r="F176" s="25" t="str">
        <f t="shared" ca="1" si="92"/>
        <v>…</v>
      </c>
      <c r="G176" s="25" t="str">
        <f t="shared" ca="1" si="92"/>
        <v>…</v>
      </c>
      <c r="H176" s="25" t="str">
        <f t="shared" ca="1" si="92"/>
        <v>…</v>
      </c>
      <c r="I176" s="25" t="str">
        <f t="shared" ca="1" si="92"/>
        <v>…</v>
      </c>
      <c r="J176" s="25" t="str">
        <f t="shared" ca="1" si="92"/>
        <v>…</v>
      </c>
      <c r="K176" s="25" t="str">
        <f t="shared" ca="1" si="92"/>
        <v>…</v>
      </c>
      <c r="L176" s="25" t="str">
        <f t="shared" ca="1" si="92"/>
        <v>…</v>
      </c>
      <c r="M176" s="25">
        <f t="shared" ca="1" si="92"/>
        <v>3.4232951589473326</v>
      </c>
      <c r="N176" s="36">
        <f t="shared" si="92"/>
        <v>3.1229714140972891</v>
      </c>
      <c r="O176" s="36">
        <f t="shared" si="92"/>
        <v>3.7754504449313848</v>
      </c>
      <c r="P176" s="36">
        <f t="shared" si="92"/>
        <v>2.6147034721072839</v>
      </c>
      <c r="Q176" s="36">
        <f t="shared" si="92"/>
        <v>4.8073060410916924</v>
      </c>
      <c r="R176" s="36">
        <f t="shared" si="92"/>
        <v>4.9903123081645138</v>
      </c>
      <c r="S176" s="36">
        <f t="shared" si="92"/>
        <v>5.0140535402805497</v>
      </c>
      <c r="T176" s="36">
        <f t="shared" si="92"/>
        <v>5.2678617310233449</v>
      </c>
      <c r="U176" s="25">
        <f>IF(U$8="A",IFERROR(U265/U166,"…"),IF(U$8="L","…","…"))</f>
        <v>5.6058857786064147</v>
      </c>
      <c r="V176" s="25" t="str">
        <f>IF(V$8="A",IFERROR(V265/V166,"…"),IF(V$8="L","…","…"))</f>
        <v>…</v>
      </c>
      <c r="W176" s="25" t="str">
        <f>IF(W$8="A",IFERROR(W265/W166,"…"),IF(W$8="L","…","…"))</f>
        <v>…</v>
      </c>
      <c r="X176" s="25" t="str">
        <f>IF(X$8="A",IFERROR(X265/X166,"…"),IF(X$8="L","…","…"))</f>
        <v>…</v>
      </c>
      <c r="Y176" s="25" t="str">
        <f>IF(Y$8="A",IFERROR(Y265/Y166,"…"),IF(Y$8="L","…","…"))</f>
        <v>…</v>
      </c>
      <c r="Z176" s="25"/>
      <c r="AA176" s="2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25"/>
      <c r="AZ176" s="5"/>
    </row>
    <row r="177" spans="1:52" hidden="1" outlineLevel="1">
      <c r="C177" s="43" t="s">
        <v>369</v>
      </c>
      <c r="D177" s="25" t="str">
        <f t="shared" ref="D177:Y177" ca="1" si="93">IF(D8="E",IFERROR(D53,"…"),"…")</f>
        <v>…</v>
      </c>
      <c r="E177" s="25" t="str">
        <f t="shared" ca="1" si="93"/>
        <v>…</v>
      </c>
      <c r="F177" s="25" t="str">
        <f t="shared" ca="1" si="93"/>
        <v>…</v>
      </c>
      <c r="G177" s="25" t="str">
        <f t="shared" ca="1" si="93"/>
        <v>…</v>
      </c>
      <c r="H177" s="25" t="str">
        <f t="shared" ca="1" si="93"/>
        <v>…</v>
      </c>
      <c r="I177" s="25" t="str">
        <f t="shared" ca="1" si="93"/>
        <v>…</v>
      </c>
      <c r="J177" s="25" t="str">
        <f t="shared" ca="1" si="93"/>
        <v>…</v>
      </c>
      <c r="K177" s="25" t="str">
        <f t="shared" ca="1" si="93"/>
        <v>…</v>
      </c>
      <c r="L177" s="25" t="str">
        <f t="shared" ca="1" si="93"/>
        <v>…</v>
      </c>
      <c r="M177" s="25" t="str">
        <f t="shared" si="93"/>
        <v>…</v>
      </c>
      <c r="N177" s="36" t="str">
        <f t="shared" si="93"/>
        <v>…</v>
      </c>
      <c r="O177" s="36" t="str">
        <f t="shared" si="93"/>
        <v>…</v>
      </c>
      <c r="P177" s="36" t="str">
        <f t="shared" si="93"/>
        <v>…</v>
      </c>
      <c r="Q177" s="36" t="str">
        <f t="shared" si="93"/>
        <v>…</v>
      </c>
      <c r="R177" s="36" t="str">
        <f t="shared" si="93"/>
        <v>…</v>
      </c>
      <c r="S177" s="36" t="str">
        <f t="shared" si="93"/>
        <v>…</v>
      </c>
      <c r="T177" s="36" t="str">
        <f t="shared" si="93"/>
        <v>…</v>
      </c>
      <c r="U177" s="25" t="str">
        <f t="shared" si="93"/>
        <v>…</v>
      </c>
      <c r="V177" s="25">
        <f t="shared" si="93"/>
        <v>5.6058857786064138</v>
      </c>
      <c r="W177" s="25">
        <f t="shared" si="93"/>
        <v>5.6058857786064138</v>
      </c>
      <c r="X177" s="25">
        <f t="shared" si="93"/>
        <v>5.6058857786064138</v>
      </c>
      <c r="Y177" s="25">
        <f t="shared" si="93"/>
        <v>5.6058857786064138</v>
      </c>
      <c r="Z177" s="25"/>
      <c r="AA177" s="2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25"/>
      <c r="AZ177" s="5"/>
    </row>
    <row r="178" spans="1:52" hidden="1" outlineLevel="1">
      <c r="C178" s="43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25"/>
      <c r="AZ178" s="5"/>
    </row>
    <row r="179" spans="1:52" ht="13.15" collapsed="1">
      <c r="A179" s="5" t="s">
        <v>316</v>
      </c>
      <c r="C179" s="89" t="s">
        <v>142</v>
      </c>
      <c r="D179" s="90" t="str">
        <f t="shared" ref="D179:Y179" ca="1" si="94">D181</f>
        <v>…</v>
      </c>
      <c r="E179" s="90" t="str">
        <f t="shared" ca="1" si="94"/>
        <v>…</v>
      </c>
      <c r="F179" s="90" t="str">
        <f t="shared" ca="1" si="94"/>
        <v>…</v>
      </c>
      <c r="G179" s="90" t="str">
        <f t="shared" ca="1" si="94"/>
        <v>…</v>
      </c>
      <c r="H179" s="90" t="str">
        <f t="shared" ca="1" si="94"/>
        <v>…</v>
      </c>
      <c r="I179" s="90" t="str">
        <f t="shared" ca="1" si="94"/>
        <v>…</v>
      </c>
      <c r="J179" s="90" t="str">
        <f t="shared" ca="1" si="94"/>
        <v>…</v>
      </c>
      <c r="K179" s="90" t="str">
        <f t="shared" ca="1" si="94"/>
        <v>…</v>
      </c>
      <c r="L179" s="90" t="str">
        <f ca="1">L181</f>
        <v>…</v>
      </c>
      <c r="M179" s="90">
        <f>M181</f>
        <v>496.52</v>
      </c>
      <c r="N179" s="90">
        <f t="shared" si="94"/>
        <v>528.49700000000007</v>
      </c>
      <c r="O179" s="90">
        <f t="shared" si="94"/>
        <v>444.32</v>
      </c>
      <c r="P179" s="90">
        <f t="shared" si="94"/>
        <v>595.08199999999999</v>
      </c>
      <c r="Q179" s="90">
        <f t="shared" si="94"/>
        <v>892.5379999999999</v>
      </c>
      <c r="R179" s="90">
        <f t="shared" si="94"/>
        <v>958.87100000000009</v>
      </c>
      <c r="S179" s="90">
        <f t="shared" si="94"/>
        <v>1077.9100000000001</v>
      </c>
      <c r="T179" s="90">
        <f t="shared" si="94"/>
        <v>924.8119999999999</v>
      </c>
      <c r="U179" s="90">
        <f t="shared" si="94"/>
        <v>1301.3800000000001</v>
      </c>
      <c r="V179" s="90">
        <f t="shared" si="94"/>
        <v>1425.7510483712849</v>
      </c>
      <c r="W179" s="90">
        <f t="shared" ca="1" si="94"/>
        <v>1700.4239922810293</v>
      </c>
      <c r="X179" s="90">
        <f t="shared" ca="1" si="94"/>
        <v>1879.6188244985037</v>
      </c>
      <c r="Y179" s="90">
        <f t="shared" ca="1" si="94"/>
        <v>2044.7092086594034</v>
      </c>
      <c r="Z179" s="90"/>
      <c r="AA179" s="90"/>
      <c r="AB179" s="31"/>
      <c r="AC179" s="31"/>
      <c r="AE179" s="30"/>
      <c r="AF179" s="30"/>
      <c r="AJ179" s="31"/>
      <c r="AY179" s="90"/>
      <c r="AZ179" s="27"/>
    </row>
    <row r="180" spans="1:52" hidden="1" outlineLevel="1">
      <c r="C180" s="43"/>
      <c r="D180" s="25"/>
      <c r="E180" s="25"/>
      <c r="F180" s="25"/>
      <c r="G180" s="25"/>
      <c r="H180" s="25"/>
      <c r="I180" s="25"/>
      <c r="J180" s="25"/>
      <c r="K180" s="25"/>
      <c r="L180" s="2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5"/>
      <c r="AZ180" s="5"/>
    </row>
    <row r="181" spans="1:52" hidden="1" outlineLevel="1">
      <c r="C181" s="5" t="s">
        <v>142</v>
      </c>
      <c r="D181" s="47" t="str">
        <f t="shared" ref="D181:L181" ca="1" si="95">IF(D182="…","…",D182)</f>
        <v>…</v>
      </c>
      <c r="E181" s="47" t="str">
        <f t="shared" ca="1" si="95"/>
        <v>…</v>
      </c>
      <c r="F181" s="47" t="str">
        <f t="shared" ca="1" si="95"/>
        <v>…</v>
      </c>
      <c r="G181" s="47" t="str">
        <f t="shared" ca="1" si="95"/>
        <v>…</v>
      </c>
      <c r="H181" s="47" t="str">
        <f t="shared" ca="1" si="95"/>
        <v>…</v>
      </c>
      <c r="I181" s="47" t="str">
        <f t="shared" ca="1" si="95"/>
        <v>…</v>
      </c>
      <c r="J181" s="58" t="str">
        <f t="shared" ca="1" si="95"/>
        <v>…</v>
      </c>
      <c r="K181" s="58" t="str">
        <f t="shared" ca="1" si="95"/>
        <v>…</v>
      </c>
      <c r="L181" s="58" t="str">
        <f t="shared" ca="1" si="95"/>
        <v>…</v>
      </c>
      <c r="M181" s="58">
        <f t="shared" ref="M181:Y181" si="96">IF(ISNUMBER(M182),M182,IF(ISNUMBER(M185),M185,"…"))</f>
        <v>496.52</v>
      </c>
      <c r="N181" s="58">
        <f t="shared" si="96"/>
        <v>528.49700000000007</v>
      </c>
      <c r="O181" s="48">
        <f t="shared" si="96"/>
        <v>444.32</v>
      </c>
      <c r="P181" s="48">
        <f t="shared" si="96"/>
        <v>595.08199999999999</v>
      </c>
      <c r="Q181" s="48">
        <f t="shared" si="96"/>
        <v>892.5379999999999</v>
      </c>
      <c r="R181" s="48">
        <f t="shared" si="96"/>
        <v>958.87100000000009</v>
      </c>
      <c r="S181" s="48">
        <f t="shared" si="96"/>
        <v>1077.9100000000001</v>
      </c>
      <c r="T181" s="48">
        <f t="shared" si="96"/>
        <v>924.8119999999999</v>
      </c>
      <c r="U181" s="48">
        <f t="shared" si="96"/>
        <v>1301.3800000000001</v>
      </c>
      <c r="V181" s="48">
        <f t="shared" si="96"/>
        <v>1425.7510483712849</v>
      </c>
      <c r="W181" s="48">
        <f t="shared" ca="1" si="96"/>
        <v>1700.4239922810293</v>
      </c>
      <c r="X181" s="48">
        <f t="shared" ca="1" si="96"/>
        <v>1879.6188244985037</v>
      </c>
      <c r="Y181" s="48">
        <f t="shared" ca="1" si="96"/>
        <v>2044.7092086594034</v>
      </c>
      <c r="Z181" s="48"/>
      <c r="AA181" s="48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48"/>
      <c r="AZ181" s="5"/>
    </row>
    <row r="182" spans="1:52" hidden="1" outlineLevel="1">
      <c r="C182" s="44" t="s">
        <v>298</v>
      </c>
      <c r="D182" s="25" t="str">
        <f t="shared" ref="D182:Y185" ca="1" si="97">IF(ISNUMBER(D183),D183,IF(ISNUMBER(D184),D184,"…"))</f>
        <v>…</v>
      </c>
      <c r="E182" s="25" t="str">
        <f t="shared" ca="1" si="97"/>
        <v>…</v>
      </c>
      <c r="F182" s="25" t="str">
        <f t="shared" ca="1" si="97"/>
        <v>…</v>
      </c>
      <c r="G182" s="25" t="str">
        <f t="shared" ca="1" si="97"/>
        <v>…</v>
      </c>
      <c r="H182" s="25" t="str">
        <f t="shared" ca="1" si="97"/>
        <v>…</v>
      </c>
      <c r="I182" s="25" t="str">
        <f t="shared" ca="1" si="97"/>
        <v>…</v>
      </c>
      <c r="J182" s="25" t="str">
        <f t="shared" ca="1" si="97"/>
        <v>…</v>
      </c>
      <c r="K182" s="25" t="str">
        <f t="shared" ca="1" si="97"/>
        <v>…</v>
      </c>
      <c r="L182" s="25" t="str">
        <f t="shared" ca="1" si="97"/>
        <v>…</v>
      </c>
      <c r="M182" s="25">
        <f t="shared" si="97"/>
        <v>496.52</v>
      </c>
      <c r="N182" s="25">
        <f t="shared" si="97"/>
        <v>528.49700000000007</v>
      </c>
      <c r="O182" s="48">
        <f t="shared" si="97"/>
        <v>444.32</v>
      </c>
      <c r="P182" s="48">
        <f t="shared" si="97"/>
        <v>595.08199999999999</v>
      </c>
      <c r="Q182" s="48">
        <f t="shared" si="97"/>
        <v>892.5379999999999</v>
      </c>
      <c r="R182" s="48">
        <f t="shared" si="97"/>
        <v>958.87100000000009</v>
      </c>
      <c r="S182" s="48">
        <f t="shared" si="97"/>
        <v>1077.9100000000001</v>
      </c>
      <c r="T182" s="48">
        <f t="shared" si="97"/>
        <v>924.8119999999999</v>
      </c>
      <c r="U182" s="48">
        <f t="shared" si="97"/>
        <v>1301.3800000000001</v>
      </c>
      <c r="V182" s="48" t="str">
        <f t="shared" si="97"/>
        <v>…</v>
      </c>
      <c r="W182" s="48" t="str">
        <f t="shared" si="97"/>
        <v>…</v>
      </c>
      <c r="X182" s="48" t="str">
        <f t="shared" si="97"/>
        <v>…</v>
      </c>
      <c r="Y182" s="48" t="str">
        <f t="shared" si="97"/>
        <v>…</v>
      </c>
      <c r="Z182" s="48"/>
      <c r="AA182" s="48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48"/>
      <c r="AZ182" s="5"/>
    </row>
    <row r="183" spans="1:52" hidden="1" outlineLevel="1">
      <c r="C183" s="43" t="s">
        <v>156</v>
      </c>
      <c r="D183" s="25" t="str">
        <f t="shared" ref="D183:L183" ca="1" si="98">IFERROR(D153-D162,"…")</f>
        <v>…</v>
      </c>
      <c r="E183" s="25" t="str">
        <f t="shared" ca="1" si="98"/>
        <v>…</v>
      </c>
      <c r="F183" s="25" t="str">
        <f t="shared" ca="1" si="98"/>
        <v>…</v>
      </c>
      <c r="G183" s="25" t="str">
        <f t="shared" ca="1" si="98"/>
        <v>…</v>
      </c>
      <c r="H183" s="25" t="str">
        <f t="shared" ca="1" si="98"/>
        <v>…</v>
      </c>
      <c r="I183" s="25" t="str">
        <f t="shared" ca="1" si="98"/>
        <v>…</v>
      </c>
      <c r="J183" s="25" t="str">
        <f t="shared" ca="1" si="98"/>
        <v>…</v>
      </c>
      <c r="K183" s="25" t="str">
        <f t="shared" ca="1" si="98"/>
        <v>…</v>
      </c>
      <c r="L183" s="25" t="str">
        <f t="shared" ca="1" si="98"/>
        <v>…</v>
      </c>
      <c r="M183" s="25">
        <f t="shared" ref="M183:Y183" si="99">IFERROR(M153-M163,"…")</f>
        <v>496.52</v>
      </c>
      <c r="N183" s="25">
        <f t="shared" si="99"/>
        <v>528.49700000000007</v>
      </c>
      <c r="O183" s="25">
        <f t="shared" si="99"/>
        <v>444.32</v>
      </c>
      <c r="P183" s="25">
        <f t="shared" si="99"/>
        <v>595.08199999999999</v>
      </c>
      <c r="Q183" s="25">
        <f t="shared" si="99"/>
        <v>892.5379999999999</v>
      </c>
      <c r="R183" s="25">
        <f t="shared" si="99"/>
        <v>958.87100000000009</v>
      </c>
      <c r="S183" s="25">
        <f t="shared" si="99"/>
        <v>1077.9100000000001</v>
      </c>
      <c r="T183" s="25">
        <f t="shared" si="99"/>
        <v>924.8119999999999</v>
      </c>
      <c r="U183" s="25">
        <f t="shared" si="99"/>
        <v>1301.3800000000001</v>
      </c>
      <c r="V183" s="25" t="str">
        <f t="shared" si="99"/>
        <v>…</v>
      </c>
      <c r="W183" s="25" t="str">
        <f t="shared" si="99"/>
        <v>…</v>
      </c>
      <c r="X183" s="25" t="str">
        <f t="shared" si="99"/>
        <v>…</v>
      </c>
      <c r="Y183" s="25" t="str">
        <f t="shared" si="99"/>
        <v>…</v>
      </c>
      <c r="Z183" s="25"/>
      <c r="AA183" s="2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25"/>
      <c r="AZ183" s="5"/>
    </row>
    <row r="184" spans="1:52" hidden="1" outlineLevel="1">
      <c r="C184" s="43" t="s">
        <v>157</v>
      </c>
      <c r="D184" s="25" t="str">
        <f t="shared" ref="D184:Y184" ca="1" si="100">IF(D8="A",IFERROR(D321+D191,"…"),"…")</f>
        <v>…</v>
      </c>
      <c r="E184" s="25" t="str">
        <f t="shared" ca="1" si="100"/>
        <v>…</v>
      </c>
      <c r="F184" s="25" t="str">
        <f t="shared" ca="1" si="100"/>
        <v>…</v>
      </c>
      <c r="G184" s="25" t="str">
        <f t="shared" ca="1" si="100"/>
        <v>…</v>
      </c>
      <c r="H184" s="25" t="str">
        <f t="shared" ca="1" si="100"/>
        <v>…</v>
      </c>
      <c r="I184" s="25" t="str">
        <f t="shared" ca="1" si="100"/>
        <v>…</v>
      </c>
      <c r="J184" s="25" t="str">
        <f t="shared" ca="1" si="100"/>
        <v>…</v>
      </c>
      <c r="K184" s="25" t="str">
        <f t="shared" ca="1" si="100"/>
        <v>…</v>
      </c>
      <c r="L184" s="25" t="str">
        <f t="shared" ca="1" si="100"/>
        <v>…</v>
      </c>
      <c r="M184" s="25" t="str">
        <f t="shared" si="100"/>
        <v>…</v>
      </c>
      <c r="N184" s="25" t="str">
        <f t="shared" si="100"/>
        <v>…</v>
      </c>
      <c r="O184" s="25" t="str">
        <f t="shared" si="100"/>
        <v>…</v>
      </c>
      <c r="P184" s="25">
        <f t="shared" si="100"/>
        <v>595.08199999999999</v>
      </c>
      <c r="Q184" s="25">
        <f t="shared" si="100"/>
        <v>892.53800000000001</v>
      </c>
      <c r="R184" s="25">
        <f t="shared" si="100"/>
        <v>958.87099999999998</v>
      </c>
      <c r="S184" s="25">
        <f t="shared" si="100"/>
        <v>1077.9100000000001</v>
      </c>
      <c r="T184" s="25">
        <f t="shared" si="100"/>
        <v>924.8119999999999</v>
      </c>
      <c r="U184" s="25">
        <f t="shared" si="100"/>
        <v>1301.3800000000001</v>
      </c>
      <c r="V184" s="25" t="str">
        <f t="shared" si="100"/>
        <v>…</v>
      </c>
      <c r="W184" s="25" t="str">
        <f t="shared" si="100"/>
        <v>…</v>
      </c>
      <c r="X184" s="25" t="str">
        <f t="shared" si="100"/>
        <v>…</v>
      </c>
      <c r="Y184" s="25" t="str">
        <f t="shared" si="100"/>
        <v>…</v>
      </c>
      <c r="Z184" s="25"/>
      <c r="AA184" s="2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25"/>
      <c r="AZ184" s="5"/>
    </row>
    <row r="185" spans="1:52" hidden="1" outlineLevel="1">
      <c r="C185" s="44" t="s">
        <v>403</v>
      </c>
      <c r="D185" s="25" t="str">
        <f t="shared" ca="1" si="97"/>
        <v>…</v>
      </c>
      <c r="E185" s="25" t="str">
        <f t="shared" ca="1" si="97"/>
        <v>…</v>
      </c>
      <c r="F185" s="25" t="str">
        <f t="shared" ca="1" si="97"/>
        <v>…</v>
      </c>
      <c r="G185" s="25" t="str">
        <f t="shared" ca="1" si="97"/>
        <v>…</v>
      </c>
      <c r="H185" s="25" t="str">
        <f t="shared" ca="1" si="97"/>
        <v>…</v>
      </c>
      <c r="I185" s="25" t="str">
        <f t="shared" ca="1" si="97"/>
        <v>…</v>
      </c>
      <c r="J185" s="25" t="str">
        <f t="shared" ca="1" si="97"/>
        <v>…</v>
      </c>
      <c r="K185" s="25" t="str">
        <f t="shared" ca="1" si="97"/>
        <v>…</v>
      </c>
      <c r="L185" s="25" t="str">
        <f t="shared" ca="1" si="97"/>
        <v>…</v>
      </c>
      <c r="M185" s="25">
        <f t="shared" ca="1" si="97"/>
        <v>467.93132758620686</v>
      </c>
      <c r="N185" s="25">
        <f t="shared" si="97"/>
        <v>493.8503275862069</v>
      </c>
      <c r="O185" s="48">
        <f t="shared" si="97"/>
        <v>558.65706896551728</v>
      </c>
      <c r="P185" s="48">
        <f t="shared" ca="1" si="97"/>
        <v>727.75872413793104</v>
      </c>
      <c r="Q185" s="48">
        <f t="shared" si="97"/>
        <v>866.51985604113111</v>
      </c>
      <c r="R185" s="48">
        <f t="shared" si="97"/>
        <v>922.25830434782597</v>
      </c>
      <c r="S185" s="48">
        <f t="shared" si="97"/>
        <v>1043.5782265625</v>
      </c>
      <c r="T185" s="48">
        <f t="shared" si="97"/>
        <v>888.89772164948454</v>
      </c>
      <c r="U185" s="48">
        <f t="shared" si="97"/>
        <v>1264.1758612716762</v>
      </c>
      <c r="V185" s="48">
        <f t="shared" si="97"/>
        <v>1425.7510483712849</v>
      </c>
      <c r="W185" s="48">
        <f t="shared" ca="1" si="97"/>
        <v>1700.4239922810293</v>
      </c>
      <c r="X185" s="48">
        <f t="shared" ca="1" si="97"/>
        <v>1879.6188244985037</v>
      </c>
      <c r="Y185" s="48">
        <f t="shared" ca="1" si="97"/>
        <v>2044.7092086594034</v>
      </c>
      <c r="Z185" s="48"/>
      <c r="AA185" s="48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48"/>
      <c r="AZ185" s="5"/>
    </row>
    <row r="186" spans="1:52" hidden="1" outlineLevel="1">
      <c r="C186" s="43" t="s">
        <v>156</v>
      </c>
      <c r="D186" s="25" t="str">
        <f t="shared" ref="D186:T186" ca="1" si="101">IFERROR(D158-D171,"…")</f>
        <v>…</v>
      </c>
      <c r="E186" s="25" t="str">
        <f t="shared" ca="1" si="101"/>
        <v>…</v>
      </c>
      <c r="F186" s="25" t="str">
        <f t="shared" ca="1" si="101"/>
        <v>…</v>
      </c>
      <c r="G186" s="25" t="str">
        <f t="shared" ca="1" si="101"/>
        <v>…</v>
      </c>
      <c r="H186" s="25" t="str">
        <f t="shared" ca="1" si="101"/>
        <v>…</v>
      </c>
      <c r="I186" s="25" t="str">
        <f t="shared" ca="1" si="101"/>
        <v>…</v>
      </c>
      <c r="J186" s="25" t="str">
        <f t="shared" ca="1" si="101"/>
        <v>…</v>
      </c>
      <c r="K186" s="25" t="str">
        <f t="shared" ca="1" si="101"/>
        <v>…</v>
      </c>
      <c r="L186" s="25" t="str">
        <f t="shared" ca="1" si="101"/>
        <v>…</v>
      </c>
      <c r="M186" s="25" t="str">
        <f t="shared" si="101"/>
        <v>…</v>
      </c>
      <c r="N186" s="25" t="str">
        <f t="shared" si="101"/>
        <v>…</v>
      </c>
      <c r="O186" s="48" t="str">
        <f t="shared" si="101"/>
        <v>…</v>
      </c>
      <c r="P186" s="48" t="str">
        <f t="shared" si="101"/>
        <v>…</v>
      </c>
      <c r="Q186" s="48" t="str">
        <f t="shared" si="101"/>
        <v>…</v>
      </c>
      <c r="R186" s="48" t="str">
        <f t="shared" si="101"/>
        <v>…</v>
      </c>
      <c r="S186" s="48" t="str">
        <f t="shared" si="101"/>
        <v>…</v>
      </c>
      <c r="T186" s="48" t="str">
        <f t="shared" si="101"/>
        <v>…</v>
      </c>
      <c r="U186" s="48" t="str">
        <f>IFERROR(U158-U171,"…")</f>
        <v>…</v>
      </c>
      <c r="V186" s="48">
        <f>IFERROR(V158-V171,"…")</f>
        <v>1425.7510483712849</v>
      </c>
      <c r="W186" s="48">
        <f ca="1">IFERROR(W158-W171,"…")</f>
        <v>1700.4239922810293</v>
      </c>
      <c r="X186" s="48">
        <f ca="1">IFERROR(X158-X171,"…")</f>
        <v>1879.6188244985037</v>
      </c>
      <c r="Y186" s="48">
        <f ca="1">IFERROR(Y158-Y171,"…")</f>
        <v>2044.7092086594034</v>
      </c>
      <c r="Z186" s="48"/>
      <c r="AA186" s="48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48"/>
      <c r="AZ186" s="5"/>
    </row>
    <row r="187" spans="1:52" hidden="1" outlineLevel="1">
      <c r="C187" s="43" t="s">
        <v>157</v>
      </c>
      <c r="D187" s="25" t="str">
        <f t="shared" ref="D187:Y187" ca="1" si="102">IFERROR(D222+D196,"…")</f>
        <v>…</v>
      </c>
      <c r="E187" s="25" t="str">
        <f t="shared" ca="1" si="102"/>
        <v>…</v>
      </c>
      <c r="F187" s="25" t="str">
        <f t="shared" ca="1" si="102"/>
        <v>…</v>
      </c>
      <c r="G187" s="25" t="str">
        <f t="shared" ca="1" si="102"/>
        <v>…</v>
      </c>
      <c r="H187" s="25" t="str">
        <f t="shared" ca="1" si="102"/>
        <v>…</v>
      </c>
      <c r="I187" s="25" t="str">
        <f t="shared" ca="1" si="102"/>
        <v>…</v>
      </c>
      <c r="J187" s="25" t="str">
        <f t="shared" ca="1" si="102"/>
        <v>…</v>
      </c>
      <c r="K187" s="25" t="str">
        <f t="shared" ca="1" si="102"/>
        <v>…</v>
      </c>
      <c r="L187" s="25" t="str">
        <f t="shared" ca="1" si="102"/>
        <v>…</v>
      </c>
      <c r="M187" s="25">
        <f t="shared" ca="1" si="102"/>
        <v>467.93132758620686</v>
      </c>
      <c r="N187" s="25">
        <f t="shared" si="102"/>
        <v>493.8503275862069</v>
      </c>
      <c r="O187" s="48">
        <f t="shared" si="102"/>
        <v>558.65706896551728</v>
      </c>
      <c r="P187" s="48">
        <f t="shared" ca="1" si="102"/>
        <v>727.75872413793104</v>
      </c>
      <c r="Q187" s="48">
        <f t="shared" si="102"/>
        <v>866.51985604113111</v>
      </c>
      <c r="R187" s="48">
        <f t="shared" si="102"/>
        <v>922.25830434782597</v>
      </c>
      <c r="S187" s="48">
        <f t="shared" si="102"/>
        <v>1043.5782265625</v>
      </c>
      <c r="T187" s="48">
        <f t="shared" si="102"/>
        <v>888.89772164948454</v>
      </c>
      <c r="U187" s="48">
        <f t="shared" si="102"/>
        <v>1264.1758612716762</v>
      </c>
      <c r="V187" s="48">
        <f t="shared" si="102"/>
        <v>1401.9681560693641</v>
      </c>
      <c r="W187" s="48">
        <f t="shared" si="102"/>
        <v>1609.5045980598529</v>
      </c>
      <c r="X187" s="48">
        <f t="shared" si="102"/>
        <v>1728.2335733855073</v>
      </c>
      <c r="Y187" s="48">
        <f t="shared" si="102"/>
        <v>1883.7683858353134</v>
      </c>
      <c r="Z187" s="48"/>
      <c r="AA187" s="48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48"/>
      <c r="AZ187" s="5"/>
    </row>
    <row r="188" spans="1:52" ht="13.15" hidden="1" outlineLevel="1">
      <c r="C188" s="43"/>
      <c r="D188" s="25"/>
      <c r="E188" s="25"/>
      <c r="F188" s="25"/>
      <c r="G188" s="25"/>
      <c r="H188" s="25"/>
      <c r="I188" s="25"/>
      <c r="J188" s="25"/>
      <c r="K188" s="25"/>
      <c r="L188" s="25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E188" s="9" t="s">
        <v>1585</v>
      </c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48"/>
      <c r="AZ188" s="5"/>
    </row>
    <row r="189" spans="1:52" ht="13.15" collapsed="1">
      <c r="C189" s="91" t="s">
        <v>147</v>
      </c>
      <c r="D189" s="90" t="str">
        <f t="shared" ref="D189:Y189" ca="1" si="103">IFERROR(-D190,"…")</f>
        <v>…</v>
      </c>
      <c r="E189" s="90" t="str">
        <f t="shared" ca="1" si="103"/>
        <v>…</v>
      </c>
      <c r="F189" s="90" t="str">
        <f t="shared" ca="1" si="103"/>
        <v>…</v>
      </c>
      <c r="G189" s="90" t="str">
        <f t="shared" ca="1" si="103"/>
        <v>…</v>
      </c>
      <c r="H189" s="90" t="str">
        <f t="shared" ca="1" si="103"/>
        <v>…</v>
      </c>
      <c r="I189" s="90" t="str">
        <f t="shared" ca="1" si="103"/>
        <v>…</v>
      </c>
      <c r="J189" s="90" t="str">
        <f t="shared" ca="1" si="103"/>
        <v>…</v>
      </c>
      <c r="K189" s="90" t="str">
        <f t="shared" ca="1" si="103"/>
        <v>…</v>
      </c>
      <c r="L189" s="90" t="str">
        <f t="shared" ca="1" si="103"/>
        <v>…</v>
      </c>
      <c r="M189" s="90">
        <f t="shared" ca="1" si="103"/>
        <v>-104.3823275862069</v>
      </c>
      <c r="N189" s="90">
        <f t="shared" si="103"/>
        <v>-104.3823275862069</v>
      </c>
      <c r="O189" s="90">
        <f t="shared" si="103"/>
        <v>-114.33706896551725</v>
      </c>
      <c r="P189" s="90">
        <f t="shared" si="103"/>
        <v>0</v>
      </c>
      <c r="Q189" s="90">
        <f t="shared" si="103"/>
        <v>-117.122</v>
      </c>
      <c r="R189" s="90">
        <f t="shared" si="103"/>
        <v>-132.364</v>
      </c>
      <c r="S189" s="90">
        <f t="shared" si="103"/>
        <v>-160.464</v>
      </c>
      <c r="T189" s="90">
        <f t="shared" si="103"/>
        <v>-208.685</v>
      </c>
      <c r="U189" s="90">
        <f t="shared" si="103"/>
        <v>-225.892</v>
      </c>
      <c r="V189" s="90">
        <f t="shared" si="103"/>
        <v>-219.30115606936414</v>
      </c>
      <c r="W189" s="90">
        <f t="shared" si="103"/>
        <v>-177.04659805985276</v>
      </c>
      <c r="X189" s="90">
        <f t="shared" si="103"/>
        <v>-142.93357338550732</v>
      </c>
      <c r="Y189" s="90">
        <f t="shared" si="103"/>
        <v>-115.39338583531324</v>
      </c>
      <c r="Z189" s="90"/>
      <c r="AA189" s="90"/>
      <c r="AB189" s="86" t="s">
        <v>1711</v>
      </c>
      <c r="AC189" s="86" t="s">
        <v>1711</v>
      </c>
      <c r="AE189" s="9" t="s">
        <v>1588</v>
      </c>
      <c r="AF189" s="30"/>
      <c r="AJ189" s="31"/>
      <c r="AY189" s="90"/>
      <c r="AZ189" s="27"/>
    </row>
    <row r="190" spans="1:52" s="33" customFormat="1" ht="13.15" hidden="1" outlineLevel="1">
      <c r="A190" s="5"/>
      <c r="B190" s="5"/>
      <c r="C190" s="5" t="s">
        <v>147</v>
      </c>
      <c r="D190" s="25" t="str">
        <f t="shared" ref="D190:Y190" ca="1" si="104">IF(AND(ISNUMBER(D191),$AE$190=1),D191,IF(AND(ISNUMBER(D192),$AE$191=1),D192,IF(ISNUMBER(D196),D196,"…")))</f>
        <v>…</v>
      </c>
      <c r="E190" s="25" t="str">
        <f t="shared" ca="1" si="104"/>
        <v>…</v>
      </c>
      <c r="F190" s="25" t="str">
        <f t="shared" ca="1" si="104"/>
        <v>…</v>
      </c>
      <c r="G190" s="25" t="str">
        <f t="shared" ca="1" si="104"/>
        <v>…</v>
      </c>
      <c r="H190" s="25" t="str">
        <f t="shared" ca="1" si="104"/>
        <v>…</v>
      </c>
      <c r="I190" s="25" t="str">
        <f t="shared" ca="1" si="104"/>
        <v>…</v>
      </c>
      <c r="J190" s="25" t="str">
        <f t="shared" ca="1" si="104"/>
        <v>…</v>
      </c>
      <c r="K190" s="25" t="str">
        <f t="shared" ca="1" si="104"/>
        <v>…</v>
      </c>
      <c r="L190" s="25" t="str">
        <f t="shared" ca="1" si="104"/>
        <v>…</v>
      </c>
      <c r="M190" s="25">
        <f t="shared" ca="1" si="104"/>
        <v>104.3823275862069</v>
      </c>
      <c r="N190" s="25">
        <f t="shared" si="104"/>
        <v>104.3823275862069</v>
      </c>
      <c r="O190" s="25">
        <f t="shared" si="104"/>
        <v>114.33706896551725</v>
      </c>
      <c r="P190" s="25">
        <f t="shared" si="104"/>
        <v>0</v>
      </c>
      <c r="Q190" s="25">
        <f t="shared" si="104"/>
        <v>117.122</v>
      </c>
      <c r="R190" s="25">
        <f t="shared" si="104"/>
        <v>132.364</v>
      </c>
      <c r="S190" s="25">
        <f t="shared" si="104"/>
        <v>160.464</v>
      </c>
      <c r="T190" s="25">
        <f t="shared" si="104"/>
        <v>208.685</v>
      </c>
      <c r="U190" s="25">
        <f t="shared" si="104"/>
        <v>225.892</v>
      </c>
      <c r="V190" s="25">
        <f t="shared" si="104"/>
        <v>219.30115606936414</v>
      </c>
      <c r="W190" s="25">
        <f t="shared" si="104"/>
        <v>177.04659805985276</v>
      </c>
      <c r="X190" s="25">
        <f t="shared" si="104"/>
        <v>142.93357338550732</v>
      </c>
      <c r="Y190" s="25">
        <f t="shared" si="104"/>
        <v>115.39338583531324</v>
      </c>
      <c r="Z190" s="25"/>
      <c r="AA190" s="25"/>
      <c r="AE190" s="81">
        <v>1</v>
      </c>
      <c r="AG190" s="5"/>
      <c r="AY190" s="25"/>
    </row>
    <row r="191" spans="1:52" s="33" customFormat="1" ht="13.15" hidden="1" outlineLevel="1">
      <c r="A191" s="5"/>
      <c r="B191" s="5"/>
      <c r="C191" s="44" t="s">
        <v>295</v>
      </c>
      <c r="D191" s="25" t="str">
        <f t="shared" ref="D191:Y191" ca="1" si="105">IF(D$8="A",IF(D211="…","calc.",D211),IF(D$8="L","…","…"))</f>
        <v>…</v>
      </c>
      <c r="E191" s="25" t="str">
        <f t="shared" ca="1" si="105"/>
        <v>…</v>
      </c>
      <c r="F191" s="25" t="str">
        <f t="shared" ca="1" si="105"/>
        <v>…</v>
      </c>
      <c r="G191" s="25" t="str">
        <f t="shared" ca="1" si="105"/>
        <v>…</v>
      </c>
      <c r="H191" s="25" t="str">
        <f t="shared" ca="1" si="105"/>
        <v>…</v>
      </c>
      <c r="I191" s="25" t="str">
        <f t="shared" ca="1" si="105"/>
        <v>…</v>
      </c>
      <c r="J191" s="25" t="str">
        <f t="shared" ca="1" si="105"/>
        <v>…</v>
      </c>
      <c r="K191" s="25" t="str">
        <f t="shared" ca="1" si="105"/>
        <v>…</v>
      </c>
      <c r="L191" s="25" t="str">
        <f t="shared" ca="1" si="105"/>
        <v>…</v>
      </c>
      <c r="M191" s="25" t="str">
        <f t="shared" si="105"/>
        <v>calc.</v>
      </c>
      <c r="N191" s="25" t="str">
        <f t="shared" si="105"/>
        <v>calc.</v>
      </c>
      <c r="O191" s="25" t="str">
        <f t="shared" si="105"/>
        <v>calc.</v>
      </c>
      <c r="P191" s="25">
        <f t="shared" si="105"/>
        <v>0</v>
      </c>
      <c r="Q191" s="25">
        <f t="shared" si="105"/>
        <v>117.122</v>
      </c>
      <c r="R191" s="25">
        <f t="shared" si="105"/>
        <v>132.364</v>
      </c>
      <c r="S191" s="25">
        <f t="shared" si="105"/>
        <v>160.464</v>
      </c>
      <c r="T191" s="25">
        <f t="shared" si="105"/>
        <v>208.685</v>
      </c>
      <c r="U191" s="25">
        <f t="shared" si="105"/>
        <v>225.892</v>
      </c>
      <c r="V191" s="25" t="str">
        <f t="shared" si="105"/>
        <v>…</v>
      </c>
      <c r="W191" s="25" t="str">
        <f t="shared" si="105"/>
        <v>…</v>
      </c>
      <c r="X191" s="25" t="str">
        <f t="shared" si="105"/>
        <v>…</v>
      </c>
      <c r="Y191" s="25" t="str">
        <f t="shared" si="105"/>
        <v>…</v>
      </c>
      <c r="Z191" s="25"/>
      <c r="AA191" s="25"/>
      <c r="AE191" s="83">
        <v>0</v>
      </c>
      <c r="AG191" s="5"/>
      <c r="AY191" s="25"/>
    </row>
    <row r="192" spans="1:52" s="33" customFormat="1" hidden="1" outlineLevel="1">
      <c r="A192" s="5"/>
      <c r="C192" s="44" t="s">
        <v>296</v>
      </c>
      <c r="D192" s="25" t="str">
        <f t="shared" ref="D192:Y192" ca="1" si="106">IF(AND(ISNUMBER(D193),$AE$193=1),D193,IF(AND(ISNUMBER(D194),$AE$194=1),D194,IF(AND(ISNUMBER(D195),$AE$195=1),D195,"…")))</f>
        <v>…</v>
      </c>
      <c r="E192" s="25" t="str">
        <f t="shared" ca="1" si="106"/>
        <v>…</v>
      </c>
      <c r="F192" s="25" t="str">
        <f t="shared" ca="1" si="106"/>
        <v>…</v>
      </c>
      <c r="G192" s="25" t="str">
        <f t="shared" ca="1" si="106"/>
        <v>…</v>
      </c>
      <c r="H192" s="25" t="str">
        <f t="shared" ca="1" si="106"/>
        <v>…</v>
      </c>
      <c r="I192" s="25" t="str">
        <f t="shared" ca="1" si="106"/>
        <v>…</v>
      </c>
      <c r="J192" s="25" t="str">
        <f t="shared" ca="1" si="106"/>
        <v>…</v>
      </c>
      <c r="K192" s="25" t="str">
        <f t="shared" ca="1" si="106"/>
        <v>…</v>
      </c>
      <c r="L192" s="25" t="str">
        <f t="shared" ca="1" si="106"/>
        <v>…</v>
      </c>
      <c r="M192" s="25">
        <f t="shared" si="106"/>
        <v>132.97</v>
      </c>
      <c r="N192" s="25">
        <f t="shared" si="106"/>
        <v>139.03</v>
      </c>
      <c r="O192" s="25">
        <f t="shared" si="106"/>
        <v>0</v>
      </c>
      <c r="P192" s="25">
        <f t="shared" si="106"/>
        <v>0</v>
      </c>
      <c r="Q192" s="25">
        <f t="shared" si="106"/>
        <v>117.12</v>
      </c>
      <c r="R192" s="25">
        <f t="shared" si="106"/>
        <v>132.36000000000001</v>
      </c>
      <c r="S192" s="25">
        <f t="shared" si="106"/>
        <v>160.46</v>
      </c>
      <c r="T192" s="25">
        <f t="shared" si="106"/>
        <v>208.69</v>
      </c>
      <c r="U192" s="25">
        <f t="shared" si="106"/>
        <v>225.89</v>
      </c>
      <c r="V192" s="25" t="str">
        <f t="shared" si="106"/>
        <v>…</v>
      </c>
      <c r="W192" s="25" t="str">
        <f t="shared" si="106"/>
        <v>…</v>
      </c>
      <c r="X192" s="25" t="str">
        <f t="shared" si="106"/>
        <v>…</v>
      </c>
      <c r="Y192" s="25" t="str">
        <f t="shared" si="106"/>
        <v>…</v>
      </c>
      <c r="Z192" s="25"/>
      <c r="AA192" s="25"/>
      <c r="AG192" s="5"/>
      <c r="AY192" s="25"/>
    </row>
    <row r="193" spans="1:51" s="33" customFormat="1" ht="13.15" hidden="1" outlineLevel="1">
      <c r="A193" s="5"/>
      <c r="C193" s="43" t="s">
        <v>1583</v>
      </c>
      <c r="D193" s="25" t="str">
        <f t="shared" ref="D193:T193" ca="1" si="107">IFERROR(ROUND((D153-D163)-D321,2),"…")</f>
        <v>…</v>
      </c>
      <c r="E193" s="25" t="str">
        <f t="shared" ca="1" si="107"/>
        <v>…</v>
      </c>
      <c r="F193" s="25" t="str">
        <f t="shared" ca="1" si="107"/>
        <v>…</v>
      </c>
      <c r="G193" s="25" t="str">
        <f t="shared" ca="1" si="107"/>
        <v>…</v>
      </c>
      <c r="H193" s="25" t="str">
        <f t="shared" ca="1" si="107"/>
        <v>…</v>
      </c>
      <c r="I193" s="25" t="str">
        <f t="shared" ca="1" si="107"/>
        <v>…</v>
      </c>
      <c r="J193" s="25" t="str">
        <f t="shared" ca="1" si="107"/>
        <v>…</v>
      </c>
      <c r="K193" s="25" t="str">
        <f t="shared" ca="1" si="107"/>
        <v>…</v>
      </c>
      <c r="L193" s="25" t="str">
        <f t="shared" ca="1" si="107"/>
        <v>…</v>
      </c>
      <c r="M193" s="25">
        <f t="shared" si="107"/>
        <v>132.97</v>
      </c>
      <c r="N193" s="25">
        <f t="shared" si="107"/>
        <v>139.03</v>
      </c>
      <c r="O193" s="25">
        <f t="shared" si="107"/>
        <v>0</v>
      </c>
      <c r="P193" s="25">
        <f t="shared" si="107"/>
        <v>0</v>
      </c>
      <c r="Q193" s="25">
        <f t="shared" si="107"/>
        <v>117.12</v>
      </c>
      <c r="R193" s="25">
        <f t="shared" si="107"/>
        <v>132.36000000000001</v>
      </c>
      <c r="S193" s="25">
        <f t="shared" si="107"/>
        <v>160.46</v>
      </c>
      <c r="T193" s="25">
        <f t="shared" si="107"/>
        <v>208.69</v>
      </c>
      <c r="U193" s="25">
        <f>IFERROR(ROUND((U153-U163)-U321,2),"…")</f>
        <v>225.89</v>
      </c>
      <c r="V193" s="25" t="str">
        <f>IFERROR(ROUND((V153-V163)-V321,2),"…")</f>
        <v>…</v>
      </c>
      <c r="W193" s="25" t="str">
        <f>IFERROR(ROUND((W153-W163)-W321,2),"…")</f>
        <v>…</v>
      </c>
      <c r="X193" s="25" t="str">
        <f>IFERROR(ROUND((X153-X163)-X321,2),"…")</f>
        <v>…</v>
      </c>
      <c r="Y193" s="25" t="str">
        <f>IFERROR(ROUND((Y153-Y163)-Y321,2),"…")</f>
        <v>…</v>
      </c>
      <c r="Z193" s="25"/>
      <c r="AA193" s="25"/>
      <c r="AD193" s="84" t="s">
        <v>1589</v>
      </c>
      <c r="AE193" s="81">
        <v>1</v>
      </c>
      <c r="AG193" s="5"/>
      <c r="AY193" s="25"/>
    </row>
    <row r="194" spans="1:51" s="33" customFormat="1" ht="13.15" hidden="1" outlineLevel="1">
      <c r="A194" s="5"/>
      <c r="C194" s="43" t="s">
        <v>1582</v>
      </c>
      <c r="D194" s="25" t="str">
        <f t="shared" ref="D194:Y194" si="108">IFERROR(ROUND(D339-D332,2),"…")</f>
        <v>…</v>
      </c>
      <c r="E194" s="25" t="str">
        <f t="shared" si="108"/>
        <v>…</v>
      </c>
      <c r="F194" s="25" t="str">
        <f t="shared" si="108"/>
        <v>…</v>
      </c>
      <c r="G194" s="25" t="str">
        <f t="shared" si="108"/>
        <v>…</v>
      </c>
      <c r="H194" s="25" t="str">
        <f t="shared" si="108"/>
        <v>…</v>
      </c>
      <c r="I194" s="25" t="str">
        <f t="shared" si="108"/>
        <v>…</v>
      </c>
      <c r="J194" s="25" t="str">
        <f t="shared" si="108"/>
        <v>…</v>
      </c>
      <c r="K194" s="25" t="str">
        <f t="shared" si="108"/>
        <v>…</v>
      </c>
      <c r="L194" s="25" t="str">
        <f t="shared" si="108"/>
        <v>…</v>
      </c>
      <c r="M194" s="25">
        <f t="shared" si="108"/>
        <v>132.97</v>
      </c>
      <c r="N194" s="25">
        <f>IFERROR(ROUND(N339-N332,2),"…")</f>
        <v>139.03</v>
      </c>
      <c r="O194" s="25">
        <f>IFERROR(ROUND(O339-O332,2),"…")</f>
        <v>0</v>
      </c>
      <c r="P194" s="25">
        <f t="shared" si="108"/>
        <v>0</v>
      </c>
      <c r="Q194" s="25">
        <f t="shared" si="108"/>
        <v>117.12</v>
      </c>
      <c r="R194" s="25">
        <f t="shared" si="108"/>
        <v>132.36000000000001</v>
      </c>
      <c r="S194" s="25">
        <f t="shared" si="108"/>
        <v>160.46</v>
      </c>
      <c r="T194" s="25">
        <f t="shared" si="108"/>
        <v>208.69</v>
      </c>
      <c r="U194" s="25">
        <f t="shared" si="108"/>
        <v>225.89</v>
      </c>
      <c r="V194" s="25" t="str">
        <f t="shared" si="108"/>
        <v>…</v>
      </c>
      <c r="W194" s="25" t="str">
        <f t="shared" si="108"/>
        <v>…</v>
      </c>
      <c r="X194" s="25" t="str">
        <f t="shared" si="108"/>
        <v>…</v>
      </c>
      <c r="Y194" s="25" t="str">
        <f t="shared" si="108"/>
        <v>…</v>
      </c>
      <c r="Z194" s="25"/>
      <c r="AA194" s="25"/>
      <c r="AD194" s="84" t="s">
        <v>1590</v>
      </c>
      <c r="AE194" s="82">
        <v>0</v>
      </c>
      <c r="AG194" s="5"/>
      <c r="AY194" s="25"/>
    </row>
    <row r="195" spans="1:51" s="33" customFormat="1" ht="13.15" hidden="1" outlineLevel="1">
      <c r="A195" s="5"/>
      <c r="C195" s="43" t="s">
        <v>366</v>
      </c>
      <c r="D195" s="25" t="str">
        <f t="shared" ref="D195:Y195" ca="1" si="109">IFERROR(IF(D267=0,0,"…"),"…")</f>
        <v>…</v>
      </c>
      <c r="E195" s="25" t="str">
        <f t="shared" ca="1" si="109"/>
        <v>…</v>
      </c>
      <c r="F195" s="25" t="str">
        <f t="shared" ca="1" si="109"/>
        <v>…</v>
      </c>
      <c r="G195" s="25" t="str">
        <f t="shared" ca="1" si="109"/>
        <v>…</v>
      </c>
      <c r="H195" s="25" t="str">
        <f t="shared" ca="1" si="109"/>
        <v>…</v>
      </c>
      <c r="I195" s="25" t="str">
        <f t="shared" ca="1" si="109"/>
        <v>…</v>
      </c>
      <c r="J195" s="25" t="str">
        <f t="shared" ca="1" si="109"/>
        <v>…</v>
      </c>
      <c r="K195" s="25" t="str">
        <f t="shared" ca="1" si="109"/>
        <v>…</v>
      </c>
      <c r="L195" s="25" t="str">
        <f ca="1">IFERROR(IF(L267=0,0,"…"),"…")</f>
        <v>…</v>
      </c>
      <c r="M195" s="25" t="str">
        <f ca="1">IFERROR(IF(M267=0,0,"…"),"…")</f>
        <v>…</v>
      </c>
      <c r="N195" s="25" t="str">
        <f>IFERROR(IF(N267=0,0,"…"),"…")</f>
        <v>…</v>
      </c>
      <c r="O195" s="25" t="str">
        <f>IFERROR(IF(O267=0,0,"…"),"…")</f>
        <v>…</v>
      </c>
      <c r="P195" s="25" t="str">
        <f t="shared" si="109"/>
        <v>…</v>
      </c>
      <c r="Q195" s="25" t="str">
        <f t="shared" si="109"/>
        <v>…</v>
      </c>
      <c r="R195" s="25" t="str">
        <f t="shared" si="109"/>
        <v>…</v>
      </c>
      <c r="S195" s="25" t="str">
        <f t="shared" si="109"/>
        <v>…</v>
      </c>
      <c r="T195" s="25" t="str">
        <f t="shared" si="109"/>
        <v>…</v>
      </c>
      <c r="U195" s="25" t="str">
        <f t="shared" si="109"/>
        <v>…</v>
      </c>
      <c r="V195" s="25" t="str">
        <f t="shared" si="109"/>
        <v>…</v>
      </c>
      <c r="W195" s="25" t="str">
        <f t="shared" si="109"/>
        <v>…</v>
      </c>
      <c r="X195" s="25" t="str">
        <f t="shared" si="109"/>
        <v>…</v>
      </c>
      <c r="Y195" s="25" t="str">
        <f t="shared" si="109"/>
        <v>…</v>
      </c>
      <c r="Z195" s="25"/>
      <c r="AA195" s="25"/>
      <c r="AD195" s="84" t="s">
        <v>1591</v>
      </c>
      <c r="AE195" s="83">
        <v>0</v>
      </c>
      <c r="AG195" s="5"/>
      <c r="AY195" s="25"/>
    </row>
    <row r="196" spans="1:51" s="33" customFormat="1" ht="11.25" hidden="1" customHeight="1" outlineLevel="1">
      <c r="A196" s="5"/>
      <c r="C196" s="44" t="s">
        <v>370</v>
      </c>
      <c r="D196" s="25" t="str">
        <f t="shared" ref="D196:Y196" ca="1" si="110">IF(ISNUMBER(D197),D197,IF(ISNUMBER(D198),D198,"…"))</f>
        <v>…</v>
      </c>
      <c r="E196" s="25" t="str">
        <f t="shared" ca="1" si="110"/>
        <v>…</v>
      </c>
      <c r="F196" s="25" t="str">
        <f t="shared" ca="1" si="110"/>
        <v>…</v>
      </c>
      <c r="G196" s="25" t="str">
        <f t="shared" ca="1" si="110"/>
        <v>…</v>
      </c>
      <c r="H196" s="25" t="str">
        <f t="shared" ca="1" si="110"/>
        <v>…</v>
      </c>
      <c r="I196" s="25" t="str">
        <f t="shared" ca="1" si="110"/>
        <v>…</v>
      </c>
      <c r="J196" s="25" t="str">
        <f t="shared" ca="1" si="110"/>
        <v>…</v>
      </c>
      <c r="K196" s="25" t="str">
        <f t="shared" ca="1" si="110"/>
        <v>…</v>
      </c>
      <c r="L196" s="25" t="str">
        <f t="shared" ca="1" si="110"/>
        <v>…</v>
      </c>
      <c r="M196" s="48">
        <f t="shared" ca="1" si="110"/>
        <v>104.3823275862069</v>
      </c>
      <c r="N196" s="48">
        <f t="shared" si="110"/>
        <v>104.3823275862069</v>
      </c>
      <c r="O196" s="48">
        <f t="shared" si="110"/>
        <v>114.33706896551725</v>
      </c>
      <c r="P196" s="48">
        <f t="shared" ca="1" si="110"/>
        <v>132.67672413793105</v>
      </c>
      <c r="Q196" s="48">
        <f t="shared" si="110"/>
        <v>91.10385604113111</v>
      </c>
      <c r="R196" s="48">
        <f t="shared" si="110"/>
        <v>95.751304347826078</v>
      </c>
      <c r="S196" s="48">
        <f t="shared" si="110"/>
        <v>126.13222656250001</v>
      </c>
      <c r="T196" s="48">
        <f t="shared" si="110"/>
        <v>172.77072164948453</v>
      </c>
      <c r="U196" s="48">
        <f t="shared" si="110"/>
        <v>188.68786127167627</v>
      </c>
      <c r="V196" s="48">
        <f t="shared" si="110"/>
        <v>219.30115606936414</v>
      </c>
      <c r="W196" s="48">
        <f t="shared" si="110"/>
        <v>177.04659805985276</v>
      </c>
      <c r="X196" s="48">
        <f t="shared" si="110"/>
        <v>142.93357338550732</v>
      </c>
      <c r="Y196" s="48">
        <f t="shared" si="110"/>
        <v>115.39338583531324</v>
      </c>
      <c r="Z196" s="48"/>
      <c r="AA196" s="48"/>
      <c r="AG196" s="5"/>
      <c r="AY196" s="48"/>
    </row>
    <row r="197" spans="1:51" s="33" customFormat="1" hidden="1" outlineLevel="1">
      <c r="A197" s="5"/>
      <c r="C197" s="43" t="s">
        <v>156</v>
      </c>
      <c r="D197" s="48" t="str">
        <f t="shared" ref="D197:Y197" ca="1" si="111">IF(D$8="A",IFERROR(IFERROR(C248/(D200+1/2),"…"),"…"),IF(D$8="L","…",IF(D$8="E",IFERROR(C248/(D200+1/2),"…"),"…")))</f>
        <v>…</v>
      </c>
      <c r="E197" s="48" t="str">
        <f t="shared" ca="1" si="111"/>
        <v>…</v>
      </c>
      <c r="F197" s="48" t="str">
        <f t="shared" ca="1" si="111"/>
        <v>…</v>
      </c>
      <c r="G197" s="48" t="str">
        <f t="shared" ca="1" si="111"/>
        <v>…</v>
      </c>
      <c r="H197" s="48" t="str">
        <f t="shared" ca="1" si="111"/>
        <v>…</v>
      </c>
      <c r="I197" s="48" t="str">
        <f t="shared" ca="1" si="111"/>
        <v>…</v>
      </c>
      <c r="J197" s="48" t="str">
        <f t="shared" ca="1" si="111"/>
        <v>…</v>
      </c>
      <c r="K197" s="48" t="str">
        <f t="shared" ca="1" si="111"/>
        <v>…</v>
      </c>
      <c r="L197" s="48" t="str">
        <f t="shared" ca="1" si="111"/>
        <v>…</v>
      </c>
      <c r="M197" s="48" t="str">
        <f t="shared" ca="1" si="111"/>
        <v>…</v>
      </c>
      <c r="N197" s="48">
        <f t="shared" si="111"/>
        <v>104.3823275862069</v>
      </c>
      <c r="O197" s="48">
        <f t="shared" si="111"/>
        <v>114.33706896551725</v>
      </c>
      <c r="P197" s="48">
        <f t="shared" ca="1" si="111"/>
        <v>132.67672413793105</v>
      </c>
      <c r="Q197" s="48">
        <f>IF(Q$8="A",IFERROR(IFERROR(P248/(Q200+1/2),"…"),"…"),IF(Q$8="L","…",IF(Q$8="E",IFERROR(P248/(Q200+1/2),"…"),"…")))</f>
        <v>91.10385604113111</v>
      </c>
      <c r="R197" s="48">
        <f t="shared" si="111"/>
        <v>95.751304347826078</v>
      </c>
      <c r="S197" s="48">
        <f t="shared" si="111"/>
        <v>126.13222656250001</v>
      </c>
      <c r="T197" s="48">
        <f t="shared" si="111"/>
        <v>172.77072164948453</v>
      </c>
      <c r="U197" s="48">
        <f t="shared" si="111"/>
        <v>188.68786127167627</v>
      </c>
      <c r="V197" s="48">
        <f t="shared" si="111"/>
        <v>219.30115606936414</v>
      </c>
      <c r="W197" s="48">
        <f t="shared" si="111"/>
        <v>177.04659805985276</v>
      </c>
      <c r="X197" s="48">
        <f t="shared" si="111"/>
        <v>142.93357338550732</v>
      </c>
      <c r="Y197" s="48">
        <f t="shared" si="111"/>
        <v>115.39338583531324</v>
      </c>
      <c r="Z197" s="48"/>
      <c r="AA197" s="48"/>
      <c r="AG197" s="5"/>
      <c r="AY197" s="48"/>
    </row>
    <row r="198" spans="1:51" s="33" customFormat="1" hidden="1" outlineLevel="1">
      <c r="A198" s="5"/>
      <c r="C198" s="43" t="s">
        <v>157</v>
      </c>
      <c r="D198" s="48" t="str">
        <f t="shared" ref="D198:J198" ca="1" si="112">IF(D$8="A",IFERROR(IFERROR(D267/(D200),"…"),"…"),IF(D$8="L","…",IF(D$8="E",IFERROR(D267/(D200),"…"),"…")))</f>
        <v>…</v>
      </c>
      <c r="E198" s="48" t="str">
        <f t="shared" ca="1" si="112"/>
        <v>…</v>
      </c>
      <c r="F198" s="48" t="str">
        <f t="shared" ca="1" si="112"/>
        <v>…</v>
      </c>
      <c r="G198" s="48" t="str">
        <f t="shared" ca="1" si="112"/>
        <v>…</v>
      </c>
      <c r="H198" s="48" t="str">
        <f t="shared" ca="1" si="112"/>
        <v>…</v>
      </c>
      <c r="I198" s="48" t="str">
        <f t="shared" ca="1" si="112"/>
        <v>…</v>
      </c>
      <c r="J198" s="48" t="str">
        <f t="shared" ca="1" si="112"/>
        <v>…</v>
      </c>
      <c r="K198" s="48" t="str">
        <f t="shared" ref="K198:Y198" ca="1" si="113">IF(K$8="A",IFERROR(IFERROR(K267/(K200+1/2),"…"),"…"),IF(K$8="L","…",IF(K$8="E",IFERROR(K267/(K200),"…"),"…")))</f>
        <v>…</v>
      </c>
      <c r="L198" s="48" t="str">
        <f t="shared" ca="1" si="113"/>
        <v>…</v>
      </c>
      <c r="M198" s="48">
        <f t="shared" ca="1" si="113"/>
        <v>104.3823275862069</v>
      </c>
      <c r="N198" s="48">
        <f t="shared" si="113"/>
        <v>109.35969827586207</v>
      </c>
      <c r="O198" s="48">
        <f t="shared" si="113"/>
        <v>123.50689655172415</v>
      </c>
      <c r="P198" s="48">
        <f t="shared" ca="1" si="113"/>
        <v>142.71637931034482</v>
      </c>
      <c r="Q198" s="48">
        <f t="shared" si="113"/>
        <v>102.16580976863752</v>
      </c>
      <c r="R198" s="48">
        <f t="shared" si="113"/>
        <v>118.07097826086957</v>
      </c>
      <c r="S198" s="48">
        <f t="shared" si="113"/>
        <v>144.89599609375</v>
      </c>
      <c r="T198" s="48">
        <f t="shared" si="113"/>
        <v>187.34309278350514</v>
      </c>
      <c r="U198" s="48">
        <f t="shared" si="113"/>
        <v>203.99450867052019</v>
      </c>
      <c r="V198" s="48" t="str">
        <f t="shared" si="113"/>
        <v>…</v>
      </c>
      <c r="W198" s="48" t="str">
        <f t="shared" si="113"/>
        <v>…</v>
      </c>
      <c r="X198" s="48" t="str">
        <f t="shared" si="113"/>
        <v>…</v>
      </c>
      <c r="Y198" s="48" t="str">
        <f t="shared" si="113"/>
        <v>…</v>
      </c>
      <c r="Z198" s="48"/>
      <c r="AA198" s="48"/>
      <c r="AG198" s="5"/>
      <c r="AY198" s="48"/>
    </row>
    <row r="199" spans="1:51" s="33" customFormat="1" hidden="1" outlineLevel="1">
      <c r="A199" s="5"/>
      <c r="C199" s="44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G199" s="5"/>
      <c r="AY199" s="48"/>
    </row>
    <row r="200" spans="1:51" s="33" customFormat="1" hidden="1" outlineLevel="1">
      <c r="A200" s="5"/>
      <c r="C200" s="29" t="s">
        <v>312</v>
      </c>
      <c r="D200" s="25" t="str">
        <f t="shared" ref="D200:I200" ca="1" si="114">IF(ISNUMBER(D201),D201,IF(ISNUMBER(D202),D202,"…"))</f>
        <v>…</v>
      </c>
      <c r="E200" s="25" t="str">
        <f t="shared" ca="1" si="114"/>
        <v>…</v>
      </c>
      <c r="F200" s="25" t="str">
        <f ca="1">IF(ISNUMBER(F201),F201,IF(ISNUMBER(F202),F202,"…"))</f>
        <v>…</v>
      </c>
      <c r="G200" s="25" t="str">
        <f t="shared" ca="1" si="114"/>
        <v>…</v>
      </c>
      <c r="H200" s="25" t="str">
        <f t="shared" ca="1" si="114"/>
        <v>…</v>
      </c>
      <c r="I200" s="25" t="str">
        <f t="shared" ca="1" si="114"/>
        <v>…</v>
      </c>
      <c r="J200" s="25" t="str">
        <f t="shared" ref="J200:Y200" ca="1" si="115">IF(ISNUMBER(J201),J201,IF(ISNUMBER(J202),J202,IF(ISNUMBER(J206),J206,"…")))</f>
        <v>…</v>
      </c>
      <c r="K200" s="25" t="str">
        <f t="shared" ca="1" si="115"/>
        <v>…</v>
      </c>
      <c r="L200" s="25" t="str">
        <f ca="1">IF(ISNUMBER(L201),L201,IF(ISNUMBER(L202),L202,IF(ISNUMBER(L206),L206,"…")))</f>
        <v>…</v>
      </c>
      <c r="M200" s="25">
        <f ca="1">IF(ISNUMBER(M201),M201,IF(ISNUMBER(M202),M202,IF(ISNUMBER(M206),M206,"…")))</f>
        <v>1.82</v>
      </c>
      <c r="N200" s="25">
        <f t="shared" si="115"/>
        <v>1.82</v>
      </c>
      <c r="O200" s="25">
        <f t="shared" si="115"/>
        <v>1.82</v>
      </c>
      <c r="P200" s="25">
        <f t="shared" ca="1" si="115"/>
        <v>1.82</v>
      </c>
      <c r="Q200" s="25">
        <f t="shared" si="115"/>
        <v>3.39</v>
      </c>
      <c r="R200" s="25">
        <f t="shared" si="115"/>
        <v>4.0999999999999996</v>
      </c>
      <c r="S200" s="25">
        <f t="shared" si="115"/>
        <v>4.62</v>
      </c>
      <c r="T200" s="25">
        <f t="shared" si="115"/>
        <v>4.3499999999999996</v>
      </c>
      <c r="U200" s="25">
        <f t="shared" si="115"/>
        <v>4.6900000000000004</v>
      </c>
      <c r="V200" s="25">
        <f t="shared" si="115"/>
        <v>4.6900000000000004</v>
      </c>
      <c r="W200" s="25">
        <f t="shared" si="115"/>
        <v>4.6900000000000004</v>
      </c>
      <c r="X200" s="25">
        <f t="shared" si="115"/>
        <v>4.6900000000000004</v>
      </c>
      <c r="Y200" s="25">
        <f t="shared" si="115"/>
        <v>4.6900000000000004</v>
      </c>
      <c r="Z200" s="25"/>
      <c r="AA200" s="25"/>
      <c r="AG200" s="5"/>
      <c r="AY200" s="25"/>
    </row>
    <row r="201" spans="1:51" s="33" customFormat="1" hidden="1" outlineLevel="1">
      <c r="A201" s="5"/>
      <c r="C201" s="38" t="s">
        <v>310</v>
      </c>
      <c r="D201" s="25" t="str">
        <f t="shared" ref="D201:Y201" ca="1" si="116">IF(D$8="A",IFERROR(ROUND(D267/D191,2),IFERROR(ROUND(D267/D192,2),"…")),IF(D$8="L","…","…"))</f>
        <v>…</v>
      </c>
      <c r="E201" s="25" t="str">
        <f t="shared" ca="1" si="116"/>
        <v>…</v>
      </c>
      <c r="F201" s="25" t="str">
        <f t="shared" ca="1" si="116"/>
        <v>…</v>
      </c>
      <c r="G201" s="25" t="str">
        <f t="shared" ca="1" si="116"/>
        <v>…</v>
      </c>
      <c r="H201" s="25" t="str">
        <f t="shared" ca="1" si="116"/>
        <v>…</v>
      </c>
      <c r="I201" s="25" t="str">
        <f t="shared" ca="1" si="116"/>
        <v>…</v>
      </c>
      <c r="J201" s="25" t="str">
        <f t="shared" ca="1" si="116"/>
        <v>…</v>
      </c>
      <c r="K201" s="25" t="str">
        <f t="shared" ca="1" si="116"/>
        <v>…</v>
      </c>
      <c r="L201" s="25" t="str">
        <f t="shared" ca="1" si="116"/>
        <v>…</v>
      </c>
      <c r="M201" s="25">
        <f t="shared" ca="1" si="116"/>
        <v>1.82</v>
      </c>
      <c r="N201" s="25">
        <f t="shared" si="116"/>
        <v>1.82</v>
      </c>
      <c r="O201" s="25" t="str">
        <f t="shared" si="116"/>
        <v>…</v>
      </c>
      <c r="P201" s="25" t="str">
        <f t="shared" si="116"/>
        <v>…</v>
      </c>
      <c r="Q201" s="25">
        <f t="shared" si="116"/>
        <v>3.39</v>
      </c>
      <c r="R201" s="25">
        <f t="shared" si="116"/>
        <v>4.0999999999999996</v>
      </c>
      <c r="S201" s="25">
        <f t="shared" si="116"/>
        <v>4.62</v>
      </c>
      <c r="T201" s="25">
        <f t="shared" si="116"/>
        <v>4.3499999999999996</v>
      </c>
      <c r="U201" s="25">
        <f t="shared" si="116"/>
        <v>4.6900000000000004</v>
      </c>
      <c r="V201" s="25" t="str">
        <f t="shared" si="116"/>
        <v>…</v>
      </c>
      <c r="W201" s="25" t="str">
        <f t="shared" si="116"/>
        <v>…</v>
      </c>
      <c r="X201" s="25" t="str">
        <f t="shared" si="116"/>
        <v>…</v>
      </c>
      <c r="Y201" s="25" t="str">
        <f t="shared" si="116"/>
        <v>…</v>
      </c>
      <c r="Z201" s="25"/>
      <c r="AA201" s="25"/>
      <c r="AG201" s="5"/>
      <c r="AY201" s="25"/>
    </row>
    <row r="202" spans="1:51" s="33" customFormat="1" hidden="1" outlineLevel="1">
      <c r="A202" s="5"/>
      <c r="C202" s="38" t="s">
        <v>311</v>
      </c>
      <c r="D202" s="25" t="str">
        <f ca="1">IF(ISNUMBER(D203),D203,IF(ISNUMBER(D204),D204,IF(ISNUMBER(D205),D205,"…")))</f>
        <v>…</v>
      </c>
      <c r="E202" s="25" t="str">
        <f t="shared" ref="E202:Y202" ca="1" si="117">IF(ISNUMBER(E203),E203,IF(ISNUMBER(E204),E204,IF(ISNUMBER(E205),E205,"…")))</f>
        <v>…</v>
      </c>
      <c r="F202" s="25" t="str">
        <f ca="1">IF(ISNUMBER(F203),F203,IF(ISNUMBER(F204),F204,IF(ISNUMBER(F205),F205,"…")))</f>
        <v>…</v>
      </c>
      <c r="G202" s="25" t="str">
        <f t="shared" ca="1" si="117"/>
        <v>…</v>
      </c>
      <c r="H202" s="25" t="str">
        <f t="shared" ca="1" si="117"/>
        <v>…</v>
      </c>
      <c r="I202" s="25" t="str">
        <f t="shared" ca="1" si="117"/>
        <v>…</v>
      </c>
      <c r="J202" s="25" t="str">
        <f t="shared" ca="1" si="117"/>
        <v>…</v>
      </c>
      <c r="K202" s="25" t="str">
        <f t="shared" ca="1" si="117"/>
        <v>…</v>
      </c>
      <c r="L202" s="25" t="str">
        <f t="shared" ca="1" si="117"/>
        <v>…</v>
      </c>
      <c r="M202" s="25">
        <f t="shared" ca="1" si="117"/>
        <v>1.82</v>
      </c>
      <c r="N202" s="25">
        <f t="shared" ca="1" si="117"/>
        <v>1.82</v>
      </c>
      <c r="O202" s="25">
        <f t="shared" si="117"/>
        <v>1.82</v>
      </c>
      <c r="P202" s="25">
        <f t="shared" ca="1" si="117"/>
        <v>1.82</v>
      </c>
      <c r="Q202" s="25">
        <f t="shared" ca="1" si="117"/>
        <v>1.82</v>
      </c>
      <c r="R202" s="25">
        <f t="shared" si="117"/>
        <v>3.39</v>
      </c>
      <c r="S202" s="25">
        <f t="shared" si="117"/>
        <v>4.0999999999999996</v>
      </c>
      <c r="T202" s="25">
        <f t="shared" si="117"/>
        <v>4.62</v>
      </c>
      <c r="U202" s="25">
        <f t="shared" si="117"/>
        <v>4.3499999999999996</v>
      </c>
      <c r="V202" s="25" t="str">
        <f t="shared" si="117"/>
        <v>…</v>
      </c>
      <c r="W202" s="25" t="str">
        <f t="shared" si="117"/>
        <v>…</v>
      </c>
      <c r="X202" s="25" t="str">
        <f t="shared" si="117"/>
        <v>…</v>
      </c>
      <c r="Y202" s="25" t="str">
        <f t="shared" si="117"/>
        <v>…</v>
      </c>
      <c r="Z202" s="25"/>
      <c r="AA202" s="25"/>
      <c r="AD202" s="33" t="s">
        <v>313</v>
      </c>
      <c r="AG202" s="5"/>
      <c r="AY202" s="25"/>
    </row>
    <row r="203" spans="1:51" s="33" customFormat="1" hidden="1" outlineLevel="1">
      <c r="A203" s="5"/>
      <c r="C203" s="43" t="s">
        <v>156</v>
      </c>
      <c r="D203" s="48" t="str">
        <f t="shared" ref="D203:P203" ca="1" si="118">IF(D$8="A",IFERROR(AVERAGE(C201,E206),"…"),IF(D$8="L","…","…"))</f>
        <v>…</v>
      </c>
      <c r="E203" s="48" t="str">
        <f t="shared" ca="1" si="118"/>
        <v>…</v>
      </c>
      <c r="F203" s="48" t="str">
        <f t="shared" ca="1" si="118"/>
        <v>…</v>
      </c>
      <c r="G203" s="48" t="str">
        <f t="shared" ca="1" si="118"/>
        <v>…</v>
      </c>
      <c r="H203" s="48" t="str">
        <f t="shared" ca="1" si="118"/>
        <v>…</v>
      </c>
      <c r="I203" s="48" t="str">
        <f t="shared" ca="1" si="118"/>
        <v>…</v>
      </c>
      <c r="J203" s="48" t="str">
        <f t="shared" ca="1" si="118"/>
        <v>…</v>
      </c>
      <c r="K203" s="48" t="str">
        <f t="shared" ca="1" si="118"/>
        <v>…</v>
      </c>
      <c r="L203" s="48" t="str">
        <f ca="1">IF(L$8="A",IFERROR(AVERAGE(K201,M206),"…"),IF(L$8="L","…","…"))</f>
        <v>…</v>
      </c>
      <c r="M203" s="48">
        <f ca="1">IF(M$8="A",IFERROR(AVERAGE(L201,N206),"…"),IF(M$8="L","…","…"))</f>
        <v>1.82</v>
      </c>
      <c r="N203" s="48">
        <f ca="1">IF(N$8="A",IFERROR(AVERAGE(M201,O206),"…"),IF(N$8="L","…","…"))</f>
        <v>1.82</v>
      </c>
      <c r="O203" s="48">
        <f>IF(O$8="A",IFERROR(AVERAGE(N201,P206),"…"),IF(O$8="L","…","…"))</f>
        <v>1.82</v>
      </c>
      <c r="P203" s="48" t="str">
        <f t="shared" si="118"/>
        <v>…</v>
      </c>
      <c r="Q203" s="48" t="str">
        <f t="shared" ref="Q203:Y203" si="119">IF(Q$8="A",IFERROR(AVERAGE(P201,AC206),"…"),IF(Q$8="L","…","…"))</f>
        <v>…</v>
      </c>
      <c r="R203" s="48">
        <f t="shared" si="119"/>
        <v>3.39</v>
      </c>
      <c r="S203" s="48">
        <f t="shared" si="119"/>
        <v>4.0999999999999996</v>
      </c>
      <c r="T203" s="48">
        <f t="shared" si="119"/>
        <v>4.62</v>
      </c>
      <c r="U203" s="48">
        <f t="shared" si="119"/>
        <v>4.3499999999999996</v>
      </c>
      <c r="V203" s="48" t="str">
        <f t="shared" si="119"/>
        <v>…</v>
      </c>
      <c r="W203" s="48" t="str">
        <f t="shared" si="119"/>
        <v>…</v>
      </c>
      <c r="X203" s="48" t="str">
        <f t="shared" si="119"/>
        <v>…</v>
      </c>
      <c r="Y203" s="48" t="str">
        <f t="shared" si="119"/>
        <v>…</v>
      </c>
      <c r="Z203" s="48"/>
      <c r="AA203" s="48"/>
      <c r="AG203" s="5"/>
      <c r="AY203" s="48"/>
    </row>
    <row r="204" spans="1:51" s="33" customFormat="1" hidden="1" outlineLevel="1">
      <c r="A204" s="5"/>
      <c r="C204" s="43" t="s">
        <v>157</v>
      </c>
      <c r="D204" s="48" t="str">
        <f t="shared" ref="D204:Y204" ca="1" si="120">IF(D$8="A",IFERROR(AVERAGE($D$201:$O$201),"…"),"…")</f>
        <v>…</v>
      </c>
      <c r="E204" s="48" t="str">
        <f t="shared" ca="1" si="120"/>
        <v>…</v>
      </c>
      <c r="F204" s="48" t="str">
        <f t="shared" ca="1" si="120"/>
        <v>…</v>
      </c>
      <c r="G204" s="48" t="str">
        <f t="shared" ca="1" si="120"/>
        <v>…</v>
      </c>
      <c r="H204" s="48" t="str">
        <f t="shared" ca="1" si="120"/>
        <v>…</v>
      </c>
      <c r="I204" s="48" t="str">
        <f t="shared" ca="1" si="120"/>
        <v>…</v>
      </c>
      <c r="J204" s="48" t="str">
        <f t="shared" ca="1" si="120"/>
        <v>…</v>
      </c>
      <c r="K204" s="48" t="str">
        <f t="shared" ca="1" si="120"/>
        <v>…</v>
      </c>
      <c r="L204" s="48" t="str">
        <f t="shared" ca="1" si="120"/>
        <v>…</v>
      </c>
      <c r="M204" s="48">
        <f t="shared" ca="1" si="120"/>
        <v>1.82</v>
      </c>
      <c r="N204" s="48">
        <f t="shared" ca="1" si="120"/>
        <v>1.82</v>
      </c>
      <c r="O204" s="48">
        <f t="shared" ca="1" si="120"/>
        <v>1.82</v>
      </c>
      <c r="P204" s="48">
        <f t="shared" ca="1" si="120"/>
        <v>1.82</v>
      </c>
      <c r="Q204" s="48">
        <f t="shared" ca="1" si="120"/>
        <v>1.82</v>
      </c>
      <c r="R204" s="48">
        <f t="shared" ca="1" si="120"/>
        <v>1.82</v>
      </c>
      <c r="S204" s="48">
        <f t="shared" ca="1" si="120"/>
        <v>1.82</v>
      </c>
      <c r="T204" s="48">
        <f t="shared" ca="1" si="120"/>
        <v>1.82</v>
      </c>
      <c r="U204" s="48">
        <f t="shared" ca="1" si="120"/>
        <v>1.82</v>
      </c>
      <c r="V204" s="48" t="str">
        <f t="shared" si="120"/>
        <v>…</v>
      </c>
      <c r="W204" s="48" t="str">
        <f t="shared" si="120"/>
        <v>…</v>
      </c>
      <c r="X204" s="48" t="str">
        <f t="shared" si="120"/>
        <v>…</v>
      </c>
      <c r="Y204" s="48" t="str">
        <f t="shared" si="120"/>
        <v>…</v>
      </c>
      <c r="Z204" s="48"/>
      <c r="AA204" s="48"/>
      <c r="AG204" s="5"/>
      <c r="AY204" s="48"/>
    </row>
    <row r="205" spans="1:51" s="33" customFormat="1" ht="13.15" hidden="1" outlineLevel="1">
      <c r="A205" s="5"/>
      <c r="C205" s="43" t="s">
        <v>366</v>
      </c>
      <c r="D205" s="48" t="str">
        <f t="shared" ref="D205:Q205" ca="1" si="121">IF(D$8="A",$AE$205,"…")</f>
        <v>…</v>
      </c>
      <c r="E205" s="48" t="str">
        <f t="shared" ca="1" si="121"/>
        <v>…</v>
      </c>
      <c r="F205" s="48" t="str">
        <f t="shared" ca="1" si="121"/>
        <v>…</v>
      </c>
      <c r="G205" s="48" t="str">
        <f t="shared" ca="1" si="121"/>
        <v>…</v>
      </c>
      <c r="H205" s="48" t="str">
        <f t="shared" ca="1" si="121"/>
        <v>…</v>
      </c>
      <c r="I205" s="48" t="str">
        <f t="shared" ca="1" si="121"/>
        <v>…</v>
      </c>
      <c r="J205" s="48" t="str">
        <f t="shared" ca="1" si="121"/>
        <v>…</v>
      </c>
      <c r="K205" s="48" t="str">
        <f t="shared" ca="1" si="121"/>
        <v>…</v>
      </c>
      <c r="L205" s="48" t="str">
        <f t="shared" ca="1" si="121"/>
        <v>…</v>
      </c>
      <c r="M205" s="48">
        <f t="shared" si="121"/>
        <v>3</v>
      </c>
      <c r="N205" s="48">
        <f t="shared" si="121"/>
        <v>3</v>
      </c>
      <c r="O205" s="48">
        <f t="shared" si="121"/>
        <v>3</v>
      </c>
      <c r="P205" s="48">
        <f t="shared" si="121"/>
        <v>3</v>
      </c>
      <c r="Q205" s="48">
        <f t="shared" si="121"/>
        <v>3</v>
      </c>
      <c r="R205" s="48">
        <f t="shared" ref="R205:Y205" si="122">IF(R$8="A",6,"…")</f>
        <v>6</v>
      </c>
      <c r="S205" s="48">
        <f t="shared" si="122"/>
        <v>6</v>
      </c>
      <c r="T205" s="48">
        <f t="shared" si="122"/>
        <v>6</v>
      </c>
      <c r="U205" s="48">
        <f t="shared" si="122"/>
        <v>6</v>
      </c>
      <c r="V205" s="48" t="str">
        <f t="shared" si="122"/>
        <v>…</v>
      </c>
      <c r="W205" s="48" t="str">
        <f t="shared" si="122"/>
        <v>…</v>
      </c>
      <c r="X205" s="48" t="str">
        <f t="shared" si="122"/>
        <v>…</v>
      </c>
      <c r="Y205" s="48" t="str">
        <f t="shared" si="122"/>
        <v>…</v>
      </c>
      <c r="Z205" s="48"/>
      <c r="AA205" s="48"/>
      <c r="AD205" s="33" t="s">
        <v>1740</v>
      </c>
      <c r="AE205" s="98">
        <v>3</v>
      </c>
      <c r="AG205" s="5"/>
      <c r="AY205" s="48"/>
    </row>
    <row r="206" spans="1:51" s="33" customFormat="1" hidden="1" outlineLevel="1">
      <c r="A206" s="5"/>
      <c r="C206" s="38" t="s">
        <v>357</v>
      </c>
      <c r="D206" s="25" t="str">
        <f t="shared" ref="D206:Y206" ca="1" si="123">IF($AG$19=1,D207,IF(ISNUMBER(D208),D208,IF(ISNUMBER(D209),D209,"…")))</f>
        <v>ave. IA/Amort. (Calculated)</v>
      </c>
      <c r="E206" s="25" t="str">
        <f t="shared" ca="1" si="123"/>
        <v>ave. IA/Amort. (Calculated)</v>
      </c>
      <c r="F206" s="25" t="str">
        <f t="shared" ca="1" si="123"/>
        <v>ave. IA/Amort. (Calculated)</v>
      </c>
      <c r="G206" s="25" t="str">
        <f t="shared" ca="1" si="123"/>
        <v>ave. IA/Amort. (Calculated)</v>
      </c>
      <c r="H206" s="25" t="str">
        <f t="shared" ca="1" si="123"/>
        <v>ave. IA/Amort. (Calculated)</v>
      </c>
      <c r="I206" s="25" t="str">
        <f t="shared" ca="1" si="123"/>
        <v>ave. IA/Amort. (Calculated)</v>
      </c>
      <c r="J206" s="25" t="str">
        <f t="shared" ca="1" si="123"/>
        <v>ave. IA/Amort. (Calculated)</v>
      </c>
      <c r="K206" s="25" t="str">
        <f t="shared" ca="1" si="123"/>
        <v>ave. IA/Amort. (Calculated)</v>
      </c>
      <c r="L206" s="25" t="str">
        <f t="shared" ca="1" si="123"/>
        <v>ave. IA/Amort. (Calculated)</v>
      </c>
      <c r="M206" s="25">
        <f t="shared" ca="1" si="123"/>
        <v>1.82</v>
      </c>
      <c r="N206" s="25">
        <f t="shared" si="123"/>
        <v>1.82</v>
      </c>
      <c r="O206" s="25" t="str">
        <f t="shared" si="123"/>
        <v>…</v>
      </c>
      <c r="P206" s="25" t="str">
        <f t="shared" si="123"/>
        <v>…</v>
      </c>
      <c r="Q206" s="25" t="str">
        <f t="shared" si="123"/>
        <v>…</v>
      </c>
      <c r="R206" s="25">
        <f t="shared" si="123"/>
        <v>3.39</v>
      </c>
      <c r="S206" s="25">
        <f t="shared" si="123"/>
        <v>4.0999999999999996</v>
      </c>
      <c r="T206" s="25">
        <f t="shared" si="123"/>
        <v>4.62</v>
      </c>
      <c r="U206" s="25">
        <f t="shared" si="123"/>
        <v>4.3499999999999996</v>
      </c>
      <c r="V206" s="25">
        <f t="shared" si="123"/>
        <v>4.6900000000000004</v>
      </c>
      <c r="W206" s="25">
        <f t="shared" si="123"/>
        <v>4.6900000000000004</v>
      </c>
      <c r="X206" s="25">
        <f t="shared" si="123"/>
        <v>4.6900000000000004</v>
      </c>
      <c r="Y206" s="25">
        <f t="shared" si="123"/>
        <v>4.6900000000000004</v>
      </c>
      <c r="Z206" s="25"/>
      <c r="AA206" s="25"/>
      <c r="AG206" s="5"/>
      <c r="AY206" s="25"/>
    </row>
    <row r="207" spans="1:51" s="33" customFormat="1" hidden="1" outlineLevel="1">
      <c r="A207" s="5"/>
      <c r="C207" s="43" t="s">
        <v>1553</v>
      </c>
      <c r="D207" s="25" t="str">
        <f t="shared" ref="D207:O207" ca="1" si="124">IF(D8="A",D201,IF(C8&lt;&gt;D8,C201,C207))</f>
        <v>ave. IA/Amort. (Calculated)</v>
      </c>
      <c r="E207" s="25" t="str">
        <f t="shared" ca="1" si="124"/>
        <v>ave. IA/Amort. (Calculated)</v>
      </c>
      <c r="F207" s="25" t="str">
        <f t="shared" ca="1" si="124"/>
        <v>ave. IA/Amort. (Calculated)</v>
      </c>
      <c r="G207" s="25" t="str">
        <f t="shared" ca="1" si="124"/>
        <v>ave. IA/Amort. (Calculated)</v>
      </c>
      <c r="H207" s="25" t="str">
        <f t="shared" ca="1" si="124"/>
        <v>ave. IA/Amort. (Calculated)</v>
      </c>
      <c r="I207" s="25" t="str">
        <f t="shared" ca="1" si="124"/>
        <v>ave. IA/Amort. (Calculated)</v>
      </c>
      <c r="J207" s="25" t="str">
        <f t="shared" ca="1" si="124"/>
        <v>ave. IA/Amort. (Calculated)</v>
      </c>
      <c r="K207" s="25" t="str">
        <f t="shared" ca="1" si="124"/>
        <v>ave. IA/Amort. (Calculated)</v>
      </c>
      <c r="L207" s="25" t="str">
        <f t="shared" ca="1" si="124"/>
        <v>ave. IA/Amort. (Calculated)</v>
      </c>
      <c r="M207" s="25">
        <f t="shared" ca="1" si="124"/>
        <v>1.82</v>
      </c>
      <c r="N207" s="25">
        <f t="shared" si="124"/>
        <v>1.82</v>
      </c>
      <c r="O207" s="25" t="str">
        <f t="shared" si="124"/>
        <v>…</v>
      </c>
      <c r="P207" s="48" t="str">
        <f t="shared" ref="P207:Y207" si="125">IF(P8="A",O201,IF(O8&lt;&gt;P8,O201,O207))</f>
        <v>…</v>
      </c>
      <c r="Q207" s="48" t="str">
        <f t="shared" si="125"/>
        <v>…</v>
      </c>
      <c r="R207" s="48">
        <f t="shared" si="125"/>
        <v>3.39</v>
      </c>
      <c r="S207" s="48">
        <f t="shared" si="125"/>
        <v>4.0999999999999996</v>
      </c>
      <c r="T207" s="48">
        <f t="shared" si="125"/>
        <v>4.62</v>
      </c>
      <c r="U207" s="48">
        <f t="shared" si="125"/>
        <v>4.3499999999999996</v>
      </c>
      <c r="V207" s="48">
        <f t="shared" si="125"/>
        <v>4.6900000000000004</v>
      </c>
      <c r="W207" s="48">
        <f t="shared" si="125"/>
        <v>4.6900000000000004</v>
      </c>
      <c r="X207" s="48">
        <f t="shared" si="125"/>
        <v>4.6900000000000004</v>
      </c>
      <c r="Y207" s="48">
        <f t="shared" si="125"/>
        <v>4.6900000000000004</v>
      </c>
      <c r="Z207" s="48"/>
      <c r="AA207" s="48"/>
      <c r="AG207" s="5"/>
      <c r="AY207" s="48"/>
    </row>
    <row r="208" spans="1:51" s="33" customFormat="1" hidden="1" outlineLevel="1">
      <c r="A208" s="5"/>
      <c r="C208" s="43" t="s">
        <v>156</v>
      </c>
      <c r="D208" s="48" t="str">
        <f ca="1">IF(D8="E",IFERROR(AVERAGE($H201:$O201)+COUNTIFS($D8:D8,"E")/2,"…"),"…")</f>
        <v>…</v>
      </c>
      <c r="E208" s="48" t="str">
        <f ca="1">IF(E8="E",IFERROR(AVERAGE($H201:$O201)+COUNTIFS($D8:E8,"E")/2,"…"),"…")</f>
        <v>…</v>
      </c>
      <c r="F208" s="48" t="str">
        <f ca="1">IF(F8="E",IFERROR(AVERAGE($H201:$O201)+COUNTIFS($D8:F8,"E")/2,"…"),"…")</f>
        <v>…</v>
      </c>
      <c r="G208" s="48" t="str">
        <f ca="1">IF(G8="E",IFERROR(AVERAGE($H201:$O201)+COUNTIFS($D8:G8,"E")/2,"…"),"…")</f>
        <v>…</v>
      </c>
      <c r="H208" s="48" t="str">
        <f ca="1">IF(H8="E",IFERROR(AVERAGE($H201:$O201)+COUNTIFS($D8:H8,"E")/2,"…"),"…")</f>
        <v>…</v>
      </c>
      <c r="I208" s="48" t="str">
        <f ca="1">IF(I8="E",IFERROR(AVERAGE($H201:$O201)+COUNTIFS($D8:I8,"E")/2,"…"),"…")</f>
        <v>…</v>
      </c>
      <c r="J208" s="48" t="str">
        <f ca="1">IF(J8="E",IFERROR(AVERAGE($H201:$O201)+COUNTIFS($D8:J8,"E")/2,"…"),"…")</f>
        <v>…</v>
      </c>
      <c r="K208" s="48" t="str">
        <f ca="1">IF(K8="E",IFERROR(AVERAGE($H201:$O201)+COUNTIFS($D8:K8,"E")/2,"…"),"…")</f>
        <v>…</v>
      </c>
      <c r="L208" s="48" t="str">
        <f ca="1">IF(L8="E",IFERROR(AVERAGE($H201:$O201)+COUNTIFS($D8:L8,"E")/2,"…"),"…")</f>
        <v>…</v>
      </c>
      <c r="M208" s="48" t="str">
        <f>IF(M8="E",IFERROR(AVERAGE($K201:$O201)+COUNTIFS($D8:M8,"E")/2,"…"),"…")</f>
        <v>…</v>
      </c>
      <c r="N208" s="48" t="str">
        <f>IF(N8="E",IFERROR(AVERAGE($K201:$O201)+COUNTIFS($D8:N8,"E")/2,"…"),"…")</f>
        <v>…</v>
      </c>
      <c r="O208" s="48" t="str">
        <f>IF(O8="E",IFERROR(AVERAGE($K201:$O201)+COUNTIFS($D8:O8,"E")/2,"…"),"…")</f>
        <v>…</v>
      </c>
      <c r="P208" s="48" t="str">
        <f>IF(P8="E",IFERROR(AVERAGE($K201:$O201)+COUNTIFS($D8:P8,"E")/2,"…"),"…")</f>
        <v>…</v>
      </c>
      <c r="Q208" s="48" t="str">
        <f>IF(Q8="E",IFERROR(AVERAGE($K201:$O201)+COUNTIFS($D8:Q8,"E")/2,"…"),"…")</f>
        <v>…</v>
      </c>
      <c r="R208" s="48" t="str">
        <f>IF(R8="E",IFERROR(AVERAGE($K201:$O201)+COUNTIFS($D8:R8,"E")/2,"…"),"…")</f>
        <v>…</v>
      </c>
      <c r="S208" s="48" t="str">
        <f>IF(S8="E",IFERROR(AVERAGE($K201:$O201)+COUNTIFS($D8:S8,"E")/2,"…"),"…")</f>
        <v>…</v>
      </c>
      <c r="T208" s="48" t="str">
        <f>IF(T8="E",IFERROR(AVERAGE($K201:$O201)+COUNTIFS($D8:T8,"E")/2,"…"),"…")</f>
        <v>…</v>
      </c>
      <c r="U208" s="48" t="str">
        <f>IF(U8="E",IFERROR(AVERAGE($K201:$O201)+COUNTIFS($D8:U8,"E")/2,"…"),"…")</f>
        <v>…</v>
      </c>
      <c r="V208" s="48">
        <f ca="1">IF(V8="E",IFERROR(AVERAGE($K201:$U201)+COUNTIFS($D8:V8,"E")/2,"…"),"…")</f>
        <v>4.0414285714285718</v>
      </c>
      <c r="W208" s="48">
        <f ca="1">IF(W8="E",IFERROR(AVERAGE($K201:$U201)+COUNTIFS($D8:W8,"E")/2,"…"),"…")</f>
        <v>4.5414285714285718</v>
      </c>
      <c r="X208" s="48">
        <f ca="1">IF(X8="E",IFERROR(AVERAGE($K201:$U201)+COUNTIFS($D8:X8,"E")/2,"…"),"…")</f>
        <v>5.0414285714285718</v>
      </c>
      <c r="Y208" s="48">
        <f ca="1">IF(Y8="E",IFERROR(AVERAGE($K201:$U201)+COUNTIFS($D8:Y8,"E")/2,"…"),"…")</f>
        <v>5.5414285714285718</v>
      </c>
      <c r="Z208" s="48"/>
      <c r="AA208" s="48"/>
      <c r="AG208" s="5"/>
      <c r="AY208" s="48"/>
    </row>
    <row r="209" spans="1:72" s="33" customFormat="1" hidden="1" outlineLevel="1">
      <c r="A209" s="5"/>
      <c r="C209" s="43" t="s">
        <v>157</v>
      </c>
      <c r="D209" s="48"/>
      <c r="E209" s="48"/>
      <c r="F209" s="48"/>
      <c r="G209" s="48"/>
      <c r="H209" s="48"/>
      <c r="I209" s="48"/>
      <c r="J209" s="48"/>
      <c r="K209" s="48"/>
      <c r="L209" s="48"/>
      <c r="M209" s="48" t="str">
        <f>IF(M8="E",AVERAGE($H205:$O205)+COUNTIFS($D8:M8,"E")/2,"…")</f>
        <v>…</v>
      </c>
      <c r="N209" s="48" t="str">
        <f>IF(N8="E",AVERAGE($H205:$O205)+COUNTIFS($D8:N8,"E")/2,"…")</f>
        <v>…</v>
      </c>
      <c r="O209" s="48" t="str">
        <f>IF(O8="E",AVERAGE($H205:$O205)+COUNTIFS($D8:O8,"E")/2,"…")</f>
        <v>…</v>
      </c>
      <c r="P209" s="48" t="str">
        <f>IF(P8="E",AVERAGE($H205:$O205)+COUNTIFS($D8:P8,"E")/2,"…")</f>
        <v>…</v>
      </c>
      <c r="Q209" s="48" t="str">
        <f>IF(Q8="E",AVERAGE($H205:$O205)+COUNTIFS($D8:Q8,"E")/2,"…")</f>
        <v>…</v>
      </c>
      <c r="R209" s="48" t="str">
        <f>IF(R8="E",AVERAGE($H205:$O205)+COUNTIFS($D8:R8,"E")/2,"…")</f>
        <v>…</v>
      </c>
      <c r="S209" s="48" t="str">
        <f>IF(S8="E",AVERAGE($H205:$O205)+COUNTIFS($D8:S8,"E")/2,"…")</f>
        <v>…</v>
      </c>
      <c r="T209" s="48" t="str">
        <f>IF(T8="E",AVERAGE($H205:$O205)+COUNTIFS($D8:T8,"E")/2,"…")</f>
        <v>…</v>
      </c>
      <c r="U209" s="48" t="str">
        <f>IF(U8="E",AVERAGE($H205:$O205)+COUNTIFS($D8:U8,"E")/2,"…")</f>
        <v>…</v>
      </c>
      <c r="V209" s="48">
        <f ca="1">IF(V8="E",AVERAGE($H205:$O205)+COUNTIFS($D8:V8,"E")/2,"…")</f>
        <v>3.5</v>
      </c>
      <c r="W209" s="48">
        <f ca="1">IF(W8="E",AVERAGE($H205:$O205)+COUNTIFS($D8:W8,"E")/2,"…")</f>
        <v>4</v>
      </c>
      <c r="X209" s="48">
        <f ca="1">IF(X8="E",AVERAGE($H205:$O205)+COUNTIFS($D8:X8,"E")/2,"…")</f>
        <v>4.5</v>
      </c>
      <c r="Y209" s="48">
        <f ca="1">IF(Y8="E",AVERAGE($H205:$O205)+COUNTIFS($D8:Y8,"E")/2,"…")</f>
        <v>5</v>
      </c>
      <c r="Z209" s="48"/>
      <c r="AA209" s="48"/>
      <c r="AG209" s="5"/>
      <c r="AY209" s="48"/>
    </row>
    <row r="210" spans="1:72" s="33" customFormat="1" hidden="1" outlineLevel="1">
      <c r="A210" s="5"/>
      <c r="C210" s="43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G210" s="5"/>
      <c r="AY210" s="48"/>
    </row>
    <row r="211" spans="1:72" s="33" customFormat="1" hidden="1" outlineLevel="1">
      <c r="A211" s="5"/>
      <c r="B211" s="5"/>
      <c r="C211" s="44" t="s">
        <v>295</v>
      </c>
      <c r="D211" s="25" t="str">
        <f t="shared" ref="D211:Y211" si="126">IF(ISNUMBER(D212),D212,IF(ISNUMBER(D213),D213,IF(ISNUMBER(D214),D214,IF(ISNUMBER(D215),D215,IF(ISNUMBER(D216),D216,IF(ISNUMBER(D217),D217,IF(ISNUMBER(D218),D218,IF(ISNUMBER(D219),D219,"…"))))))))</f>
        <v>…</v>
      </c>
      <c r="E211" s="25" t="str">
        <f t="shared" si="126"/>
        <v>…</v>
      </c>
      <c r="F211" s="25" t="str">
        <f t="shared" si="126"/>
        <v>…</v>
      </c>
      <c r="G211" s="25" t="str">
        <f t="shared" si="126"/>
        <v>…</v>
      </c>
      <c r="H211" s="25" t="str">
        <f t="shared" si="126"/>
        <v>…</v>
      </c>
      <c r="I211" s="25" t="str">
        <f t="shared" si="126"/>
        <v>…</v>
      </c>
      <c r="J211" s="25" t="str">
        <f t="shared" si="126"/>
        <v>…</v>
      </c>
      <c r="K211" s="25" t="str">
        <f t="shared" si="126"/>
        <v>…</v>
      </c>
      <c r="L211" s="25" t="str">
        <f t="shared" si="126"/>
        <v>…</v>
      </c>
      <c r="M211" s="25" t="str">
        <f t="shared" si="126"/>
        <v>…</v>
      </c>
      <c r="N211" s="25" t="str">
        <f t="shared" si="126"/>
        <v>…</v>
      </c>
      <c r="O211" s="25" t="str">
        <f t="shared" si="126"/>
        <v>…</v>
      </c>
      <c r="P211" s="25">
        <f t="shared" si="126"/>
        <v>0</v>
      </c>
      <c r="Q211" s="25">
        <f t="shared" si="126"/>
        <v>117.122</v>
      </c>
      <c r="R211" s="25">
        <f t="shared" si="126"/>
        <v>132.364</v>
      </c>
      <c r="S211" s="25">
        <f t="shared" si="126"/>
        <v>160.464</v>
      </c>
      <c r="T211" s="25">
        <f t="shared" si="126"/>
        <v>208.685</v>
      </c>
      <c r="U211" s="25">
        <f t="shared" si="126"/>
        <v>225.892</v>
      </c>
      <c r="V211" s="25" t="str">
        <f t="shared" si="126"/>
        <v>…</v>
      </c>
      <c r="W211" s="25" t="str">
        <f t="shared" si="126"/>
        <v>…</v>
      </c>
      <c r="X211" s="25" t="str">
        <f t="shared" si="126"/>
        <v>…</v>
      </c>
      <c r="Y211" s="25" t="str">
        <f t="shared" si="126"/>
        <v>…</v>
      </c>
      <c r="Z211" s="25"/>
      <c r="AA211" s="25"/>
      <c r="AB211" s="25"/>
      <c r="AC211" s="2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2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25"/>
      <c r="BL211" s="25"/>
      <c r="BM211" s="25"/>
      <c r="BN211" s="25"/>
      <c r="BO211" s="25"/>
      <c r="BP211" s="25"/>
      <c r="BQ211" s="25"/>
      <c r="BR211" s="27"/>
      <c r="BS211" s="5"/>
      <c r="BT211" s="5"/>
    </row>
    <row r="212" spans="1:72" s="33" customFormat="1" hidden="1" outlineLevel="1">
      <c r="A212" s="5"/>
      <c r="B212" s="5" t="s">
        <v>1581</v>
      </c>
      <c r="C212" s="43" t="s">
        <v>1581</v>
      </c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25" t="s">
        <v>289</v>
      </c>
      <c r="Q212" s="25" t="s">
        <v>289</v>
      </c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2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25"/>
      <c r="BL212" s="25"/>
      <c r="BM212" s="25"/>
      <c r="BN212" s="25"/>
      <c r="BO212" s="25"/>
      <c r="BP212" s="25"/>
      <c r="BQ212" s="25"/>
      <c r="BR212" s="27"/>
      <c r="BS212" s="5"/>
      <c r="BT212" s="5"/>
    </row>
    <row r="213" spans="1:72" hidden="1" outlineLevel="1">
      <c r="B213" s="5" t="s">
        <v>171</v>
      </c>
      <c r="C213" s="43" t="s">
        <v>154</v>
      </c>
      <c r="D213" s="16" t="s">
        <v>289</v>
      </c>
      <c r="E213" s="16" t="s">
        <v>289</v>
      </c>
      <c r="F213" s="16" t="s">
        <v>289</v>
      </c>
      <c r="G213" s="16" t="s">
        <v>289</v>
      </c>
      <c r="H213" s="16" t="s">
        <v>289</v>
      </c>
      <c r="I213" s="16" t="s">
        <v>289</v>
      </c>
      <c r="J213" s="16" t="s">
        <v>289</v>
      </c>
      <c r="K213" s="16" t="s">
        <v>289</v>
      </c>
      <c r="L213" s="16" t="s">
        <v>289</v>
      </c>
      <c r="M213" s="16" t="s">
        <v>289</v>
      </c>
      <c r="N213" s="16" t="s">
        <v>289</v>
      </c>
      <c r="O213" s="16" t="s">
        <v>289</v>
      </c>
      <c r="P213" s="16" t="s">
        <v>289</v>
      </c>
      <c r="Q213" s="16" t="s">
        <v>289</v>
      </c>
      <c r="R213" s="16" t="s">
        <v>289</v>
      </c>
      <c r="S213" s="16" t="s">
        <v>289</v>
      </c>
      <c r="T213" s="16" t="s">
        <v>289</v>
      </c>
      <c r="U213" s="16" t="s">
        <v>289</v>
      </c>
      <c r="V213" s="16" t="s">
        <v>289</v>
      </c>
      <c r="W213" s="16"/>
      <c r="X213" s="16"/>
      <c r="Y213" s="16"/>
      <c r="Z213" s="16"/>
      <c r="AA213" s="16"/>
      <c r="AB213" s="25"/>
      <c r="AC213" s="2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16"/>
      <c r="AZ213" s="5"/>
      <c r="BK213" s="25"/>
      <c r="BL213" s="25"/>
      <c r="BM213" s="25"/>
      <c r="BN213" s="25"/>
      <c r="BO213" s="25"/>
      <c r="BP213" s="25"/>
      <c r="BQ213" s="25"/>
      <c r="BR213" s="27"/>
    </row>
    <row r="214" spans="1:72" hidden="1" outlineLevel="1">
      <c r="B214" s="5" t="s">
        <v>172</v>
      </c>
      <c r="C214" s="43" t="s">
        <v>161</v>
      </c>
      <c r="D214" s="16" t="s">
        <v>289</v>
      </c>
      <c r="E214" s="16" t="s">
        <v>289</v>
      </c>
      <c r="F214" s="16" t="s">
        <v>289</v>
      </c>
      <c r="G214" s="16" t="s">
        <v>289</v>
      </c>
      <c r="H214" s="16" t="s">
        <v>289</v>
      </c>
      <c r="I214" s="16" t="s">
        <v>289</v>
      </c>
      <c r="J214" s="16" t="s">
        <v>289</v>
      </c>
      <c r="K214" s="16" t="s">
        <v>289</v>
      </c>
      <c r="L214" s="16" t="s">
        <v>289</v>
      </c>
      <c r="M214" s="16" t="s">
        <v>289</v>
      </c>
      <c r="N214" s="16" t="s">
        <v>289</v>
      </c>
      <c r="O214" s="16" t="s">
        <v>289</v>
      </c>
      <c r="P214" s="16" t="s">
        <v>289</v>
      </c>
      <c r="Q214" s="16">
        <v>117.122</v>
      </c>
      <c r="R214" s="16">
        <v>132.364</v>
      </c>
      <c r="S214" s="16">
        <v>160.464</v>
      </c>
      <c r="T214" s="16">
        <v>208.685</v>
      </c>
      <c r="U214" s="16">
        <v>225.892</v>
      </c>
      <c r="V214" s="16" t="s">
        <v>289</v>
      </c>
      <c r="W214" s="16"/>
      <c r="X214" s="16"/>
      <c r="Y214" s="16"/>
      <c r="Z214" s="16"/>
      <c r="AA214" s="16"/>
      <c r="AB214" s="25"/>
      <c r="AC214" s="2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16"/>
      <c r="AZ214" s="5"/>
      <c r="BK214" s="25"/>
      <c r="BL214" s="25"/>
      <c r="BM214" s="25"/>
      <c r="BN214" s="25"/>
      <c r="BO214" s="25"/>
      <c r="BP214" s="25"/>
      <c r="BQ214" s="25"/>
      <c r="BR214" s="27"/>
    </row>
    <row r="215" spans="1:72" hidden="1" outlineLevel="1">
      <c r="B215" s="5" t="s">
        <v>173</v>
      </c>
      <c r="C215" s="43" t="s">
        <v>163</v>
      </c>
      <c r="D215" s="16" t="s">
        <v>289</v>
      </c>
      <c r="E215" s="16" t="s">
        <v>289</v>
      </c>
      <c r="F215" s="16" t="s">
        <v>289</v>
      </c>
      <c r="G215" s="16" t="s">
        <v>289</v>
      </c>
      <c r="H215" s="16" t="s">
        <v>289</v>
      </c>
      <c r="I215" s="16" t="s">
        <v>289</v>
      </c>
      <c r="J215" s="16" t="s">
        <v>289</v>
      </c>
      <c r="K215" s="16" t="s">
        <v>289</v>
      </c>
      <c r="L215" s="16" t="s">
        <v>289</v>
      </c>
      <c r="M215" s="16" t="s">
        <v>289</v>
      </c>
      <c r="N215" s="16" t="s">
        <v>289</v>
      </c>
      <c r="O215" s="16" t="s">
        <v>289</v>
      </c>
      <c r="P215" s="16" t="s">
        <v>289</v>
      </c>
      <c r="Q215" s="16" t="s">
        <v>289</v>
      </c>
      <c r="R215" s="16" t="s">
        <v>289</v>
      </c>
      <c r="S215" s="16" t="s">
        <v>289</v>
      </c>
      <c r="T215" s="16" t="s">
        <v>289</v>
      </c>
      <c r="U215" s="16" t="s">
        <v>289</v>
      </c>
      <c r="V215" s="16" t="s">
        <v>289</v>
      </c>
      <c r="W215" s="16"/>
      <c r="X215" s="16"/>
      <c r="Y215" s="16"/>
      <c r="Z215" s="16"/>
      <c r="AA215" s="16"/>
      <c r="AB215" s="25"/>
      <c r="AC215" s="2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16"/>
      <c r="AZ215" s="5"/>
      <c r="BK215" s="25"/>
      <c r="BL215" s="25"/>
      <c r="BM215" s="25"/>
      <c r="BN215" s="25"/>
      <c r="BO215" s="25"/>
      <c r="BP215" s="25"/>
      <c r="BQ215" s="25"/>
      <c r="BR215" s="27"/>
    </row>
    <row r="216" spans="1:72" ht="13.15" hidden="1" outlineLevel="1">
      <c r="B216" s="5" t="s">
        <v>174</v>
      </c>
      <c r="C216" s="43" t="s">
        <v>165</v>
      </c>
      <c r="D216" s="16" t="s">
        <v>289</v>
      </c>
      <c r="E216" s="16" t="s">
        <v>289</v>
      </c>
      <c r="F216" s="16" t="s">
        <v>289</v>
      </c>
      <c r="G216" s="16" t="s">
        <v>289</v>
      </c>
      <c r="H216" s="16" t="s">
        <v>289</v>
      </c>
      <c r="I216" s="16" t="s">
        <v>289</v>
      </c>
      <c r="J216" s="16" t="s">
        <v>289</v>
      </c>
      <c r="K216" s="16" t="s">
        <v>289</v>
      </c>
      <c r="L216" s="16" t="s">
        <v>289</v>
      </c>
      <c r="M216" s="16" t="s">
        <v>289</v>
      </c>
      <c r="N216" s="16" t="s">
        <v>289</v>
      </c>
      <c r="O216" s="16" t="s">
        <v>289</v>
      </c>
      <c r="P216" s="16" t="s">
        <v>289</v>
      </c>
      <c r="Q216" s="16">
        <v>117.122</v>
      </c>
      <c r="R216" s="16">
        <v>132.364</v>
      </c>
      <c r="S216" s="16">
        <v>160.464</v>
      </c>
      <c r="T216" s="16">
        <v>208.685</v>
      </c>
      <c r="U216" s="16">
        <v>225.892</v>
      </c>
      <c r="V216" s="16" t="s">
        <v>289</v>
      </c>
      <c r="W216" s="16"/>
      <c r="X216" s="16"/>
      <c r="Y216" s="16"/>
      <c r="Z216" s="16"/>
      <c r="AA216" s="16"/>
      <c r="AB216" s="25"/>
      <c r="AC216" s="2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16"/>
      <c r="AZ216" s="5"/>
      <c r="BK216" s="14"/>
      <c r="BL216" s="14"/>
      <c r="BM216" s="14"/>
      <c r="BN216" s="14"/>
      <c r="BO216" s="14"/>
      <c r="BP216" s="14"/>
      <c r="BQ216" s="14"/>
      <c r="BR216" s="17"/>
    </row>
    <row r="217" spans="1:72" hidden="1" outlineLevel="1">
      <c r="B217" s="5" t="s">
        <v>181</v>
      </c>
      <c r="C217" s="43" t="s">
        <v>176</v>
      </c>
      <c r="D217" s="16" t="s">
        <v>289</v>
      </c>
      <c r="E217" s="16" t="s">
        <v>289</v>
      </c>
      <c r="F217" s="16" t="s">
        <v>289</v>
      </c>
      <c r="G217" s="16" t="s">
        <v>289</v>
      </c>
      <c r="H217" s="16" t="s">
        <v>289</v>
      </c>
      <c r="I217" s="16" t="s">
        <v>289</v>
      </c>
      <c r="J217" s="16" t="s">
        <v>289</v>
      </c>
      <c r="K217" s="16" t="s">
        <v>289</v>
      </c>
      <c r="L217" s="16" t="s">
        <v>289</v>
      </c>
      <c r="M217" s="16" t="s">
        <v>289</v>
      </c>
      <c r="N217" s="16" t="s">
        <v>289</v>
      </c>
      <c r="O217" s="16" t="s">
        <v>289</v>
      </c>
      <c r="P217" s="16" t="s">
        <v>289</v>
      </c>
      <c r="Q217" s="16" t="s">
        <v>289</v>
      </c>
      <c r="R217" s="16" t="s">
        <v>289</v>
      </c>
      <c r="S217" s="16" t="s">
        <v>289</v>
      </c>
      <c r="T217" s="16" t="s">
        <v>289</v>
      </c>
      <c r="U217" s="16" t="s">
        <v>289</v>
      </c>
      <c r="V217" s="16" t="s">
        <v>289</v>
      </c>
      <c r="W217" s="16"/>
      <c r="X217" s="16"/>
      <c r="Y217" s="16"/>
      <c r="Z217" s="16"/>
      <c r="AA217" s="16"/>
      <c r="AB217" s="25"/>
      <c r="AC217" s="25"/>
      <c r="AD217" s="24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16"/>
      <c r="AZ217" s="5"/>
      <c r="BK217" s="22"/>
      <c r="BL217" s="23"/>
      <c r="BM217" s="22"/>
      <c r="BN217" s="22"/>
      <c r="BO217" s="22"/>
      <c r="BP217" s="22"/>
      <c r="BQ217" s="22"/>
      <c r="BR217" s="24"/>
    </row>
    <row r="218" spans="1:72" ht="13.15" hidden="1" outlineLevel="1">
      <c r="B218" s="5" t="s">
        <v>175</v>
      </c>
      <c r="C218" s="43" t="s">
        <v>290</v>
      </c>
      <c r="D218" s="16" t="s">
        <v>289</v>
      </c>
      <c r="E218" s="16" t="s">
        <v>289</v>
      </c>
      <c r="F218" s="16" t="s">
        <v>289</v>
      </c>
      <c r="G218" s="16" t="s">
        <v>289</v>
      </c>
      <c r="H218" s="16" t="s">
        <v>289</v>
      </c>
      <c r="I218" s="16" t="s">
        <v>289</v>
      </c>
      <c r="J218" s="16" t="s">
        <v>289</v>
      </c>
      <c r="K218" s="16" t="s">
        <v>289</v>
      </c>
      <c r="L218" s="16" t="s">
        <v>289</v>
      </c>
      <c r="M218" s="16" t="s">
        <v>289</v>
      </c>
      <c r="N218" s="16" t="s">
        <v>289</v>
      </c>
      <c r="O218" s="16" t="s">
        <v>289</v>
      </c>
      <c r="P218" s="16" t="s">
        <v>289</v>
      </c>
      <c r="Q218" s="16" t="s">
        <v>289</v>
      </c>
      <c r="R218" s="16" t="s">
        <v>289</v>
      </c>
      <c r="S218" s="16" t="s">
        <v>289</v>
      </c>
      <c r="T218" s="16" t="s">
        <v>289</v>
      </c>
      <c r="U218" s="16" t="s">
        <v>289</v>
      </c>
      <c r="V218" s="16" t="s">
        <v>289</v>
      </c>
      <c r="W218" s="16"/>
      <c r="X218" s="16"/>
      <c r="Y218" s="16"/>
      <c r="Z218" s="16"/>
      <c r="AA218" s="16"/>
      <c r="AB218" s="25"/>
      <c r="AC218" s="2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16"/>
      <c r="AZ218" s="5"/>
      <c r="BK218" s="14"/>
      <c r="BL218" s="14"/>
      <c r="BM218" s="14"/>
      <c r="BN218" s="14"/>
      <c r="BO218" s="14"/>
      <c r="BP218" s="14"/>
      <c r="BQ218" s="14"/>
      <c r="BR218" s="17"/>
    </row>
    <row r="219" spans="1:72" hidden="1" outlineLevel="1">
      <c r="C219" s="43" t="s">
        <v>1709</v>
      </c>
      <c r="D219" s="25" t="s">
        <v>1710</v>
      </c>
      <c r="E219" s="25" t="s">
        <v>1710</v>
      </c>
      <c r="F219" s="25" t="s">
        <v>1710</v>
      </c>
      <c r="G219" s="25" t="s">
        <v>1710</v>
      </c>
      <c r="H219" s="25" t="s">
        <v>1710</v>
      </c>
      <c r="I219" s="25" t="s">
        <v>1710</v>
      </c>
      <c r="J219" s="25" t="s">
        <v>1710</v>
      </c>
      <c r="K219" s="25" t="s">
        <v>1710</v>
      </c>
      <c r="L219" s="25" t="s">
        <v>1710</v>
      </c>
      <c r="M219" s="25" t="s">
        <v>1710</v>
      </c>
      <c r="N219" s="25" t="s">
        <v>1710</v>
      </c>
      <c r="O219" s="25" t="s">
        <v>1710</v>
      </c>
      <c r="P219" s="25">
        <f t="shared" ref="P219:Y219" si="127">IF(P11="no","…",IFERROR(P339-P332,"…"))</f>
        <v>0</v>
      </c>
      <c r="Q219" s="25">
        <f t="shared" si="127"/>
        <v>117.12199999999999</v>
      </c>
      <c r="R219" s="25">
        <f t="shared" si="127"/>
        <v>132.364</v>
      </c>
      <c r="S219" s="25">
        <f t="shared" si="127"/>
        <v>160.46400000000003</v>
      </c>
      <c r="T219" s="25">
        <f t="shared" si="127"/>
        <v>208.685</v>
      </c>
      <c r="U219" s="25">
        <f t="shared" si="127"/>
        <v>225.89199999999997</v>
      </c>
      <c r="V219" s="25" t="str">
        <f t="shared" si="127"/>
        <v>…</v>
      </c>
      <c r="W219" s="25" t="str">
        <f t="shared" si="127"/>
        <v>…</v>
      </c>
      <c r="X219" s="25" t="str">
        <f t="shared" si="127"/>
        <v>…</v>
      </c>
      <c r="Y219" s="25" t="str">
        <f t="shared" si="127"/>
        <v>…</v>
      </c>
      <c r="Z219" s="25"/>
      <c r="AA219" s="25"/>
      <c r="AB219" s="25"/>
      <c r="AC219" s="2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25"/>
      <c r="AZ219" s="5"/>
      <c r="BK219" s="22"/>
      <c r="BL219" s="23"/>
      <c r="BM219" s="22"/>
      <c r="BN219" s="22"/>
      <c r="BO219" s="22"/>
      <c r="BP219" s="22"/>
      <c r="BQ219" s="22"/>
      <c r="BR219" s="24"/>
    </row>
    <row r="220" spans="1:72" collapsed="1">
      <c r="C220" s="38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25"/>
      <c r="AZ220" s="5"/>
      <c r="BK220" s="22"/>
      <c r="BL220" s="23"/>
      <c r="BM220" s="22"/>
      <c r="BN220" s="22"/>
      <c r="BO220" s="22"/>
      <c r="BP220" s="22"/>
      <c r="BQ220" s="22"/>
      <c r="BR220" s="24"/>
    </row>
    <row r="221" spans="1:72" ht="13.15">
      <c r="A221" s="5" t="s">
        <v>316</v>
      </c>
      <c r="C221" s="89" t="s">
        <v>6</v>
      </c>
      <c r="D221" s="90" t="str">
        <f t="shared" ref="D221:Y221" ca="1" si="128">D222</f>
        <v>…</v>
      </c>
      <c r="E221" s="90" t="str">
        <f t="shared" ca="1" si="128"/>
        <v>…</v>
      </c>
      <c r="F221" s="90" t="str">
        <f t="shared" ca="1" si="128"/>
        <v>…</v>
      </c>
      <c r="G221" s="90" t="str">
        <f t="shared" ca="1" si="128"/>
        <v>…</v>
      </c>
      <c r="H221" s="90" t="str">
        <f t="shared" ca="1" si="128"/>
        <v>…</v>
      </c>
      <c r="I221" s="90" t="str">
        <f t="shared" ca="1" si="128"/>
        <v>…</v>
      </c>
      <c r="J221" s="90" t="str">
        <f t="shared" ca="1" si="128"/>
        <v>…</v>
      </c>
      <c r="K221" s="90" t="str">
        <f t="shared" ca="1" si="128"/>
        <v>…</v>
      </c>
      <c r="L221" s="90" t="str">
        <f t="shared" ca="1" si="128"/>
        <v>…</v>
      </c>
      <c r="M221" s="90">
        <f t="shared" si="128"/>
        <v>363.54899999999998</v>
      </c>
      <c r="N221" s="90">
        <f t="shared" si="128"/>
        <v>389.46800000000002</v>
      </c>
      <c r="O221" s="90">
        <f t="shared" si="128"/>
        <v>444.32</v>
      </c>
      <c r="P221" s="90">
        <f t="shared" si="128"/>
        <v>595.08199999999999</v>
      </c>
      <c r="Q221" s="90">
        <f t="shared" si="128"/>
        <v>775.41600000000005</v>
      </c>
      <c r="R221" s="90">
        <f t="shared" si="128"/>
        <v>826.50699999999995</v>
      </c>
      <c r="S221" s="90">
        <f t="shared" si="128"/>
        <v>917.44600000000003</v>
      </c>
      <c r="T221" s="90">
        <f t="shared" si="128"/>
        <v>716.12699999999995</v>
      </c>
      <c r="U221" s="90">
        <f t="shared" si="128"/>
        <v>1075.4880000000001</v>
      </c>
      <c r="V221" s="90">
        <f t="shared" si="128"/>
        <v>1182.6669999999999</v>
      </c>
      <c r="W221" s="90">
        <f t="shared" si="128"/>
        <v>1432.4580000000001</v>
      </c>
      <c r="X221" s="90">
        <f t="shared" si="128"/>
        <v>1585.3</v>
      </c>
      <c r="Y221" s="90">
        <f t="shared" si="128"/>
        <v>1768.3750000000002</v>
      </c>
      <c r="Z221" s="90"/>
      <c r="AA221" s="90"/>
      <c r="AB221" s="31"/>
      <c r="AC221" s="31"/>
      <c r="AE221" s="30"/>
      <c r="AF221" s="30"/>
      <c r="AJ221" s="31"/>
      <c r="AY221" s="90"/>
      <c r="AZ221" s="27"/>
    </row>
    <row r="222" spans="1:72" hidden="1" outlineLevel="1">
      <c r="A222" s="5" t="s">
        <v>316</v>
      </c>
      <c r="C222" s="41" t="s">
        <v>6</v>
      </c>
      <c r="D222" s="25" t="str">
        <f t="shared" ref="D222:Y222" ca="1" si="129">IF(ISNUMBER(D223),D223,IF(ISNUMBER(D224),D224,IF(ISNUMBER(D225),D225,"…")))</f>
        <v>…</v>
      </c>
      <c r="E222" s="25" t="str">
        <f t="shared" ca="1" si="129"/>
        <v>…</v>
      </c>
      <c r="F222" s="25" t="str">
        <f t="shared" ca="1" si="129"/>
        <v>…</v>
      </c>
      <c r="G222" s="25" t="str">
        <f t="shared" ca="1" si="129"/>
        <v>…</v>
      </c>
      <c r="H222" s="25" t="str">
        <f t="shared" ca="1" si="129"/>
        <v>…</v>
      </c>
      <c r="I222" s="25" t="str">
        <f t="shared" ca="1" si="129"/>
        <v>…</v>
      </c>
      <c r="J222" s="25" t="str">
        <f t="shared" ca="1" si="129"/>
        <v>…</v>
      </c>
      <c r="K222" s="25" t="str">
        <f t="shared" ca="1" si="129"/>
        <v>…</v>
      </c>
      <c r="L222" s="25" t="str">
        <f t="shared" ca="1" si="129"/>
        <v>…</v>
      </c>
      <c r="M222" s="25">
        <f t="shared" si="129"/>
        <v>363.54899999999998</v>
      </c>
      <c r="N222" s="25">
        <f t="shared" si="129"/>
        <v>389.46800000000002</v>
      </c>
      <c r="O222" s="25">
        <f t="shared" si="129"/>
        <v>444.32</v>
      </c>
      <c r="P222" s="25">
        <f t="shared" si="129"/>
        <v>595.08199999999999</v>
      </c>
      <c r="Q222" s="25">
        <f t="shared" si="129"/>
        <v>775.41600000000005</v>
      </c>
      <c r="R222" s="25">
        <f t="shared" si="129"/>
        <v>826.50699999999995</v>
      </c>
      <c r="S222" s="25">
        <f t="shared" si="129"/>
        <v>917.44600000000003</v>
      </c>
      <c r="T222" s="25">
        <f t="shared" si="129"/>
        <v>716.12699999999995</v>
      </c>
      <c r="U222" s="25">
        <f t="shared" si="129"/>
        <v>1075.4880000000001</v>
      </c>
      <c r="V222" s="25">
        <f t="shared" si="129"/>
        <v>1182.6669999999999</v>
      </c>
      <c r="W222" s="25">
        <f t="shared" si="129"/>
        <v>1432.4580000000001</v>
      </c>
      <c r="X222" s="25">
        <f t="shared" si="129"/>
        <v>1585.3</v>
      </c>
      <c r="Y222" s="25">
        <f t="shared" si="129"/>
        <v>1768.3750000000002</v>
      </c>
      <c r="Z222" s="25"/>
      <c r="AA222" s="25"/>
      <c r="AG222" s="33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25"/>
      <c r="AZ222" s="5"/>
    </row>
    <row r="223" spans="1:72" hidden="1" outlineLevel="1">
      <c r="C223" s="44" t="s">
        <v>297</v>
      </c>
      <c r="D223" s="25" t="str">
        <f t="shared" ref="D223:Y223" ca="1" si="130">IF(D$8="A",D321,IF(D$8="L","…","…"))</f>
        <v>…</v>
      </c>
      <c r="E223" s="25" t="str">
        <f t="shared" ca="1" si="130"/>
        <v>…</v>
      </c>
      <c r="F223" s="25" t="str">
        <f t="shared" ca="1" si="130"/>
        <v>…</v>
      </c>
      <c r="G223" s="25" t="str">
        <f t="shared" ca="1" si="130"/>
        <v>…</v>
      </c>
      <c r="H223" s="25" t="str">
        <f t="shared" ca="1" si="130"/>
        <v>…</v>
      </c>
      <c r="I223" s="25" t="str">
        <f t="shared" ca="1" si="130"/>
        <v>…</v>
      </c>
      <c r="J223" s="25" t="str">
        <f t="shared" ca="1" si="130"/>
        <v>…</v>
      </c>
      <c r="K223" s="25" t="str">
        <f t="shared" ca="1" si="130"/>
        <v>…</v>
      </c>
      <c r="L223" s="25" t="str">
        <f t="shared" ca="1" si="130"/>
        <v>…</v>
      </c>
      <c r="M223" s="25">
        <f t="shared" si="130"/>
        <v>363.54899999999998</v>
      </c>
      <c r="N223" s="25">
        <f t="shared" si="130"/>
        <v>389.46800000000002</v>
      </c>
      <c r="O223" s="25">
        <f t="shared" si="130"/>
        <v>444.32</v>
      </c>
      <c r="P223" s="25">
        <f t="shared" si="130"/>
        <v>595.08199999999999</v>
      </c>
      <c r="Q223" s="25">
        <f t="shared" si="130"/>
        <v>775.41600000000005</v>
      </c>
      <c r="R223" s="48">
        <f t="shared" si="130"/>
        <v>826.50699999999995</v>
      </c>
      <c r="S223" s="48">
        <f t="shared" si="130"/>
        <v>917.44600000000003</v>
      </c>
      <c r="T223" s="48">
        <f t="shared" si="130"/>
        <v>716.12699999999995</v>
      </c>
      <c r="U223" s="48">
        <f t="shared" si="130"/>
        <v>1075.4880000000001</v>
      </c>
      <c r="V223" s="48" t="str">
        <f t="shared" si="130"/>
        <v>…</v>
      </c>
      <c r="W223" s="48" t="str">
        <f t="shared" si="130"/>
        <v>…</v>
      </c>
      <c r="X223" s="48" t="str">
        <f t="shared" si="130"/>
        <v>…</v>
      </c>
      <c r="Y223" s="48" t="str">
        <f t="shared" si="130"/>
        <v>…</v>
      </c>
      <c r="Z223" s="48"/>
      <c r="AA223" s="48"/>
      <c r="AG223" s="33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48"/>
      <c r="AZ223" s="5"/>
    </row>
    <row r="224" spans="1:72" s="33" customFormat="1" hidden="1" outlineLevel="1">
      <c r="A224" s="5"/>
      <c r="C224" s="44" t="s">
        <v>356</v>
      </c>
      <c r="D224" s="25" t="str">
        <f ca="1">IF(D$8="E",IFERROR(1/(1/(MIN(AD21,AD22))),"…"),"…")</f>
        <v>…</v>
      </c>
      <c r="E224" s="25" t="str">
        <f ca="1">IF(E$8="E",IFERROR(1/(1/(MIN(AE21,AE22))),"…"),"…")</f>
        <v>…</v>
      </c>
      <c r="F224" s="25" t="str">
        <f ca="1">IF(F$8="E",IFERROR(1/(1/(MIN(AF21,AF22))),"…"),"…")</f>
        <v>…</v>
      </c>
      <c r="G224" s="25" t="str">
        <f ca="1">IF(G$8="E",IFERROR(1/(1/(MIN(AG21,AG22))),"…"),"…")</f>
        <v>…</v>
      </c>
      <c r="H224" s="25" t="str">
        <f ca="1">IF(H$8="E",IFERROR(1/(1/(MIN(AH21,AH22))),"…"),"…")</f>
        <v>…</v>
      </c>
      <c r="I224" s="60" t="str">
        <f ca="1">IF(F$8="E",IFERROR(1/(1/(MIN(AF21,AF22))),"…"),"…")</f>
        <v>…</v>
      </c>
      <c r="J224" s="60" t="str">
        <f ca="1">IF(G$8="E",IFERROR(1/(1/(MIN(AG21,AG22))),"…"),"…")</f>
        <v>…</v>
      </c>
      <c r="K224" s="60" t="str">
        <f ca="1">IF(H$8="E",IFERROR(1/(1/(MIN(AH21,AH22))),"…"),"…")</f>
        <v>…</v>
      </c>
      <c r="L224" s="60" t="str">
        <f ca="1">IF(I$8="E",IFERROR(1/(1/(MIN(AI21,AI22))),"…"),"…")</f>
        <v>…</v>
      </c>
      <c r="M224" s="60" t="str">
        <f>IF(M$8="E",IFERROR(1/(1/(MIN(AJ21,AJ22))),"…"),"…")</f>
        <v>…</v>
      </c>
      <c r="N224" s="60" t="str">
        <f>IF(N$8="E",IFERROR(1/(1/(MIN(AK21,AK22))),"…"),"…")</f>
        <v>…</v>
      </c>
      <c r="O224" s="60" t="str">
        <f>IF(O$8="E",IFERROR(1/(1/(MIN(AL21,AL22))),"…"),"…")</f>
        <v>…</v>
      </c>
      <c r="P224" s="60" t="str">
        <f>IF(P$8="E",IFERROR(1/(1/(MIN(AM21,AM22))),"…"),"…")</f>
        <v>…</v>
      </c>
      <c r="Q224" s="60" t="str">
        <f t="shared" ref="Q224:Y224" si="131">IF(Q$8="E",IFERROR(1/(1/(MIN(AO21,AO22))),"…"),"…")</f>
        <v>…</v>
      </c>
      <c r="R224" s="60" t="str">
        <f t="shared" si="131"/>
        <v>…</v>
      </c>
      <c r="S224" s="60" t="str">
        <f t="shared" si="131"/>
        <v>…</v>
      </c>
      <c r="T224" s="60" t="str">
        <f t="shared" si="131"/>
        <v>…</v>
      </c>
      <c r="U224" s="60" t="str">
        <f t="shared" si="131"/>
        <v>…</v>
      </c>
      <c r="V224" s="60">
        <f t="shared" si="131"/>
        <v>1182.6669999999999</v>
      </c>
      <c r="W224" s="60">
        <f t="shared" si="131"/>
        <v>1432.4580000000001</v>
      </c>
      <c r="X224" s="60">
        <f t="shared" si="131"/>
        <v>1585.3</v>
      </c>
      <c r="Y224" s="60">
        <f t="shared" si="131"/>
        <v>1768.3750000000002</v>
      </c>
      <c r="Z224" s="60"/>
      <c r="AA224" s="60"/>
      <c r="AY224" s="60"/>
    </row>
    <row r="225" spans="1:54" s="33" customFormat="1" hidden="1" outlineLevel="1">
      <c r="A225" s="5"/>
      <c r="C225" s="44" t="s">
        <v>365</v>
      </c>
      <c r="D225" s="25" t="str">
        <f t="shared" ref="D225:T225" ca="1" si="132">IFERROR(D153-D162-D190,"…")</f>
        <v>…</v>
      </c>
      <c r="E225" s="25" t="str">
        <f t="shared" ca="1" si="132"/>
        <v>…</v>
      </c>
      <c r="F225" s="25" t="str">
        <f t="shared" ca="1" si="132"/>
        <v>…</v>
      </c>
      <c r="G225" s="25" t="str">
        <f t="shared" ca="1" si="132"/>
        <v>…</v>
      </c>
      <c r="H225" s="25" t="str">
        <f t="shared" ca="1" si="132"/>
        <v>…</v>
      </c>
      <c r="I225" s="25" t="str">
        <f t="shared" ca="1" si="132"/>
        <v>…</v>
      </c>
      <c r="J225" s="25" t="str">
        <f t="shared" ca="1" si="132"/>
        <v>…</v>
      </c>
      <c r="K225" s="25" t="str">
        <f t="shared" ca="1" si="132"/>
        <v>…</v>
      </c>
      <c r="L225" s="25" t="str">
        <f t="shared" ca="1" si="132"/>
        <v>…</v>
      </c>
      <c r="M225" s="25">
        <f t="shared" ca="1" si="132"/>
        <v>392.1376724137931</v>
      </c>
      <c r="N225" s="25">
        <f t="shared" si="132"/>
        <v>424.11467241379319</v>
      </c>
      <c r="O225" s="25">
        <f t="shared" si="132"/>
        <v>329.98293103448276</v>
      </c>
      <c r="P225" s="25">
        <f t="shared" si="132"/>
        <v>595.08199999999999</v>
      </c>
      <c r="Q225" s="25">
        <f t="shared" si="132"/>
        <v>775.41599999999994</v>
      </c>
      <c r="R225" s="25">
        <f t="shared" si="132"/>
        <v>826.50700000000006</v>
      </c>
      <c r="S225" s="25">
        <f t="shared" si="132"/>
        <v>917.44600000000014</v>
      </c>
      <c r="T225" s="25">
        <f t="shared" si="132"/>
        <v>716.12699999999995</v>
      </c>
      <c r="U225" s="25">
        <f>IFERROR(U153-U162-U190,"…")</f>
        <v>1075.4880000000001</v>
      </c>
      <c r="V225" s="25">
        <f>IFERROR(V153-V162-V190,"…")</f>
        <v>1206.4498923019207</v>
      </c>
      <c r="W225" s="25">
        <f ca="1">IFERROR(W153-W162-W190,"…")</f>
        <v>1523.3773942211765</v>
      </c>
      <c r="X225" s="25">
        <f ca="1">IFERROR(X153-X162-X190,"…")</f>
        <v>1736.6852511129964</v>
      </c>
      <c r="Y225" s="25">
        <f ca="1">IFERROR(Y153-Y162-Y190,"…")</f>
        <v>1929.3158228240902</v>
      </c>
      <c r="Z225" s="25"/>
      <c r="AA225" s="25"/>
      <c r="AY225" s="25"/>
    </row>
    <row r="226" spans="1:54" hidden="1" outlineLevel="1">
      <c r="C226" s="38"/>
      <c r="D226" s="34"/>
      <c r="E226" s="34"/>
      <c r="F226" s="34"/>
      <c r="G226" s="34"/>
      <c r="H226" s="34"/>
      <c r="I226" s="3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G226" s="33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4"/>
      <c r="AZ226" s="5"/>
    </row>
    <row r="227" spans="1:54" collapsed="1">
      <c r="C227" s="41" t="s">
        <v>143</v>
      </c>
      <c r="D227" s="36" t="str">
        <f t="shared" ref="D227:Y227" ca="1" si="133">D281</f>
        <v>…</v>
      </c>
      <c r="E227" s="36" t="str">
        <f t="shared" ca="1" si="133"/>
        <v>…</v>
      </c>
      <c r="F227" s="36" t="str">
        <f t="shared" ca="1" si="133"/>
        <v>…</v>
      </c>
      <c r="G227" s="36" t="str">
        <f t="shared" ca="1" si="133"/>
        <v>…</v>
      </c>
      <c r="H227" s="36" t="str">
        <f t="shared" ca="1" si="133"/>
        <v>…</v>
      </c>
      <c r="I227" s="36" t="str">
        <f t="shared" ca="1" si="133"/>
        <v>…</v>
      </c>
      <c r="J227" s="36" t="str">
        <f t="shared" ca="1" si="133"/>
        <v>…</v>
      </c>
      <c r="K227" s="36" t="str">
        <f t="shared" ca="1" si="133"/>
        <v>…</v>
      </c>
      <c r="L227" s="36" t="str">
        <f t="shared" ca="1" si="133"/>
        <v>…</v>
      </c>
      <c r="M227" s="36">
        <f t="shared" si="133"/>
        <v>382.36561399999999</v>
      </c>
      <c r="N227" s="36">
        <f t="shared" si="133"/>
        <v>406.20404800000006</v>
      </c>
      <c r="O227" s="36">
        <f t="shared" si="133"/>
        <v>304.80351999999999</v>
      </c>
      <c r="P227" s="36">
        <f t="shared" si="133"/>
        <v>408.22625199999999</v>
      </c>
      <c r="Q227" s="36">
        <f t="shared" si="133"/>
        <v>706.43815999999993</v>
      </c>
      <c r="R227" s="36">
        <f t="shared" si="133"/>
        <v>760.50932000000012</v>
      </c>
      <c r="S227" s="36">
        <f t="shared" si="133"/>
        <v>857.72296000000006</v>
      </c>
      <c r="T227" s="36">
        <f t="shared" si="133"/>
        <v>752.94151999999985</v>
      </c>
      <c r="U227" s="36">
        <f t="shared" si="133"/>
        <v>963.67676800000004</v>
      </c>
      <c r="V227" s="36">
        <f t="shared" si="133"/>
        <v>1054.3936103712849</v>
      </c>
      <c r="W227" s="36">
        <f t="shared" ca="1" si="133"/>
        <v>1250.6321802810294</v>
      </c>
      <c r="X227" s="36">
        <f t="shared" ca="1" si="133"/>
        <v>1381.8346244985037</v>
      </c>
      <c r="Y227" s="36">
        <f t="shared" ca="1" si="133"/>
        <v>1489.4394586594035</v>
      </c>
      <c r="Z227" s="36"/>
      <c r="AA227" s="36"/>
      <c r="AB227" s="31"/>
      <c r="AC227" s="31"/>
      <c r="AE227" s="30"/>
      <c r="AF227" s="30"/>
      <c r="AJ227" s="31"/>
      <c r="AY227" s="36"/>
      <c r="AZ227" s="27"/>
    </row>
    <row r="228" spans="1:54" ht="13.15">
      <c r="C228" s="13"/>
      <c r="D228" s="35"/>
      <c r="E228" s="35"/>
      <c r="F228" s="35"/>
      <c r="G228" s="35"/>
      <c r="H228" s="35"/>
      <c r="I228" s="35"/>
      <c r="J228" s="57"/>
      <c r="K228" s="57"/>
      <c r="L228" s="57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31"/>
      <c r="AC228" s="31"/>
      <c r="AE228" s="30"/>
      <c r="AF228" s="30"/>
      <c r="AJ228" s="31"/>
      <c r="AY228" s="56"/>
      <c r="AZ228" s="27"/>
    </row>
    <row r="229" spans="1:54" hidden="1" outlineLevel="1">
      <c r="C229" s="38" t="s">
        <v>335</v>
      </c>
      <c r="D229" s="36" t="str">
        <f t="shared" ref="D229:Y229" ca="1" si="134">IF(ISNUMBER(D230),D230,IF(ISNUMBER(D231),D231,"…"))</f>
        <v>…</v>
      </c>
      <c r="E229" s="36" t="str">
        <f t="shared" ca="1" si="134"/>
        <v>…</v>
      </c>
      <c r="F229" s="36" t="str">
        <f t="shared" ca="1" si="134"/>
        <v>…</v>
      </c>
      <c r="G229" s="36" t="str">
        <f t="shared" ca="1" si="134"/>
        <v>…</v>
      </c>
      <c r="H229" s="36" t="str">
        <f t="shared" ca="1" si="134"/>
        <v>…</v>
      </c>
      <c r="I229" s="36" t="str">
        <f t="shared" ca="1" si="134"/>
        <v>…</v>
      </c>
      <c r="J229" s="36" t="str">
        <f t="shared" ca="1" si="134"/>
        <v>…</v>
      </c>
      <c r="K229" s="36" t="str">
        <f t="shared" ca="1" si="134"/>
        <v>…</v>
      </c>
      <c r="L229" s="36" t="str">
        <f t="shared" ca="1" si="134"/>
        <v>…</v>
      </c>
      <c r="M229" s="36">
        <f t="shared" si="134"/>
        <v>594.34199999999987</v>
      </c>
      <c r="N229" s="36">
        <f t="shared" si="134"/>
        <v>749.31600000000003</v>
      </c>
      <c r="O229" s="36">
        <f t="shared" si="134"/>
        <v>736.06299999999999</v>
      </c>
      <c r="P229" s="36">
        <f t="shared" si="134"/>
        <v>696.12100000000009</v>
      </c>
      <c r="Q229" s="36">
        <f t="shared" si="134"/>
        <v>638.10899999999992</v>
      </c>
      <c r="R229" s="36">
        <f t="shared" si="134"/>
        <v>672.72799999999995</v>
      </c>
      <c r="S229" s="36">
        <f t="shared" si="134"/>
        <v>733.43600000000004</v>
      </c>
      <c r="T229" s="36">
        <f t="shared" si="134"/>
        <v>731.84199999999998</v>
      </c>
      <c r="U229" s="36">
        <f t="shared" si="134"/>
        <v>947.26200000000006</v>
      </c>
      <c r="V229" s="36">
        <f t="shared" ca="1" si="134"/>
        <v>1084.8318449280935</v>
      </c>
      <c r="W229" s="36">
        <f t="shared" ca="1" si="134"/>
        <v>1210.9215356779728</v>
      </c>
      <c r="X229" s="36">
        <f t="shared" ca="1" si="134"/>
        <v>1307.1948315042725</v>
      </c>
      <c r="Y229" s="36">
        <f t="shared" ca="1" si="134"/>
        <v>1410.7926583106218</v>
      </c>
      <c r="Z229" s="36"/>
      <c r="AA229" s="36"/>
      <c r="AB229" s="23"/>
      <c r="AC229" s="23"/>
      <c r="AY229" s="36"/>
    </row>
    <row r="230" spans="1:54" hidden="1" outlineLevel="2">
      <c r="C230" s="43" t="s">
        <v>354</v>
      </c>
      <c r="D230" s="36" t="str">
        <f t="shared" ref="D230:Y230" ca="1" si="135">IF(D$8="A",D307,IF(D$8="L","…","…"))</f>
        <v>…</v>
      </c>
      <c r="E230" s="36" t="str">
        <f t="shared" ca="1" si="135"/>
        <v>…</v>
      </c>
      <c r="F230" s="36" t="str">
        <f t="shared" ca="1" si="135"/>
        <v>…</v>
      </c>
      <c r="G230" s="36" t="str">
        <f t="shared" ca="1" si="135"/>
        <v>…</v>
      </c>
      <c r="H230" s="36" t="str">
        <f t="shared" ca="1" si="135"/>
        <v>…</v>
      </c>
      <c r="I230" s="36" t="str">
        <f t="shared" ca="1" si="135"/>
        <v>…</v>
      </c>
      <c r="J230" s="36" t="str">
        <f t="shared" ca="1" si="135"/>
        <v>…</v>
      </c>
      <c r="K230" s="36" t="str">
        <f t="shared" ca="1" si="135"/>
        <v>…</v>
      </c>
      <c r="L230" s="36" t="str">
        <f t="shared" ca="1" si="135"/>
        <v>…</v>
      </c>
      <c r="M230" s="55">
        <f t="shared" si="135"/>
        <v>594.34199999999987</v>
      </c>
      <c r="N230" s="55">
        <f t="shared" si="135"/>
        <v>749.31600000000003</v>
      </c>
      <c r="O230" s="55">
        <f t="shared" si="135"/>
        <v>736.06299999999999</v>
      </c>
      <c r="P230" s="55">
        <f t="shared" si="135"/>
        <v>696.12100000000009</v>
      </c>
      <c r="Q230" s="55">
        <f t="shared" si="135"/>
        <v>638.10899999999992</v>
      </c>
      <c r="R230" s="55">
        <f t="shared" si="135"/>
        <v>672.72799999999995</v>
      </c>
      <c r="S230" s="55">
        <f t="shared" si="135"/>
        <v>733.43600000000004</v>
      </c>
      <c r="T230" s="55">
        <f t="shared" si="135"/>
        <v>731.84199999999998</v>
      </c>
      <c r="U230" s="55">
        <f t="shared" si="135"/>
        <v>947.26200000000006</v>
      </c>
      <c r="V230" s="55" t="str">
        <f t="shared" si="135"/>
        <v>…</v>
      </c>
      <c r="W230" s="55" t="str">
        <f t="shared" si="135"/>
        <v>…</v>
      </c>
      <c r="X230" s="55" t="str">
        <f t="shared" si="135"/>
        <v>…</v>
      </c>
      <c r="Y230" s="55" t="str">
        <f t="shared" si="135"/>
        <v>…</v>
      </c>
      <c r="Z230" s="55"/>
      <c r="AA230" s="55"/>
      <c r="AB230" s="23"/>
      <c r="AC230" s="23"/>
      <c r="AI230" s="24"/>
      <c r="AY230" s="55"/>
      <c r="BB230" s="33"/>
    </row>
    <row r="231" spans="1:54" hidden="1" outlineLevel="2">
      <c r="C231" s="43" t="s">
        <v>355</v>
      </c>
      <c r="D231" s="36" t="str">
        <f t="shared" ref="D231:Y231" ca="1" si="136">IF(D$8="E",D140/365*D147,"…")</f>
        <v>…</v>
      </c>
      <c r="E231" s="36" t="str">
        <f t="shared" ca="1" si="136"/>
        <v>…</v>
      </c>
      <c r="F231" s="36" t="str">
        <f t="shared" ca="1" si="136"/>
        <v>…</v>
      </c>
      <c r="G231" s="36" t="str">
        <f t="shared" ca="1" si="136"/>
        <v>…</v>
      </c>
      <c r="H231" s="36" t="str">
        <f t="shared" ca="1" si="136"/>
        <v>…</v>
      </c>
      <c r="I231" s="36" t="str">
        <f t="shared" ca="1" si="136"/>
        <v>…</v>
      </c>
      <c r="J231" s="36" t="str">
        <f t="shared" ca="1" si="136"/>
        <v>…</v>
      </c>
      <c r="K231" s="55" t="str">
        <f t="shared" ca="1" si="136"/>
        <v>…</v>
      </c>
      <c r="L231" s="55" t="str">
        <f t="shared" ca="1" si="136"/>
        <v>…</v>
      </c>
      <c r="M231" s="55" t="str">
        <f t="shared" si="136"/>
        <v>…</v>
      </c>
      <c r="N231" s="55" t="str">
        <f t="shared" si="136"/>
        <v>…</v>
      </c>
      <c r="O231" s="55" t="str">
        <f t="shared" si="136"/>
        <v>…</v>
      </c>
      <c r="P231" s="55" t="str">
        <f t="shared" si="136"/>
        <v>…</v>
      </c>
      <c r="Q231" s="55" t="str">
        <f t="shared" si="136"/>
        <v>…</v>
      </c>
      <c r="R231" s="55" t="str">
        <f t="shared" si="136"/>
        <v>…</v>
      </c>
      <c r="S231" s="55" t="str">
        <f t="shared" si="136"/>
        <v>…</v>
      </c>
      <c r="T231" s="55" t="str">
        <f t="shared" si="136"/>
        <v>…</v>
      </c>
      <c r="U231" s="55" t="str">
        <f t="shared" si="136"/>
        <v>…</v>
      </c>
      <c r="V231" s="55">
        <f t="shared" ca="1" si="136"/>
        <v>1084.8318449280935</v>
      </c>
      <c r="W231" s="55">
        <f t="shared" ca="1" si="136"/>
        <v>1210.9215356779728</v>
      </c>
      <c r="X231" s="55">
        <f t="shared" ca="1" si="136"/>
        <v>1307.1948315042725</v>
      </c>
      <c r="Y231" s="55">
        <f t="shared" ca="1" si="136"/>
        <v>1410.7926583106218</v>
      </c>
      <c r="Z231" s="55"/>
      <c r="AA231" s="55"/>
      <c r="AB231" s="23"/>
      <c r="AC231" s="23"/>
      <c r="AI231" s="24"/>
      <c r="AY231" s="55"/>
      <c r="BB231" s="33"/>
    </row>
    <row r="232" spans="1:54" hidden="1" outlineLevel="1">
      <c r="C232" s="38" t="s">
        <v>204</v>
      </c>
      <c r="D232" s="54" t="str">
        <f t="shared" ref="D232:R232" ca="1" si="137">IF(D$8="A",D260-D245,IF(D$8="L","…",IF(D$8="E",SUM(D260),"…")))</f>
        <v>…</v>
      </c>
      <c r="E232" s="54" t="str">
        <f t="shared" ca="1" si="137"/>
        <v>…</v>
      </c>
      <c r="F232" s="54" t="str">
        <f t="shared" ca="1" si="137"/>
        <v>…</v>
      </c>
      <c r="G232" s="54" t="str">
        <f t="shared" ca="1" si="137"/>
        <v>…</v>
      </c>
      <c r="H232" s="54" t="str">
        <f t="shared" ca="1" si="137"/>
        <v>…</v>
      </c>
      <c r="I232" s="54" t="str">
        <f t="shared" ca="1" si="137"/>
        <v>…</v>
      </c>
      <c r="J232" s="54" t="str">
        <f t="shared" ca="1" si="137"/>
        <v>…</v>
      </c>
      <c r="K232" s="54" t="str">
        <f t="shared" ca="1" si="137"/>
        <v>…</v>
      </c>
      <c r="L232" s="54" t="str">
        <f t="shared" ca="1" si="137"/>
        <v>…</v>
      </c>
      <c r="M232" s="54">
        <f t="shared" si="137"/>
        <v>3781.6889999999994</v>
      </c>
      <c r="N232" s="54">
        <f t="shared" si="137"/>
        <v>4507.1490000000003</v>
      </c>
      <c r="O232" s="54">
        <f t="shared" si="137"/>
        <v>3692.6459999999997</v>
      </c>
      <c r="P232" s="54">
        <f t="shared" si="137"/>
        <v>3391.82</v>
      </c>
      <c r="Q232" s="54">
        <f t="shared" si="137"/>
        <v>3493.3980000000001</v>
      </c>
      <c r="R232" s="54">
        <f t="shared" si="137"/>
        <v>4058.0690000000004</v>
      </c>
      <c r="S232" s="54">
        <f t="shared" ref="S232:Y232" si="138">IF(S$8="A",S260-S245,IF(S$8="L","…",IF(S$8="E",SUM(S260),"…")))</f>
        <v>4548.4260000000004</v>
      </c>
      <c r="T232" s="54">
        <f t="shared" si="138"/>
        <v>4899.6409999999996</v>
      </c>
      <c r="U232" s="54">
        <f t="shared" si="138"/>
        <v>5519.3590000000004</v>
      </c>
      <c r="V232" s="54">
        <f t="shared" ca="1" si="138"/>
        <v>5829.792945373184</v>
      </c>
      <c r="W232" s="54">
        <f t="shared" ca="1" si="138"/>
        <v>6184.5651480447095</v>
      </c>
      <c r="X232" s="54">
        <f t="shared" ca="1" si="138"/>
        <v>6527.5446545916839</v>
      </c>
      <c r="Y232" s="54">
        <f t="shared" ca="1" si="138"/>
        <v>6931.3512462934068</v>
      </c>
      <c r="Z232" s="54"/>
      <c r="AA232" s="54"/>
      <c r="AB232" s="5"/>
      <c r="AC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4"/>
      <c r="AZ232" s="5"/>
    </row>
    <row r="233" spans="1:54" s="33" customFormat="1" hidden="1" outlineLevel="1">
      <c r="A233" s="5"/>
      <c r="B233" s="5"/>
      <c r="C233" s="38" t="s">
        <v>206</v>
      </c>
      <c r="D233" s="54" t="str">
        <f t="shared" ref="D233:Y233" ca="1" si="139">IF(D$8="A",D147*3%,IF(D$8="L","…",IF(D$8="E",IFERROR(D147*3%,"…"),"…")))</f>
        <v>…</v>
      </c>
      <c r="E233" s="54" t="str">
        <f t="shared" ca="1" si="139"/>
        <v>…</v>
      </c>
      <c r="F233" s="54" t="str">
        <f t="shared" ca="1" si="139"/>
        <v>…</v>
      </c>
      <c r="G233" s="54" t="str">
        <f t="shared" ca="1" si="139"/>
        <v>…</v>
      </c>
      <c r="H233" s="54" t="str">
        <f t="shared" ca="1" si="139"/>
        <v>…</v>
      </c>
      <c r="I233" s="54" t="str">
        <f t="shared" ca="1" si="139"/>
        <v>…</v>
      </c>
      <c r="J233" s="54" t="str">
        <f t="shared" ca="1" si="139"/>
        <v>…</v>
      </c>
      <c r="K233" s="54" t="str">
        <f t="shared" ca="1" si="139"/>
        <v>…</v>
      </c>
      <c r="L233" s="54" t="str">
        <f t="shared" ca="1" si="139"/>
        <v>…</v>
      </c>
      <c r="M233" s="54">
        <f t="shared" si="139"/>
        <v>70.058099999999996</v>
      </c>
      <c r="N233" s="54">
        <f t="shared" si="139"/>
        <v>82.870800000000003</v>
      </c>
      <c r="O233" s="54">
        <f t="shared" si="139"/>
        <v>85.61999999999999</v>
      </c>
      <c r="P233" s="54">
        <f t="shared" si="139"/>
        <v>93.149999999999991</v>
      </c>
      <c r="Q233" s="54">
        <f t="shared" si="139"/>
        <v>102.50999999999999</v>
      </c>
      <c r="R233" s="54">
        <f t="shared" si="139"/>
        <v>102.6</v>
      </c>
      <c r="S233" s="54">
        <f t="shared" si="139"/>
        <v>112.97999999999999</v>
      </c>
      <c r="T233" s="54">
        <f t="shared" si="139"/>
        <v>103.8</v>
      </c>
      <c r="U233" s="54">
        <f t="shared" si="139"/>
        <v>128.13</v>
      </c>
      <c r="V233" s="54">
        <f t="shared" si="139"/>
        <v>146.57123999999999</v>
      </c>
      <c r="W233" s="54">
        <f t="shared" si="139"/>
        <v>163.42124999999999</v>
      </c>
      <c r="X233" s="54">
        <f t="shared" si="139"/>
        <v>176.21366999999998</v>
      </c>
      <c r="Y233" s="54">
        <f t="shared" si="139"/>
        <v>189.96332999999998</v>
      </c>
      <c r="Z233" s="54"/>
      <c r="AA233" s="54"/>
      <c r="AB233" s="20"/>
      <c r="AC233" s="20"/>
      <c r="AD233" s="5"/>
      <c r="AE233" s="5"/>
      <c r="AF233" s="5"/>
      <c r="AG233" s="5"/>
      <c r="AH233" s="5"/>
      <c r="AI233" s="24"/>
      <c r="AJ233" s="22"/>
      <c r="AK233" s="23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54"/>
      <c r="AZ233" s="24"/>
      <c r="BA233" s="5"/>
    </row>
    <row r="234" spans="1:54" s="33" customFormat="1" collapsed="1">
      <c r="A234" s="5"/>
      <c r="B234" s="5"/>
      <c r="C234" s="5" t="s">
        <v>207</v>
      </c>
      <c r="D234" s="36" t="str">
        <f t="shared" ref="D234:Y234" ca="1" si="140">IFERROR(D232-(D229)+D233,"…")</f>
        <v>…</v>
      </c>
      <c r="E234" s="36" t="str">
        <f t="shared" ca="1" si="140"/>
        <v>…</v>
      </c>
      <c r="F234" s="36" t="str">
        <f t="shared" ca="1" si="140"/>
        <v>…</v>
      </c>
      <c r="G234" s="36" t="str">
        <f t="shared" ca="1" si="140"/>
        <v>…</v>
      </c>
      <c r="H234" s="36" t="str">
        <f t="shared" ca="1" si="140"/>
        <v>…</v>
      </c>
      <c r="I234" s="36" t="str">
        <f t="shared" ca="1" si="140"/>
        <v>…</v>
      </c>
      <c r="J234" s="36" t="str">
        <f t="shared" ca="1" si="140"/>
        <v>…</v>
      </c>
      <c r="K234" s="36" t="str">
        <f t="shared" ca="1" si="140"/>
        <v>…</v>
      </c>
      <c r="L234" s="36" t="str">
        <f t="shared" ca="1" si="140"/>
        <v>…</v>
      </c>
      <c r="M234" s="36">
        <f t="shared" si="140"/>
        <v>3257.4050999999999</v>
      </c>
      <c r="N234" s="36">
        <f t="shared" si="140"/>
        <v>3840.7038000000007</v>
      </c>
      <c r="O234" s="36">
        <f t="shared" si="140"/>
        <v>3042.2029999999995</v>
      </c>
      <c r="P234" s="36">
        <f t="shared" si="140"/>
        <v>2788.8490000000002</v>
      </c>
      <c r="Q234" s="36">
        <f t="shared" si="140"/>
        <v>2957.799</v>
      </c>
      <c r="R234" s="36">
        <f t="shared" si="140"/>
        <v>3487.9410000000003</v>
      </c>
      <c r="S234" s="36">
        <f t="shared" si="140"/>
        <v>3927.9700000000003</v>
      </c>
      <c r="T234" s="36">
        <f t="shared" si="140"/>
        <v>4271.5990000000002</v>
      </c>
      <c r="U234" s="36">
        <f t="shared" si="140"/>
        <v>4700.2270000000008</v>
      </c>
      <c r="V234" s="36">
        <f t="shared" ca="1" si="140"/>
        <v>4891.532340445091</v>
      </c>
      <c r="W234" s="36">
        <f t="shared" ca="1" si="140"/>
        <v>5137.0648623667375</v>
      </c>
      <c r="X234" s="36">
        <f t="shared" ca="1" si="140"/>
        <v>5396.5634930874112</v>
      </c>
      <c r="Y234" s="36">
        <f t="shared" ca="1" si="140"/>
        <v>5710.5219179827845</v>
      </c>
      <c r="Z234" s="36"/>
      <c r="AA234" s="36"/>
      <c r="AB234" s="25"/>
      <c r="AC234" s="25"/>
      <c r="AD234" s="24"/>
      <c r="AE234" s="5"/>
      <c r="AF234" s="5"/>
      <c r="AG234" s="5"/>
      <c r="AI234" s="24"/>
      <c r="AJ234" s="22"/>
      <c r="AK234" s="23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36"/>
      <c r="AZ234" s="24"/>
      <c r="BA234" s="5"/>
    </row>
    <row r="235" spans="1:54" s="33" customFormat="1">
      <c r="A235" s="5"/>
      <c r="B235" s="5"/>
      <c r="C235" s="5" t="s">
        <v>210</v>
      </c>
      <c r="D235" s="36" t="str">
        <f t="shared" ref="D235:Y235" ca="1" si="141">IF(ISNUMBER(D234-(D258)),D234-(D258),"…")</f>
        <v>…</v>
      </c>
      <c r="E235" s="36" t="str">
        <f t="shared" ca="1" si="141"/>
        <v>…</v>
      </c>
      <c r="F235" s="36" t="str">
        <f t="shared" ca="1" si="141"/>
        <v>…</v>
      </c>
      <c r="G235" s="36" t="str">
        <f t="shared" ca="1" si="141"/>
        <v>…</v>
      </c>
      <c r="H235" s="36" t="str">
        <f t="shared" ca="1" si="141"/>
        <v>…</v>
      </c>
      <c r="I235" s="36" t="str">
        <f t="shared" ca="1" si="141"/>
        <v>…</v>
      </c>
      <c r="J235" s="36" t="str">
        <f t="shared" ca="1" si="141"/>
        <v>…</v>
      </c>
      <c r="K235" s="36" t="str">
        <f t="shared" ca="1" si="141"/>
        <v>…</v>
      </c>
      <c r="L235" s="36" t="str">
        <f t="shared" ca="1" si="141"/>
        <v>…</v>
      </c>
      <c r="M235" s="36">
        <f t="shared" si="141"/>
        <v>3177.9510999999998</v>
      </c>
      <c r="N235" s="36">
        <f t="shared" si="141"/>
        <v>3681.5568000000007</v>
      </c>
      <c r="O235" s="36">
        <f t="shared" si="141"/>
        <v>2907.7449999999994</v>
      </c>
      <c r="P235" s="36">
        <f t="shared" si="141"/>
        <v>2635.5570000000002</v>
      </c>
      <c r="Q235" s="36">
        <f t="shared" si="141"/>
        <v>2833.67</v>
      </c>
      <c r="R235" s="36">
        <f t="shared" si="141"/>
        <v>3395.0630000000001</v>
      </c>
      <c r="S235" s="36">
        <f t="shared" si="141"/>
        <v>3815.5710000000004</v>
      </c>
      <c r="T235" s="36">
        <f t="shared" si="141"/>
        <v>4076.5370000000003</v>
      </c>
      <c r="U235" s="36">
        <f t="shared" si="141"/>
        <v>4476.9610000000011</v>
      </c>
      <c r="V235" s="36">
        <f t="shared" ca="1" si="141"/>
        <v>4668.2663404450914</v>
      </c>
      <c r="W235" s="36">
        <f t="shared" ca="1" si="141"/>
        <v>4913.7988623667379</v>
      </c>
      <c r="X235" s="36">
        <f t="shared" ca="1" si="141"/>
        <v>5173.2974930874116</v>
      </c>
      <c r="Y235" s="36">
        <f t="shared" ca="1" si="141"/>
        <v>5487.2559179827849</v>
      </c>
      <c r="Z235" s="36"/>
      <c r="AA235" s="36"/>
      <c r="AB235" s="20"/>
      <c r="AC235" s="20"/>
      <c r="AD235" s="5"/>
      <c r="AE235" s="5"/>
      <c r="AF235" s="5"/>
      <c r="AG235" s="5"/>
      <c r="AH235" s="5"/>
      <c r="AI235" s="24"/>
      <c r="AJ235" s="22"/>
      <c r="AK235" s="23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36"/>
      <c r="AZ235" s="24"/>
      <c r="BA235" s="5"/>
    </row>
    <row r="236" spans="1:54" s="33" customFormat="1">
      <c r="A236" s="5"/>
      <c r="B236" s="5"/>
      <c r="C236" s="5" t="s">
        <v>211</v>
      </c>
      <c r="D236" s="25" t="str">
        <f t="shared" ref="D236:R236" ca="1" si="142">IF(ISNUMBER(D235-(SUM(D254))),D235-(SUM(D254)),"…")</f>
        <v>…</v>
      </c>
      <c r="E236" s="25" t="str">
        <f t="shared" ca="1" si="142"/>
        <v>…</v>
      </c>
      <c r="F236" s="36" t="str">
        <f t="shared" ca="1" si="142"/>
        <v>…</v>
      </c>
      <c r="G236" s="36" t="str">
        <f t="shared" ca="1" si="142"/>
        <v>…</v>
      </c>
      <c r="H236" s="36" t="str">
        <f t="shared" ca="1" si="142"/>
        <v>…</v>
      </c>
      <c r="I236" s="36" t="str">
        <f t="shared" ca="1" si="142"/>
        <v>…</v>
      </c>
      <c r="J236" s="36" t="str">
        <f t="shared" ca="1" si="142"/>
        <v>…</v>
      </c>
      <c r="K236" s="36" t="str">
        <f t="shared" ca="1" si="142"/>
        <v>…</v>
      </c>
      <c r="L236" s="36" t="str">
        <f t="shared" ca="1" si="142"/>
        <v>…</v>
      </c>
      <c r="M236" s="36">
        <f t="shared" si="142"/>
        <v>2390.7730999999999</v>
      </c>
      <c r="N236" s="36">
        <f t="shared" si="142"/>
        <v>2894.3788000000009</v>
      </c>
      <c r="O236" s="36">
        <f t="shared" si="142"/>
        <v>2120.5669999999996</v>
      </c>
      <c r="P236" s="36">
        <f>IF(ISNUMBER(P235-(SUM(P254))),P235-(SUM(P254)),"…")</f>
        <v>1850.3750000000002</v>
      </c>
      <c r="Q236" s="36">
        <f t="shared" si="142"/>
        <v>2048.4880000000003</v>
      </c>
      <c r="R236" s="36">
        <f t="shared" si="142"/>
        <v>2609.8810000000003</v>
      </c>
      <c r="S236" s="36">
        <f t="shared" ref="S236:Y236" si="143">IF(ISNUMBER(S235-(SUM(S254))),S235-(SUM(S254)),"…")</f>
        <v>3030.3890000000001</v>
      </c>
      <c r="T236" s="36">
        <f t="shared" si="143"/>
        <v>3291.3550000000005</v>
      </c>
      <c r="U236" s="36">
        <f t="shared" si="143"/>
        <v>3691.7790000000014</v>
      </c>
      <c r="V236" s="36">
        <f t="shared" ca="1" si="143"/>
        <v>3883.0843404450916</v>
      </c>
      <c r="W236" s="36">
        <f t="shared" ca="1" si="143"/>
        <v>4128.6168623667381</v>
      </c>
      <c r="X236" s="36">
        <f t="shared" ca="1" si="143"/>
        <v>4388.1154930874118</v>
      </c>
      <c r="Y236" s="36">
        <f t="shared" ca="1" si="143"/>
        <v>4702.0739179827851</v>
      </c>
      <c r="Z236" s="36"/>
      <c r="AA236" s="36"/>
      <c r="AB236" s="20"/>
      <c r="AC236" s="20"/>
      <c r="AD236" s="5"/>
      <c r="AE236" s="5"/>
      <c r="AF236" s="5"/>
      <c r="AG236" s="5"/>
      <c r="AH236" s="5"/>
      <c r="AI236" s="24"/>
      <c r="AJ236" s="22"/>
      <c r="AK236" s="23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36"/>
      <c r="AZ236" s="24"/>
      <c r="BA236" s="5"/>
    </row>
    <row r="237" spans="1:54"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31"/>
      <c r="AC237" s="31"/>
      <c r="AE237" s="30"/>
      <c r="AF237" s="30"/>
      <c r="AJ237" s="31"/>
      <c r="AY237" s="5"/>
      <c r="AZ237" s="27"/>
    </row>
    <row r="238" spans="1:54"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31"/>
      <c r="AC238" s="31"/>
      <c r="AE238" s="30"/>
      <c r="AF238" s="30"/>
      <c r="AJ238" s="31"/>
      <c r="AY238" s="5"/>
      <c r="AZ238" s="27"/>
    </row>
    <row r="239" spans="1:54"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112"/>
      <c r="O239" s="112"/>
      <c r="P239" s="112"/>
      <c r="Q239" s="112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23"/>
      <c r="AC239" s="23"/>
      <c r="AI239" s="24"/>
      <c r="AY239" s="5"/>
      <c r="BB239" s="33"/>
    </row>
    <row r="240" spans="1:54" ht="13.15">
      <c r="C240" s="12" t="s">
        <v>319</v>
      </c>
      <c r="D240" s="5"/>
      <c r="E240" s="5"/>
      <c r="F240" s="5"/>
      <c r="G240" s="5"/>
      <c r="H240" s="5"/>
      <c r="I240" s="5"/>
      <c r="J240" s="5"/>
      <c r="K240" s="37"/>
      <c r="L240" s="37"/>
      <c r="M240" s="37"/>
      <c r="N240" s="37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23"/>
      <c r="AC240" s="23"/>
      <c r="AI240" s="24"/>
      <c r="AY240" s="5"/>
      <c r="BB240" s="33"/>
    </row>
    <row r="241" spans="1:70" ht="13.15">
      <c r="A241" s="5" t="s">
        <v>316</v>
      </c>
      <c r="C241" s="12" t="s">
        <v>317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23"/>
      <c r="AC241" s="23"/>
      <c r="AI241" s="24"/>
      <c r="AY241" s="5"/>
      <c r="BB241" s="33"/>
    </row>
    <row r="242" spans="1:70">
      <c r="C242" s="38" t="s">
        <v>320</v>
      </c>
      <c r="D242" s="36" t="str">
        <f t="shared" ref="D242:Y242" ca="1" si="144">IF(ISNUMBER(D243),D243,IF(ISNUMBER(D244),D244,"…"))</f>
        <v>…</v>
      </c>
      <c r="E242" s="36" t="str">
        <f t="shared" ca="1" si="144"/>
        <v>…</v>
      </c>
      <c r="F242" s="36" t="str">
        <f t="shared" ca="1" si="144"/>
        <v>…</v>
      </c>
      <c r="G242" s="36" t="str">
        <f t="shared" ca="1" si="144"/>
        <v>…</v>
      </c>
      <c r="H242" s="36" t="str">
        <f t="shared" ca="1" si="144"/>
        <v>…</v>
      </c>
      <c r="I242" s="36" t="str">
        <f t="shared" ca="1" si="144"/>
        <v>…</v>
      </c>
      <c r="J242" s="36" t="str">
        <f t="shared" ca="1" si="144"/>
        <v>…</v>
      </c>
      <c r="K242" s="36" t="str">
        <f t="shared" ca="1" si="144"/>
        <v>…</v>
      </c>
      <c r="L242" s="36" t="str">
        <f t="shared" ca="1" si="144"/>
        <v>…</v>
      </c>
      <c r="M242" s="36">
        <f t="shared" si="144"/>
        <v>2105.076</v>
      </c>
      <c r="N242" s="36">
        <f t="shared" si="144"/>
        <v>2710.3770000000004</v>
      </c>
      <c r="O242" s="36">
        <f t="shared" si="144"/>
        <v>1837.0700000000002</v>
      </c>
      <c r="P242" s="36">
        <f t="shared" si="144"/>
        <v>1429.6689999999999</v>
      </c>
      <c r="Q242" s="36">
        <f t="shared" si="144"/>
        <v>1433.3710000000001</v>
      </c>
      <c r="R242" s="36">
        <f t="shared" si="144"/>
        <v>1683.662</v>
      </c>
      <c r="S242" s="36">
        <f t="shared" si="144"/>
        <v>1743.2550000000001</v>
      </c>
      <c r="T242" s="36">
        <f t="shared" si="144"/>
        <v>1713.4769999999999</v>
      </c>
      <c r="U242" s="36">
        <f t="shared" si="144"/>
        <v>2019.5730000000001</v>
      </c>
      <c r="V242" s="36">
        <f t="shared" ca="1" si="144"/>
        <v>2396.624760331275</v>
      </c>
      <c r="W242" s="36">
        <f t="shared" ca="1" si="144"/>
        <v>2768.4570193986556</v>
      </c>
      <c r="X242" s="36">
        <f t="shared" ca="1" si="144"/>
        <v>3089.0211453733909</v>
      </c>
      <c r="Y242" s="36">
        <f t="shared" ca="1" si="144"/>
        <v>3442.0084039593667</v>
      </c>
      <c r="Z242" s="36"/>
      <c r="AA242" s="36"/>
      <c r="AB242" s="23"/>
      <c r="AC242" s="23"/>
      <c r="AI242" s="24"/>
      <c r="AY242" s="36"/>
      <c r="BB242" s="33"/>
    </row>
    <row r="243" spans="1:70" hidden="1" outlineLevel="1">
      <c r="C243" s="43" t="s">
        <v>354</v>
      </c>
      <c r="D243" s="36" t="str">
        <f t="shared" ref="D243:V243" ca="1" si="145">IF(D$8="A",IF(D362="…","calc.",D362),"…")</f>
        <v>…</v>
      </c>
      <c r="E243" s="36" t="str">
        <f t="shared" ca="1" si="145"/>
        <v>…</v>
      </c>
      <c r="F243" s="36" t="str">
        <f t="shared" ca="1" si="145"/>
        <v>…</v>
      </c>
      <c r="G243" s="36" t="str">
        <f t="shared" ca="1" si="145"/>
        <v>…</v>
      </c>
      <c r="H243" s="36" t="str">
        <f t="shared" ca="1" si="145"/>
        <v>…</v>
      </c>
      <c r="I243" s="36" t="str">
        <f t="shared" ca="1" si="145"/>
        <v>…</v>
      </c>
      <c r="J243" s="36" t="str">
        <f t="shared" ca="1" si="145"/>
        <v>…</v>
      </c>
      <c r="K243" s="36" t="str">
        <f t="shared" ca="1" si="145"/>
        <v>…</v>
      </c>
      <c r="L243" s="36" t="str">
        <f t="shared" ca="1" si="145"/>
        <v>…</v>
      </c>
      <c r="M243" s="36">
        <f t="shared" si="145"/>
        <v>2105.076</v>
      </c>
      <c r="N243" s="36">
        <f t="shared" si="145"/>
        <v>2710.3770000000004</v>
      </c>
      <c r="O243" s="36">
        <f t="shared" si="145"/>
        <v>1837.0700000000002</v>
      </c>
      <c r="P243" s="36">
        <f t="shared" si="145"/>
        <v>1429.6689999999999</v>
      </c>
      <c r="Q243" s="36">
        <f t="shared" si="145"/>
        <v>1433.3710000000001</v>
      </c>
      <c r="R243" s="36">
        <f t="shared" si="145"/>
        <v>1683.662</v>
      </c>
      <c r="S243" s="36">
        <f t="shared" si="145"/>
        <v>1743.2550000000001</v>
      </c>
      <c r="T243" s="36">
        <f t="shared" si="145"/>
        <v>1713.4769999999999</v>
      </c>
      <c r="U243" s="36">
        <f t="shared" si="145"/>
        <v>2019.5730000000001</v>
      </c>
      <c r="V243" s="36" t="str">
        <f t="shared" si="145"/>
        <v>…</v>
      </c>
      <c r="W243" s="36" t="str">
        <f>IF(W$8="A",IF(W362="…","calc.",W362),"…")</f>
        <v>…</v>
      </c>
      <c r="X243" s="36" t="str">
        <f>IF(X$8="A",IF(X362="…","calc.",X362),"…")</f>
        <v>…</v>
      </c>
      <c r="Y243" s="36" t="str">
        <f>IF(Y$8="A",IF(Y362="…","calc.",Y362),"…")</f>
        <v>…</v>
      </c>
      <c r="Z243" s="36"/>
      <c r="AA243" s="36"/>
      <c r="AB243" s="23"/>
      <c r="AC243" s="23"/>
      <c r="AI243" s="24"/>
      <c r="AY243" s="36"/>
      <c r="BB243" s="33"/>
    </row>
    <row r="244" spans="1:70" hidden="1" outlineLevel="1">
      <c r="C244" s="43" t="s">
        <v>355</v>
      </c>
      <c r="D244" s="36" t="str">
        <f t="shared" ref="D244:O244" ca="1" si="146">IF(D$8="E",IFERROR(D137/365*D147,"…"),"…")</f>
        <v>…</v>
      </c>
      <c r="E244" s="36" t="str">
        <f t="shared" ca="1" si="146"/>
        <v>…</v>
      </c>
      <c r="F244" s="36" t="str">
        <f t="shared" ca="1" si="146"/>
        <v>…</v>
      </c>
      <c r="G244" s="36" t="str">
        <f t="shared" ca="1" si="146"/>
        <v>…</v>
      </c>
      <c r="H244" s="36" t="str">
        <f t="shared" ca="1" si="146"/>
        <v>…</v>
      </c>
      <c r="I244" s="36" t="str">
        <f t="shared" ca="1" si="146"/>
        <v>…</v>
      </c>
      <c r="J244" s="36" t="str">
        <f t="shared" ca="1" si="146"/>
        <v>…</v>
      </c>
      <c r="K244" s="36" t="str">
        <f t="shared" ca="1" si="146"/>
        <v>…</v>
      </c>
      <c r="L244" s="36" t="str">
        <f t="shared" ca="1" si="146"/>
        <v>…</v>
      </c>
      <c r="M244" s="36" t="str">
        <f t="shared" si="146"/>
        <v>…</v>
      </c>
      <c r="N244" s="36" t="str">
        <f t="shared" si="146"/>
        <v>…</v>
      </c>
      <c r="O244" s="36" t="str">
        <f t="shared" si="146"/>
        <v>…</v>
      </c>
      <c r="P244" s="36" t="str">
        <f t="shared" ref="P244:V244" si="147">IF(P$8="E",IFERROR(P137/365*P147-P233,"…"),"…")</f>
        <v>…</v>
      </c>
      <c r="Q244" s="36" t="str">
        <f t="shared" si="147"/>
        <v>…</v>
      </c>
      <c r="R244" s="36" t="str">
        <f t="shared" si="147"/>
        <v>…</v>
      </c>
      <c r="S244" s="36" t="str">
        <f t="shared" si="147"/>
        <v>…</v>
      </c>
      <c r="T244" s="36" t="str">
        <f t="shared" si="147"/>
        <v>…</v>
      </c>
      <c r="U244" s="36" t="str">
        <f t="shared" si="147"/>
        <v>…</v>
      </c>
      <c r="V244" s="36">
        <f t="shared" ca="1" si="147"/>
        <v>2396.624760331275</v>
      </c>
      <c r="W244" s="36">
        <f ca="1">IF(W$8="E",IFERROR(W137/365*W147-W233,"…"),"…")</f>
        <v>2768.4570193986556</v>
      </c>
      <c r="X244" s="36">
        <f ca="1">IF(X$8="E",IFERROR(X137/365*X147-X233,"…"),"…")</f>
        <v>3089.0211453733909</v>
      </c>
      <c r="Y244" s="36">
        <f ca="1">IF(Y$8="E",IFERROR(Y137/365*Y147-Y233,"…"),"…")</f>
        <v>3442.0084039593667</v>
      </c>
      <c r="Z244" s="36"/>
      <c r="AA244" s="36"/>
      <c r="AB244" s="23"/>
      <c r="AC244" s="23"/>
      <c r="AI244" s="24"/>
      <c r="AY244" s="36"/>
      <c r="BB244" s="33"/>
    </row>
    <row r="245" spans="1:70" collapsed="1">
      <c r="C245" s="38" t="s">
        <v>323</v>
      </c>
      <c r="D245" s="36" t="str">
        <f t="shared" ref="D245:V245" ca="1" si="148">IF(D$8="A",IF(D394="…","calc.",D394),"…")</f>
        <v>…</v>
      </c>
      <c r="E245" s="36" t="str">
        <f t="shared" ca="1" si="148"/>
        <v>…</v>
      </c>
      <c r="F245" s="36" t="str">
        <f t="shared" ca="1" si="148"/>
        <v>…</v>
      </c>
      <c r="G245" s="36" t="str">
        <f t="shared" ca="1" si="148"/>
        <v>…</v>
      </c>
      <c r="H245" s="36" t="str">
        <f t="shared" ca="1" si="148"/>
        <v>…</v>
      </c>
      <c r="I245" s="36" t="str">
        <f t="shared" ca="1" si="148"/>
        <v>…</v>
      </c>
      <c r="J245" s="36" t="str">
        <f t="shared" ca="1" si="148"/>
        <v>…</v>
      </c>
      <c r="K245" s="36" t="str">
        <f t="shared" ca="1" si="148"/>
        <v>…</v>
      </c>
      <c r="L245" s="36" t="str">
        <f t="shared" ca="1" si="148"/>
        <v>…</v>
      </c>
      <c r="M245" s="36">
        <f t="shared" si="148"/>
        <v>113.786</v>
      </c>
      <c r="N245" s="36">
        <f t="shared" si="148"/>
        <v>134.27799999999999</v>
      </c>
      <c r="O245" s="36">
        <f t="shared" si="148"/>
        <v>182.75299999999999</v>
      </c>
      <c r="P245" s="36">
        <f t="shared" si="148"/>
        <v>457.78399999999999</v>
      </c>
      <c r="Q245" s="36">
        <f t="shared" si="148"/>
        <v>647.70600000000002</v>
      </c>
      <c r="R245" s="36">
        <f t="shared" si="148"/>
        <v>793.66399999999999</v>
      </c>
      <c r="S245" s="36">
        <f t="shared" si="148"/>
        <v>897.94600000000003</v>
      </c>
      <c r="T245" s="36">
        <f t="shared" si="148"/>
        <v>1362.4059999999999</v>
      </c>
      <c r="U245" s="36">
        <f t="shared" si="148"/>
        <v>1344.146</v>
      </c>
      <c r="V245" s="36" t="str">
        <f t="shared" si="148"/>
        <v>…</v>
      </c>
      <c r="W245" s="36" t="str">
        <f>IF(W$8="A",IF(W394="…","calc.",W394),"…")</f>
        <v>…</v>
      </c>
      <c r="X245" s="36" t="str">
        <f>IF(X$8="A",IF(X394="…","calc.",X394),"…")</f>
        <v>…</v>
      </c>
      <c r="Y245" s="36" t="str">
        <f>IF(Y$8="A",IF(Y394="…","calc.",Y394),"…")</f>
        <v>…</v>
      </c>
      <c r="Z245" s="36"/>
      <c r="AA245" s="36"/>
      <c r="AB245" s="23"/>
      <c r="AC245" s="23"/>
      <c r="AI245" s="24"/>
      <c r="AY245" s="36"/>
      <c r="BB245" s="33"/>
    </row>
    <row r="246" spans="1:70">
      <c r="C246" s="38" t="s">
        <v>328</v>
      </c>
      <c r="D246" s="36" t="str">
        <f t="shared" ref="D246:Y246" ca="1" si="149">IF(D$8="A",D367,IF(D$8="L","…",IF(D8="E",C246-D71-D162,"…")))</f>
        <v>…</v>
      </c>
      <c r="E246" s="36" t="str">
        <f t="shared" ca="1" si="149"/>
        <v>…</v>
      </c>
      <c r="F246" s="36" t="str">
        <f t="shared" ca="1" si="149"/>
        <v>…</v>
      </c>
      <c r="G246" s="36" t="str">
        <f t="shared" ca="1" si="149"/>
        <v>…</v>
      </c>
      <c r="H246" s="36" t="str">
        <f t="shared" ca="1" si="149"/>
        <v>…</v>
      </c>
      <c r="I246" s="36" t="str">
        <f t="shared" ca="1" si="149"/>
        <v>…</v>
      </c>
      <c r="J246" s="36" t="str">
        <f t="shared" ca="1" si="149"/>
        <v>…</v>
      </c>
      <c r="K246" s="36" t="str">
        <f t="shared" ca="1" si="149"/>
        <v>…</v>
      </c>
      <c r="L246" s="36" t="str">
        <f t="shared" ca="1" si="149"/>
        <v>…</v>
      </c>
      <c r="M246" s="36">
        <f t="shared" si="149"/>
        <v>567.81399999999996</v>
      </c>
      <c r="N246" s="36">
        <f t="shared" si="149"/>
        <v>585.18499999999995</v>
      </c>
      <c r="O246" s="36">
        <f t="shared" si="149"/>
        <v>626.13</v>
      </c>
      <c r="P246" s="36">
        <f t="shared" si="149"/>
        <v>669.28300000000002</v>
      </c>
      <c r="Q246" s="36">
        <f t="shared" si="149"/>
        <v>710.26</v>
      </c>
      <c r="R246" s="36">
        <f t="shared" si="149"/>
        <v>850.55</v>
      </c>
      <c r="S246" s="36">
        <f t="shared" si="149"/>
        <v>1069.652</v>
      </c>
      <c r="T246" s="36">
        <f t="shared" si="149"/>
        <v>1226.6300000000001</v>
      </c>
      <c r="U246" s="36">
        <f t="shared" si="149"/>
        <v>1353.165</v>
      </c>
      <c r="V246" s="36">
        <f t="shared" ca="1" si="149"/>
        <v>1505.8483411112743</v>
      </c>
      <c r="W246" s="36">
        <f t="shared" ca="1" si="149"/>
        <v>1665.8348827752718</v>
      </c>
      <c r="X246" s="36">
        <f t="shared" ca="1" si="149"/>
        <v>1831.183836733017</v>
      </c>
      <c r="Y246" s="36">
        <f t="shared" ca="1" si="149"/>
        <v>1997.3965556840785</v>
      </c>
      <c r="Z246" s="36"/>
      <c r="AA246" s="36"/>
      <c r="AY246" s="36"/>
    </row>
    <row r="247" spans="1:70">
      <c r="C247" s="38" t="s">
        <v>329</v>
      </c>
      <c r="D247" s="36" t="str">
        <f t="shared" ref="D247:Y247" ca="1" si="150">IF(D$8="A",D399,IF(D$8="L","…",IF(D$8="E",IFERROR(C247*D147/C147,"…"),"…")))</f>
        <v>…</v>
      </c>
      <c r="E247" s="36" t="str">
        <f t="shared" ca="1" si="150"/>
        <v>…</v>
      </c>
      <c r="F247" s="36" t="str">
        <f t="shared" ca="1" si="150"/>
        <v>…</v>
      </c>
      <c r="G247" s="36" t="str">
        <f t="shared" ca="1" si="150"/>
        <v>…</v>
      </c>
      <c r="H247" s="36" t="str">
        <f t="shared" ca="1" si="150"/>
        <v>…</v>
      </c>
      <c r="I247" s="36" t="str">
        <f t="shared" ca="1" si="150"/>
        <v>…</v>
      </c>
      <c r="J247" s="36" t="str">
        <f t="shared" ca="1" si="150"/>
        <v>…</v>
      </c>
      <c r="K247" s="36" t="str">
        <f t="shared" ca="1" si="150"/>
        <v>…</v>
      </c>
      <c r="L247" s="36" t="str">
        <f t="shared" ca="1" si="150"/>
        <v>…</v>
      </c>
      <c r="M247" s="36">
        <f t="shared" si="150"/>
        <v>0</v>
      </c>
      <c r="N247" s="36">
        <f t="shared" si="150"/>
        <v>0</v>
      </c>
      <c r="O247" s="36">
        <f t="shared" si="150"/>
        <v>0</v>
      </c>
      <c r="P247" s="36">
        <f t="shared" si="150"/>
        <v>0</v>
      </c>
      <c r="Q247" s="36">
        <f t="shared" si="150"/>
        <v>0</v>
      </c>
      <c r="R247" s="36">
        <f t="shared" si="150"/>
        <v>0</v>
      </c>
      <c r="S247" s="36">
        <f t="shared" si="150"/>
        <v>0</v>
      </c>
      <c r="T247" s="36">
        <f t="shared" si="150"/>
        <v>0</v>
      </c>
      <c r="U247" s="36">
        <f t="shared" si="150"/>
        <v>0</v>
      </c>
      <c r="V247" s="36">
        <f t="shared" si="150"/>
        <v>0</v>
      </c>
      <c r="W247" s="36">
        <f t="shared" si="150"/>
        <v>0</v>
      </c>
      <c r="X247" s="36">
        <f t="shared" si="150"/>
        <v>0</v>
      </c>
      <c r="Y247" s="36">
        <f t="shared" si="150"/>
        <v>0</v>
      </c>
      <c r="Z247" s="36"/>
      <c r="AA247" s="36"/>
      <c r="AY247" s="36"/>
    </row>
    <row r="248" spans="1:70">
      <c r="C248" s="38" t="s">
        <v>322</v>
      </c>
      <c r="D248" s="36" t="str">
        <f ca="1">IF(ISNUMBER(D249),D249,IF(ISNUMBER(D250),D250,IF(ISNUMBER(D253),D253,"…")))</f>
        <v>…</v>
      </c>
      <c r="E248" s="36" t="str">
        <f ca="1">IF(ISNUMBER(E249),E249,IF(ISNUMBER(E250),E250,IF(ISNUMBER(E253),E253,"…")))</f>
        <v>…</v>
      </c>
      <c r="F248" s="36" t="str">
        <f ca="1">IF(ISNUMBER(F249),F249,IF(ISNUMBER(F250),F250,IF(ISNUMBER(F253),F253,"…")))</f>
        <v>…</v>
      </c>
      <c r="G248" s="36" t="str">
        <f ca="1">IF(ISNUMBER(G249),G249,IF(ISNUMBER(G250),G250,IF(ISNUMBER(G253),G253,"…")))</f>
        <v>…</v>
      </c>
      <c r="H248" s="36" t="str">
        <f t="shared" ref="H248:Y248" ca="1" si="151">IF(ISNUMBER(H249),H249,IF(ISNUMBER(H250),H250,IF(ISNUMBER(H253),H253,"…")))</f>
        <v>…</v>
      </c>
      <c r="I248" s="36" t="str">
        <f t="shared" ca="1" si="151"/>
        <v>…</v>
      </c>
      <c r="J248" s="36" t="str">
        <f t="shared" ca="1" si="151"/>
        <v>…</v>
      </c>
      <c r="K248" s="36" t="str">
        <f t="shared" ca="1" si="151"/>
        <v>…</v>
      </c>
      <c r="L248" s="36" t="str">
        <f t="shared" ca="1" si="151"/>
        <v>…</v>
      </c>
      <c r="M248" s="36">
        <f t="shared" si="151"/>
        <v>242.16700000000003</v>
      </c>
      <c r="N248" s="36">
        <f t="shared" si="151"/>
        <v>265.26200000000006</v>
      </c>
      <c r="O248" s="36">
        <f t="shared" si="151"/>
        <v>307.81000000000006</v>
      </c>
      <c r="P248" s="36">
        <f t="shared" si="151"/>
        <v>354.39400000000001</v>
      </c>
      <c r="Q248" s="36">
        <f t="shared" si="151"/>
        <v>440.4559999999999</v>
      </c>
      <c r="R248" s="36">
        <f t="shared" si="151"/>
        <v>645.79700000000003</v>
      </c>
      <c r="S248" s="36">
        <f t="shared" si="151"/>
        <v>837.93799999999987</v>
      </c>
      <c r="T248" s="36">
        <f t="shared" si="151"/>
        <v>979.29</v>
      </c>
      <c r="U248" s="36">
        <f t="shared" si="151"/>
        <v>1138.173</v>
      </c>
      <c r="V248" s="36">
        <f t="shared" si="151"/>
        <v>918.87184393063581</v>
      </c>
      <c r="W248" s="36">
        <f t="shared" si="151"/>
        <v>741.82524587078308</v>
      </c>
      <c r="X248" s="36">
        <f t="shared" si="151"/>
        <v>598.89167248527576</v>
      </c>
      <c r="Y248" s="36">
        <f t="shared" si="151"/>
        <v>483.49828664996255</v>
      </c>
      <c r="Z248" s="36"/>
      <c r="AA248" s="36"/>
      <c r="AB248" s="23"/>
      <c r="AC248" s="23"/>
      <c r="AY248" s="36"/>
    </row>
    <row r="249" spans="1:70" hidden="1" outlineLevel="1">
      <c r="C249" s="43" t="s">
        <v>354</v>
      </c>
      <c r="D249" s="36" t="str">
        <f ca="1">IF(D$8="A",D287,IF(D$8="L","…","…"))</f>
        <v>…</v>
      </c>
      <c r="E249" s="36" t="str">
        <f ca="1">IF(E$8="A",E287,IF(E$8="L","…","…"))</f>
        <v>…</v>
      </c>
      <c r="F249" s="36" t="str">
        <f ca="1">IF(F$8="A",F287,IF(F$8="L","…","…"))</f>
        <v>…</v>
      </c>
      <c r="G249" s="36" t="str">
        <f ca="1">IF(G$8="A",G287,IF(G$8="L","…","…"))</f>
        <v>…</v>
      </c>
      <c r="H249" s="36" t="str">
        <f t="shared" ref="H249:Q249" ca="1" si="152">IF(H$8="A",H287,IF(H$8="L","…","…"))</f>
        <v>…</v>
      </c>
      <c r="I249" s="36" t="str">
        <f t="shared" ca="1" si="152"/>
        <v>…</v>
      </c>
      <c r="J249" s="36" t="str">
        <f t="shared" ca="1" si="152"/>
        <v>…</v>
      </c>
      <c r="K249" s="36" t="str">
        <f t="shared" ca="1" si="152"/>
        <v>…</v>
      </c>
      <c r="L249" s="36" t="str">
        <f t="shared" ca="1" si="152"/>
        <v>…</v>
      </c>
      <c r="M249" s="36">
        <f t="shared" si="152"/>
        <v>242.16700000000003</v>
      </c>
      <c r="N249" s="36">
        <f t="shared" si="152"/>
        <v>265.26200000000006</v>
      </c>
      <c r="O249" s="36">
        <f t="shared" si="152"/>
        <v>307.81000000000006</v>
      </c>
      <c r="P249" s="36">
        <f t="shared" si="152"/>
        <v>354.39400000000001</v>
      </c>
      <c r="Q249" s="36">
        <f t="shared" si="152"/>
        <v>440.4559999999999</v>
      </c>
      <c r="R249" s="36">
        <f>IF(R$8="A",R287,IF(R$8="L","…","…"))</f>
        <v>645.79700000000003</v>
      </c>
      <c r="S249" s="36">
        <f t="shared" ref="S249:Y249" si="153">IF(S$8="A",S287,IF(S$8="L","…","…"))</f>
        <v>837.93799999999987</v>
      </c>
      <c r="T249" s="36">
        <f t="shared" si="153"/>
        <v>979.29</v>
      </c>
      <c r="U249" s="36">
        <f t="shared" si="153"/>
        <v>1138.173</v>
      </c>
      <c r="V249" s="36" t="str">
        <f t="shared" si="153"/>
        <v>…</v>
      </c>
      <c r="W249" s="36" t="str">
        <f t="shared" si="153"/>
        <v>…</v>
      </c>
      <c r="X249" s="36" t="str">
        <f t="shared" si="153"/>
        <v>…</v>
      </c>
      <c r="Y249" s="36" t="str">
        <f t="shared" si="153"/>
        <v>…</v>
      </c>
      <c r="Z249" s="36"/>
      <c r="AA249" s="36"/>
      <c r="AB249" s="23"/>
      <c r="AC249" s="23"/>
      <c r="AI249" s="24"/>
      <c r="AY249" s="36"/>
      <c r="BB249" s="33"/>
    </row>
    <row r="250" spans="1:70" hidden="1" outlineLevel="1">
      <c r="C250" s="43" t="s">
        <v>358</v>
      </c>
      <c r="D250" s="36" t="str">
        <f ca="1">IF(ISNUMBER(D251),D251,IF(ISNUMBER(D252),D252,"…"))</f>
        <v>…</v>
      </c>
      <c r="E250" s="36" t="str">
        <f ca="1">IF(ISNUMBER(E251),E251,IF(ISNUMBER(E252),E252,"…"))</f>
        <v>…</v>
      </c>
      <c r="F250" s="36" t="str">
        <f ca="1">IF(ISNUMBER(F251),F251,IF(ISNUMBER(F252),F252,"…"))</f>
        <v>…</v>
      </c>
      <c r="G250" s="36" t="str">
        <f ca="1">IF(ISNUMBER(G251),G251,IF(ISNUMBER(G252),G252,"…"))</f>
        <v>…</v>
      </c>
      <c r="H250" s="36" t="str">
        <f t="shared" ref="H250:Q250" ca="1" si="154">IF(ISNUMBER(H251),H251,IF(ISNUMBER(H252),H252,"…"))</f>
        <v>…</v>
      </c>
      <c r="I250" s="36" t="str">
        <f t="shared" ca="1" si="154"/>
        <v>…</v>
      </c>
      <c r="J250" s="36" t="str">
        <f t="shared" ca="1" si="154"/>
        <v>…</v>
      </c>
      <c r="K250" s="36" t="str">
        <f t="shared" ca="1" si="154"/>
        <v>…</v>
      </c>
      <c r="L250" s="36" t="str">
        <f t="shared" ca="1" si="154"/>
        <v>…</v>
      </c>
      <c r="M250" s="36" t="str">
        <f t="shared" ca="1" si="154"/>
        <v>…</v>
      </c>
      <c r="N250" s="36">
        <f t="shared" si="154"/>
        <v>265.26200000000006</v>
      </c>
      <c r="O250" s="36">
        <f t="shared" si="154"/>
        <v>307.81000000000006</v>
      </c>
      <c r="P250" s="36">
        <f t="shared" si="154"/>
        <v>354.39400000000001</v>
      </c>
      <c r="Q250" s="36">
        <f t="shared" si="154"/>
        <v>440.4559999999999</v>
      </c>
      <c r="R250" s="36">
        <f>IF(ISNUMBER(R251),R251,IF(ISNUMBER(R252),R252,"…"))</f>
        <v>645.79700000000003</v>
      </c>
      <c r="S250" s="36">
        <f t="shared" ref="S250:Y250" si="155">IF(ISNUMBER(S251),S251,IF(ISNUMBER(S252),S252,"…"))</f>
        <v>837.93799999999987</v>
      </c>
      <c r="T250" s="36">
        <f t="shared" si="155"/>
        <v>979.29</v>
      </c>
      <c r="U250" s="36">
        <f t="shared" si="155"/>
        <v>1138.1729999999998</v>
      </c>
      <c r="V250" s="36" t="str">
        <f t="shared" si="155"/>
        <v>…</v>
      </c>
      <c r="W250" s="36" t="str">
        <f t="shared" si="155"/>
        <v>…</v>
      </c>
      <c r="X250" s="36" t="str">
        <f t="shared" si="155"/>
        <v>…</v>
      </c>
      <c r="Y250" s="36" t="str">
        <f t="shared" si="155"/>
        <v>…</v>
      </c>
      <c r="Z250" s="36"/>
      <c r="AA250" s="36"/>
      <c r="AB250" s="25"/>
      <c r="AC250" s="2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36"/>
      <c r="AZ250" s="5"/>
      <c r="BK250" s="22"/>
      <c r="BL250" s="23"/>
      <c r="BM250" s="22"/>
      <c r="BN250" s="22"/>
      <c r="BO250" s="22"/>
      <c r="BP250" s="22"/>
      <c r="BQ250" s="22"/>
      <c r="BR250" s="24"/>
    </row>
    <row r="251" spans="1:70" hidden="1" outlineLevel="1">
      <c r="C251" s="52" t="s">
        <v>156</v>
      </c>
      <c r="D251" s="36" t="str">
        <f t="shared" ref="D251:Y251" ca="1" si="156">IF(D$8="A",IFERROR(D267*2-C248,"…"),"…")</f>
        <v>…</v>
      </c>
      <c r="E251" s="36" t="str">
        <f t="shared" ca="1" si="156"/>
        <v>…</v>
      </c>
      <c r="F251" s="36" t="str">
        <f t="shared" ca="1" si="156"/>
        <v>…</v>
      </c>
      <c r="G251" s="36" t="str">
        <f t="shared" ca="1" si="156"/>
        <v>…</v>
      </c>
      <c r="H251" s="36" t="str">
        <f t="shared" ca="1" si="156"/>
        <v>…</v>
      </c>
      <c r="I251" s="36" t="str">
        <f t="shared" ca="1" si="156"/>
        <v>…</v>
      </c>
      <c r="J251" s="36" t="str">
        <f t="shared" ca="1" si="156"/>
        <v>…</v>
      </c>
      <c r="K251" s="36" t="str">
        <f t="shared" ca="1" si="156"/>
        <v>…</v>
      </c>
      <c r="L251" s="36" t="str">
        <f t="shared" ca="1" si="156"/>
        <v>…</v>
      </c>
      <c r="M251" s="36" t="str">
        <f t="shared" ca="1" si="156"/>
        <v>…</v>
      </c>
      <c r="N251" s="36">
        <f t="shared" si="156"/>
        <v>265.26200000000006</v>
      </c>
      <c r="O251" s="36">
        <f t="shared" si="156"/>
        <v>307.81000000000006</v>
      </c>
      <c r="P251" s="36">
        <f t="shared" si="156"/>
        <v>354.39400000000001</v>
      </c>
      <c r="Q251" s="36">
        <f t="shared" si="156"/>
        <v>440.4559999999999</v>
      </c>
      <c r="R251" s="36">
        <f t="shared" si="156"/>
        <v>645.79700000000003</v>
      </c>
      <c r="S251" s="36">
        <f t="shared" si="156"/>
        <v>837.93799999999987</v>
      </c>
      <c r="T251" s="36">
        <f t="shared" si="156"/>
        <v>979.29</v>
      </c>
      <c r="U251" s="36">
        <f t="shared" si="156"/>
        <v>1138.1729999999998</v>
      </c>
      <c r="V251" s="36" t="str">
        <f t="shared" si="156"/>
        <v>…</v>
      </c>
      <c r="W251" s="36" t="str">
        <f t="shared" si="156"/>
        <v>…</v>
      </c>
      <c r="X251" s="36" t="str">
        <f t="shared" si="156"/>
        <v>…</v>
      </c>
      <c r="Y251" s="36" t="str">
        <f t="shared" si="156"/>
        <v>…</v>
      </c>
      <c r="Z251" s="36"/>
      <c r="AA251" s="36"/>
      <c r="AB251" s="25"/>
      <c r="AC251" s="2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36"/>
      <c r="AZ251" s="5"/>
      <c r="BK251" s="22"/>
      <c r="BL251" s="23"/>
      <c r="BM251" s="22"/>
      <c r="BN251" s="22"/>
      <c r="BO251" s="22"/>
      <c r="BP251" s="22"/>
      <c r="BQ251" s="22"/>
      <c r="BR251" s="24"/>
    </row>
    <row r="252" spans="1:70" hidden="1" outlineLevel="1">
      <c r="C252" s="52" t="s">
        <v>157</v>
      </c>
      <c r="D252" s="36" t="str">
        <f ca="1">IF(D$8="A",IFERROR(C248-D196,"…"),"…")</f>
        <v>…</v>
      </c>
      <c r="E252" s="36" t="str">
        <f ca="1">IF(E$8="A",IFERROR(D248-E196,"…"),"…")</f>
        <v>…</v>
      </c>
      <c r="F252" s="36" t="str">
        <f ca="1">IF(F$8="A",IFERROR(E248-F196,"…"),"…")</f>
        <v>…</v>
      </c>
      <c r="G252" s="36" t="str">
        <f ca="1">IF(G$8="A",IFERROR(F248-G196,"…"),"…")</f>
        <v>…</v>
      </c>
      <c r="H252" s="36" t="str">
        <f t="shared" ref="H252:Y252" ca="1" si="157">IF(H$8="A",IFERROR(H267*2-G249,"…"),"…")</f>
        <v>…</v>
      </c>
      <c r="I252" s="36" t="str">
        <f t="shared" ca="1" si="157"/>
        <v>…</v>
      </c>
      <c r="J252" s="36" t="str">
        <f t="shared" ca="1" si="157"/>
        <v>…</v>
      </c>
      <c r="K252" s="36" t="str">
        <f t="shared" ca="1" si="157"/>
        <v>…</v>
      </c>
      <c r="L252" s="36" t="str">
        <f t="shared" ca="1" si="157"/>
        <v>…</v>
      </c>
      <c r="M252" s="36" t="str">
        <f t="shared" ca="1" si="157"/>
        <v>…</v>
      </c>
      <c r="N252" s="36">
        <f t="shared" si="157"/>
        <v>265.26200000000006</v>
      </c>
      <c r="O252" s="36">
        <f t="shared" si="157"/>
        <v>307.81000000000006</v>
      </c>
      <c r="P252" s="36">
        <f t="shared" si="157"/>
        <v>354.39400000000001</v>
      </c>
      <c r="Q252" s="36">
        <f t="shared" si="157"/>
        <v>440.4559999999999</v>
      </c>
      <c r="R252" s="36">
        <f t="shared" si="157"/>
        <v>645.79700000000003</v>
      </c>
      <c r="S252" s="36">
        <f t="shared" si="157"/>
        <v>837.93799999999987</v>
      </c>
      <c r="T252" s="36">
        <f t="shared" si="157"/>
        <v>979.29</v>
      </c>
      <c r="U252" s="36">
        <f t="shared" si="157"/>
        <v>1138.1729999999998</v>
      </c>
      <c r="V252" s="36" t="str">
        <f t="shared" si="157"/>
        <v>…</v>
      </c>
      <c r="W252" s="36" t="str">
        <f t="shared" si="157"/>
        <v>…</v>
      </c>
      <c r="X252" s="36" t="str">
        <f t="shared" si="157"/>
        <v>…</v>
      </c>
      <c r="Y252" s="36" t="str">
        <f t="shared" si="157"/>
        <v>…</v>
      </c>
      <c r="Z252" s="36"/>
      <c r="AA252" s="36"/>
      <c r="AB252" s="25"/>
      <c r="AC252" s="2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36"/>
      <c r="AZ252" s="5"/>
      <c r="BK252" s="22"/>
      <c r="BL252" s="23"/>
      <c r="BM252" s="22"/>
      <c r="BN252" s="22"/>
      <c r="BO252" s="22"/>
      <c r="BP252" s="22"/>
      <c r="BQ252" s="22"/>
      <c r="BR252" s="24"/>
    </row>
    <row r="253" spans="1:70" hidden="1" outlineLevel="1">
      <c r="C253" s="43" t="s">
        <v>355</v>
      </c>
      <c r="D253" s="36" t="str">
        <f t="shared" ref="D253:Y253" ca="1" si="158">IF(D$8="E",IFERROR(C248-D196-SUM(D93)+SUM(D93)/D200,"…"),"…")</f>
        <v>…</v>
      </c>
      <c r="E253" s="36" t="str">
        <f t="shared" ca="1" si="158"/>
        <v>…</v>
      </c>
      <c r="F253" s="36" t="str">
        <f t="shared" ca="1" si="158"/>
        <v>…</v>
      </c>
      <c r="G253" s="36" t="str">
        <f t="shared" ca="1" si="158"/>
        <v>…</v>
      </c>
      <c r="H253" s="36" t="str">
        <f t="shared" ca="1" si="158"/>
        <v>…</v>
      </c>
      <c r="I253" s="36" t="str">
        <f t="shared" ca="1" si="158"/>
        <v>…</v>
      </c>
      <c r="J253" s="36" t="str">
        <f t="shared" ca="1" si="158"/>
        <v>…</v>
      </c>
      <c r="K253" s="36" t="str">
        <f t="shared" ca="1" si="158"/>
        <v>…</v>
      </c>
      <c r="L253" s="36" t="str">
        <f t="shared" ca="1" si="158"/>
        <v>…</v>
      </c>
      <c r="M253" s="36" t="str">
        <f t="shared" si="158"/>
        <v>…</v>
      </c>
      <c r="N253" s="36" t="str">
        <f t="shared" si="158"/>
        <v>…</v>
      </c>
      <c r="O253" s="36" t="str">
        <f t="shared" si="158"/>
        <v>…</v>
      </c>
      <c r="P253" s="36" t="str">
        <f t="shared" si="158"/>
        <v>…</v>
      </c>
      <c r="Q253" s="36" t="str">
        <f t="shared" si="158"/>
        <v>…</v>
      </c>
      <c r="R253" s="36" t="str">
        <f t="shared" si="158"/>
        <v>…</v>
      </c>
      <c r="S253" s="36" t="str">
        <f t="shared" si="158"/>
        <v>…</v>
      </c>
      <c r="T253" s="36" t="str">
        <f t="shared" si="158"/>
        <v>…</v>
      </c>
      <c r="U253" s="36" t="str">
        <f t="shared" si="158"/>
        <v>…</v>
      </c>
      <c r="V253" s="36">
        <f t="shared" si="158"/>
        <v>918.87184393063581</v>
      </c>
      <c r="W253" s="36">
        <f t="shared" si="158"/>
        <v>741.82524587078308</v>
      </c>
      <c r="X253" s="36">
        <f t="shared" si="158"/>
        <v>598.89167248527576</v>
      </c>
      <c r="Y253" s="36">
        <f t="shared" si="158"/>
        <v>483.49828664996255</v>
      </c>
      <c r="Z253" s="36"/>
      <c r="AA253" s="36"/>
      <c r="AB253" s="23"/>
      <c r="AC253" s="23"/>
      <c r="AI253" s="33"/>
      <c r="AJ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36"/>
      <c r="AZ253" s="33"/>
      <c r="BB253" s="33"/>
    </row>
    <row r="254" spans="1:70" collapsed="1">
      <c r="C254" s="38" t="s">
        <v>321</v>
      </c>
      <c r="D254" s="36" t="str">
        <f ca="1">IF(ISNUMBER(D255),D255,IF(ISNUMBER(D256),D256,"…"))</f>
        <v>…</v>
      </c>
      <c r="E254" s="36" t="str">
        <f ca="1">IF(ISNUMBER(E255),E255,IF(ISNUMBER(E256),E256,"…"))</f>
        <v>…</v>
      </c>
      <c r="F254" s="36" t="str">
        <f ca="1">IF(ISNUMBER(F255),F255,IF(ISNUMBER(F256),F256,"…"))</f>
        <v>…</v>
      </c>
      <c r="G254" s="36" t="str">
        <f ca="1">IF(ISNUMBER(G255),G255,IF(ISNUMBER(G256),G256,"…"))</f>
        <v>…</v>
      </c>
      <c r="H254" s="36" t="str">
        <f t="shared" ref="H254:V254" ca="1" si="159">IF(ISNUMBER(H255),H255,IF(ISNUMBER(H256),H256,IF(ISNUMBER(H257),H257,"…")))</f>
        <v>…</v>
      </c>
      <c r="I254" s="36" t="str">
        <f t="shared" ca="1" si="159"/>
        <v>…</v>
      </c>
      <c r="J254" s="36" t="str">
        <f t="shared" ca="1" si="159"/>
        <v>…</v>
      </c>
      <c r="K254" s="36" t="str">
        <f t="shared" ca="1" si="159"/>
        <v>…</v>
      </c>
      <c r="L254" s="36" t="str">
        <f t="shared" ca="1" si="159"/>
        <v>…</v>
      </c>
      <c r="M254" s="36">
        <f t="shared" si="159"/>
        <v>787.178</v>
      </c>
      <c r="N254" s="36">
        <f t="shared" si="159"/>
        <v>787.178</v>
      </c>
      <c r="O254" s="36">
        <f t="shared" si="159"/>
        <v>787.178</v>
      </c>
      <c r="P254" s="36">
        <f t="shared" si="159"/>
        <v>785.18200000000002</v>
      </c>
      <c r="Q254" s="36">
        <f t="shared" si="159"/>
        <v>785.18200000000002</v>
      </c>
      <c r="R254" s="36">
        <f t="shared" si="159"/>
        <v>785.18200000000002</v>
      </c>
      <c r="S254" s="36">
        <f t="shared" si="159"/>
        <v>785.18200000000002</v>
      </c>
      <c r="T254" s="36">
        <f t="shared" si="159"/>
        <v>785.18200000000002</v>
      </c>
      <c r="U254" s="36">
        <f t="shared" si="159"/>
        <v>785.18200000000002</v>
      </c>
      <c r="V254" s="36">
        <f t="shared" si="159"/>
        <v>785.18200000000002</v>
      </c>
      <c r="W254" s="36">
        <f>IF(ISNUMBER(W255),W255,IF(ISNUMBER(W256),W256,IF(ISNUMBER(W257),W257,"…")))</f>
        <v>785.18200000000002</v>
      </c>
      <c r="X254" s="36">
        <f>IF(ISNUMBER(X255),X255,IF(ISNUMBER(X256),X256,IF(ISNUMBER(X257),X257,"…")))</f>
        <v>785.18200000000002</v>
      </c>
      <c r="Y254" s="36">
        <f>IF(ISNUMBER(Y255),Y255,IF(ISNUMBER(Y256),Y256,IF(ISNUMBER(Y257),Y257,"…")))</f>
        <v>785.18200000000002</v>
      </c>
      <c r="Z254" s="36"/>
      <c r="AA254" s="36"/>
      <c r="AY254" s="36"/>
    </row>
    <row r="255" spans="1:70" hidden="1" outlineLevel="1">
      <c r="A255" s="5" t="s">
        <v>308</v>
      </c>
      <c r="C255" s="67" t="s">
        <v>303</v>
      </c>
      <c r="D255" s="36" t="str">
        <f t="shared" ref="D255:L255" ca="1" si="160">IF(D$8="A",IF(D390="…","calc./est.",D390),"…")</f>
        <v>…</v>
      </c>
      <c r="E255" s="36" t="str">
        <f t="shared" ca="1" si="160"/>
        <v>…</v>
      </c>
      <c r="F255" s="36" t="str">
        <f t="shared" ca="1" si="160"/>
        <v>…</v>
      </c>
      <c r="G255" s="36" t="str">
        <f t="shared" ca="1" si="160"/>
        <v>…</v>
      </c>
      <c r="H255" s="36" t="str">
        <f t="shared" ca="1" si="160"/>
        <v>…</v>
      </c>
      <c r="I255" s="36" t="str">
        <f t="shared" ca="1" si="160"/>
        <v>…</v>
      </c>
      <c r="J255" s="36" t="str">
        <f t="shared" ca="1" si="160"/>
        <v>…</v>
      </c>
      <c r="K255" s="36" t="str">
        <f t="shared" ca="1" si="160"/>
        <v>…</v>
      </c>
      <c r="L255" s="36" t="str">
        <f t="shared" ca="1" si="160"/>
        <v>…</v>
      </c>
      <c r="M255" s="36" t="s">
        <v>314</v>
      </c>
      <c r="N255" s="36" t="s">
        <v>314</v>
      </c>
      <c r="O255" s="36" t="s">
        <v>314</v>
      </c>
      <c r="P255" s="36" t="s">
        <v>314</v>
      </c>
      <c r="Q255" s="36" t="s">
        <v>314</v>
      </c>
      <c r="R255" s="36" t="s">
        <v>314</v>
      </c>
      <c r="S255" s="36" t="s">
        <v>314</v>
      </c>
      <c r="T255" s="36" t="s">
        <v>314</v>
      </c>
      <c r="U255" s="36" t="s">
        <v>314</v>
      </c>
      <c r="V255" s="36" t="s">
        <v>314</v>
      </c>
      <c r="W255" s="36" t="s">
        <v>314</v>
      </c>
      <c r="X255" s="36" t="s">
        <v>314</v>
      </c>
      <c r="Y255" s="36" t="s">
        <v>314</v>
      </c>
      <c r="Z255" s="36"/>
      <c r="AA255" s="36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36"/>
      <c r="AZ255" s="5"/>
      <c r="BK255" s="22"/>
      <c r="BL255" s="23"/>
      <c r="BM255" s="22"/>
      <c r="BN255" s="22"/>
      <c r="BO255" s="22"/>
      <c r="BP255" s="22"/>
      <c r="BQ255" s="22"/>
      <c r="BR255" s="24"/>
    </row>
    <row r="256" spans="1:70" hidden="1" outlineLevel="1">
      <c r="C256" s="67" t="s">
        <v>304</v>
      </c>
      <c r="D256" s="36" t="str">
        <f t="shared" ref="D256:V256" ca="1" si="161">IFERROR(D386-D248,"…")</f>
        <v>…</v>
      </c>
      <c r="E256" s="36" t="str">
        <f t="shared" ca="1" si="161"/>
        <v>…</v>
      </c>
      <c r="F256" s="36" t="str">
        <f t="shared" ca="1" si="161"/>
        <v>…</v>
      </c>
      <c r="G256" s="36" t="str">
        <f t="shared" ca="1" si="161"/>
        <v>…</v>
      </c>
      <c r="H256" s="36" t="str">
        <f t="shared" ca="1" si="161"/>
        <v>…</v>
      </c>
      <c r="I256" s="36" t="str">
        <f t="shared" ca="1" si="161"/>
        <v>…</v>
      </c>
      <c r="J256" s="36" t="str">
        <f t="shared" ca="1" si="161"/>
        <v>…</v>
      </c>
      <c r="K256" s="36" t="str">
        <f t="shared" ca="1" si="161"/>
        <v>…</v>
      </c>
      <c r="L256" s="36" t="str">
        <f t="shared" ca="1" si="161"/>
        <v>…</v>
      </c>
      <c r="M256" s="36">
        <f t="shared" si="161"/>
        <v>787.178</v>
      </c>
      <c r="N256" s="36">
        <f t="shared" si="161"/>
        <v>787.178</v>
      </c>
      <c r="O256" s="36">
        <f t="shared" si="161"/>
        <v>787.178</v>
      </c>
      <c r="P256" s="36">
        <f t="shared" si="161"/>
        <v>785.18200000000002</v>
      </c>
      <c r="Q256" s="36">
        <f t="shared" si="161"/>
        <v>785.18200000000002</v>
      </c>
      <c r="R256" s="36">
        <f t="shared" si="161"/>
        <v>785.18200000000002</v>
      </c>
      <c r="S256" s="36">
        <f t="shared" si="161"/>
        <v>785.18200000000002</v>
      </c>
      <c r="T256" s="36">
        <f t="shared" si="161"/>
        <v>785.18200000000002</v>
      </c>
      <c r="U256" s="36">
        <f t="shared" si="161"/>
        <v>785.18200000000002</v>
      </c>
      <c r="V256" s="36" t="str">
        <f t="shared" si="161"/>
        <v>…</v>
      </c>
      <c r="W256" s="36" t="str">
        <f>IFERROR(W386-W248,"…")</f>
        <v>…</v>
      </c>
      <c r="X256" s="36" t="str">
        <f>IFERROR(X386-X248,"…")</f>
        <v>…</v>
      </c>
      <c r="Y256" s="36" t="str">
        <f>IFERROR(Y386-Y248,"…")</f>
        <v>…</v>
      </c>
      <c r="Z256" s="36"/>
      <c r="AA256" s="36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36"/>
      <c r="AZ256" s="5"/>
      <c r="BK256" s="22"/>
      <c r="BL256" s="23"/>
      <c r="BM256" s="22"/>
      <c r="BN256" s="22"/>
      <c r="BO256" s="22"/>
      <c r="BP256" s="22"/>
      <c r="BQ256" s="22"/>
      <c r="BR256" s="24"/>
    </row>
    <row r="257" spans="3:70" hidden="1" outlineLevel="1">
      <c r="C257" s="67" t="s">
        <v>402</v>
      </c>
      <c r="D257" s="36" t="str">
        <f t="shared" ref="D257:Y257" ca="1" si="162">IF(D$8="E",IFERROR(C254/1,"…"),"…")</f>
        <v>…</v>
      </c>
      <c r="E257" s="36" t="str">
        <f t="shared" ca="1" si="162"/>
        <v>…</v>
      </c>
      <c r="F257" s="36" t="str">
        <f t="shared" ca="1" si="162"/>
        <v>…</v>
      </c>
      <c r="G257" s="36" t="str">
        <f t="shared" ca="1" si="162"/>
        <v>…</v>
      </c>
      <c r="H257" s="36" t="str">
        <f t="shared" ca="1" si="162"/>
        <v>…</v>
      </c>
      <c r="I257" s="36" t="str">
        <f t="shared" ca="1" si="162"/>
        <v>…</v>
      </c>
      <c r="J257" s="36" t="str">
        <f t="shared" ca="1" si="162"/>
        <v>…</v>
      </c>
      <c r="K257" s="36" t="str">
        <f t="shared" ca="1" si="162"/>
        <v>…</v>
      </c>
      <c r="L257" s="36" t="str">
        <f t="shared" ca="1" si="162"/>
        <v>…</v>
      </c>
      <c r="M257" s="36" t="str">
        <f t="shared" si="162"/>
        <v>…</v>
      </c>
      <c r="N257" s="36" t="str">
        <f t="shared" si="162"/>
        <v>…</v>
      </c>
      <c r="O257" s="36" t="str">
        <f t="shared" si="162"/>
        <v>…</v>
      </c>
      <c r="P257" s="36" t="str">
        <f t="shared" si="162"/>
        <v>…</v>
      </c>
      <c r="Q257" s="36" t="str">
        <f t="shared" si="162"/>
        <v>…</v>
      </c>
      <c r="R257" s="36" t="str">
        <f t="shared" si="162"/>
        <v>…</v>
      </c>
      <c r="S257" s="36" t="str">
        <f t="shared" si="162"/>
        <v>…</v>
      </c>
      <c r="T257" s="36" t="str">
        <f t="shared" si="162"/>
        <v>…</v>
      </c>
      <c r="U257" s="36" t="str">
        <f t="shared" si="162"/>
        <v>…</v>
      </c>
      <c r="V257" s="36">
        <f t="shared" si="162"/>
        <v>785.18200000000002</v>
      </c>
      <c r="W257" s="36">
        <f t="shared" si="162"/>
        <v>785.18200000000002</v>
      </c>
      <c r="X257" s="36">
        <f t="shared" si="162"/>
        <v>785.18200000000002</v>
      </c>
      <c r="Y257" s="36">
        <f t="shared" si="162"/>
        <v>785.18200000000002</v>
      </c>
      <c r="Z257" s="36"/>
      <c r="AA257" s="36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36"/>
      <c r="AZ257" s="5"/>
      <c r="BK257" s="22"/>
      <c r="BL257" s="23"/>
      <c r="BM257" s="22"/>
      <c r="BN257" s="22"/>
      <c r="BO257" s="22"/>
      <c r="BP257" s="22"/>
      <c r="BQ257" s="22"/>
      <c r="BR257" s="24"/>
    </row>
    <row r="258" spans="3:70" collapsed="1">
      <c r="C258" s="38" t="s">
        <v>327</v>
      </c>
      <c r="D258" s="36" t="str">
        <f t="shared" ref="D258:Y258" ca="1" si="163">IF(D$8="A",D297,IF(D$8="E",C258,"…"))</f>
        <v>…</v>
      </c>
      <c r="E258" s="36" t="str">
        <f t="shared" ca="1" si="163"/>
        <v>…</v>
      </c>
      <c r="F258" s="36" t="str">
        <f t="shared" ca="1" si="163"/>
        <v>…</v>
      </c>
      <c r="G258" s="36" t="str">
        <f t="shared" ca="1" si="163"/>
        <v>…</v>
      </c>
      <c r="H258" s="36" t="str">
        <f t="shared" ca="1" si="163"/>
        <v>…</v>
      </c>
      <c r="I258" s="36" t="str">
        <f t="shared" ca="1" si="163"/>
        <v>…</v>
      </c>
      <c r="J258" s="36" t="str">
        <f t="shared" ca="1" si="163"/>
        <v>…</v>
      </c>
      <c r="K258" s="36" t="str">
        <f t="shared" ca="1" si="163"/>
        <v>…</v>
      </c>
      <c r="L258" s="36" t="str">
        <f t="shared" ca="1" si="163"/>
        <v>…</v>
      </c>
      <c r="M258" s="36">
        <f t="shared" si="163"/>
        <v>79.454000000000008</v>
      </c>
      <c r="N258" s="36">
        <f t="shared" si="163"/>
        <v>159.14699999999999</v>
      </c>
      <c r="O258" s="36">
        <f t="shared" si="163"/>
        <v>134.458</v>
      </c>
      <c r="P258" s="36">
        <f>IF(P$8="A",P297,IF(P$8="E",O258,"…"))</f>
        <v>153.292</v>
      </c>
      <c r="Q258" s="36">
        <f>IF(Q$8="A",Q297,IF(Q$8="E",P258,"…"))</f>
        <v>124.12899999999999</v>
      </c>
      <c r="R258" s="36">
        <f t="shared" si="163"/>
        <v>92.878</v>
      </c>
      <c r="S258" s="36">
        <f t="shared" si="163"/>
        <v>112.399</v>
      </c>
      <c r="T258" s="36">
        <f t="shared" si="163"/>
        <v>195.06200000000001</v>
      </c>
      <c r="U258" s="36">
        <f t="shared" si="163"/>
        <v>223.26600000000002</v>
      </c>
      <c r="V258" s="36">
        <f t="shared" si="163"/>
        <v>223.26600000000002</v>
      </c>
      <c r="W258" s="36">
        <f t="shared" si="163"/>
        <v>223.26600000000002</v>
      </c>
      <c r="X258" s="36">
        <f t="shared" si="163"/>
        <v>223.26600000000002</v>
      </c>
      <c r="Y258" s="36">
        <f t="shared" si="163"/>
        <v>223.26600000000002</v>
      </c>
      <c r="Z258" s="36"/>
      <c r="AA258" s="36"/>
      <c r="AB258" s="23"/>
      <c r="AC258" s="23"/>
      <c r="AY258" s="36"/>
    </row>
    <row r="259" spans="3:70">
      <c r="C259" s="38" t="s">
        <v>331</v>
      </c>
      <c r="D259" s="36" t="str">
        <f t="shared" ref="D259:Y259" ca="1" si="164">IF(D$8="A",D450,IF(D$8="L","…",IF(D$8="E",IFERROR(C259*D147/C147,"…"),"…")))</f>
        <v>…</v>
      </c>
      <c r="E259" s="36" t="str">
        <f t="shared" ca="1" si="164"/>
        <v>…</v>
      </c>
      <c r="F259" s="36" t="str">
        <f t="shared" ca="1" si="164"/>
        <v>…</v>
      </c>
      <c r="G259" s="36" t="str">
        <f t="shared" ca="1" si="164"/>
        <v>…</v>
      </c>
      <c r="H259" s="36" t="str">
        <f t="shared" ca="1" si="164"/>
        <v>…</v>
      </c>
      <c r="I259" s="36" t="str">
        <f t="shared" ca="1" si="164"/>
        <v>…</v>
      </c>
      <c r="J259" s="36" t="str">
        <f t="shared" ca="1" si="164"/>
        <v>…</v>
      </c>
      <c r="K259" s="36" t="str">
        <f t="shared" ca="1" si="164"/>
        <v>…</v>
      </c>
      <c r="L259" s="36" t="str">
        <f t="shared" ca="1" si="164"/>
        <v>…</v>
      </c>
      <c r="M259" s="36">
        <f t="shared" si="164"/>
        <v>0</v>
      </c>
      <c r="N259" s="36">
        <f t="shared" si="164"/>
        <v>0</v>
      </c>
      <c r="O259" s="36">
        <f t="shared" si="164"/>
        <v>0</v>
      </c>
      <c r="P259" s="36">
        <f t="shared" si="164"/>
        <v>0</v>
      </c>
      <c r="Q259" s="36">
        <f t="shared" si="164"/>
        <v>0</v>
      </c>
      <c r="R259" s="36">
        <f t="shared" si="164"/>
        <v>0</v>
      </c>
      <c r="S259" s="36">
        <f t="shared" si="164"/>
        <v>0</v>
      </c>
      <c r="T259" s="36">
        <f t="shared" si="164"/>
        <v>0</v>
      </c>
      <c r="U259" s="36">
        <f t="shared" si="164"/>
        <v>0</v>
      </c>
      <c r="V259" s="36">
        <f t="shared" si="164"/>
        <v>0</v>
      </c>
      <c r="W259" s="36">
        <f t="shared" si="164"/>
        <v>0</v>
      </c>
      <c r="X259" s="36">
        <f t="shared" si="164"/>
        <v>0</v>
      </c>
      <c r="Y259" s="36">
        <f t="shared" si="164"/>
        <v>0</v>
      </c>
      <c r="Z259" s="36"/>
      <c r="AA259" s="36"/>
      <c r="AB259" s="23"/>
      <c r="AC259" s="23"/>
      <c r="AY259" s="36"/>
    </row>
    <row r="260" spans="3:70" ht="13.15">
      <c r="C260" s="9" t="s">
        <v>220</v>
      </c>
      <c r="D260" s="36" t="str">
        <f t="shared" ref="D260:Y260" ca="1" si="165">IFERROR(1/(1/SUM(D242,D245:D248,D254,D258:D259)),"…")</f>
        <v>…</v>
      </c>
      <c r="E260" s="36" t="str">
        <f t="shared" ca="1" si="165"/>
        <v>…</v>
      </c>
      <c r="F260" s="36" t="str">
        <f t="shared" ca="1" si="165"/>
        <v>…</v>
      </c>
      <c r="G260" s="36" t="str">
        <f t="shared" ca="1" si="165"/>
        <v>…</v>
      </c>
      <c r="H260" s="36" t="str">
        <f t="shared" ca="1" si="165"/>
        <v>…</v>
      </c>
      <c r="I260" s="36" t="str">
        <f t="shared" ca="1" si="165"/>
        <v>…</v>
      </c>
      <c r="J260" s="36" t="str">
        <f t="shared" ca="1" si="165"/>
        <v>…</v>
      </c>
      <c r="K260" s="36" t="str">
        <f t="shared" ca="1" si="165"/>
        <v>…</v>
      </c>
      <c r="L260" s="36" t="str">
        <f t="shared" ca="1" si="165"/>
        <v>…</v>
      </c>
      <c r="M260" s="36">
        <f t="shared" si="165"/>
        <v>3895.4749999999995</v>
      </c>
      <c r="N260" s="36">
        <f t="shared" si="165"/>
        <v>4641.4270000000006</v>
      </c>
      <c r="O260" s="36">
        <f t="shared" si="165"/>
        <v>3875.3989999999999</v>
      </c>
      <c r="P260" s="36">
        <f t="shared" si="165"/>
        <v>3849.6040000000003</v>
      </c>
      <c r="Q260" s="36">
        <f t="shared" si="165"/>
        <v>4141.1040000000003</v>
      </c>
      <c r="R260" s="36">
        <f t="shared" si="165"/>
        <v>4851.7330000000002</v>
      </c>
      <c r="S260" s="36">
        <f t="shared" si="165"/>
        <v>5446.3720000000003</v>
      </c>
      <c r="T260" s="36">
        <f t="shared" si="165"/>
        <v>6262.0469999999996</v>
      </c>
      <c r="U260" s="36">
        <f t="shared" si="165"/>
        <v>6863.5050000000001</v>
      </c>
      <c r="V260" s="36">
        <f t="shared" ca="1" si="165"/>
        <v>5829.792945373184</v>
      </c>
      <c r="W260" s="36">
        <f t="shared" ca="1" si="165"/>
        <v>6184.5651480447095</v>
      </c>
      <c r="X260" s="36">
        <f t="shared" ca="1" si="165"/>
        <v>6527.5446545916839</v>
      </c>
      <c r="Y260" s="36">
        <f t="shared" ca="1" si="165"/>
        <v>6931.3512462934068</v>
      </c>
      <c r="Z260" s="36"/>
      <c r="AA260" s="36"/>
      <c r="AB260" s="23"/>
      <c r="AC260" s="23"/>
      <c r="AY260" s="36"/>
    </row>
    <row r="261" spans="3:70"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23"/>
      <c r="AC261" s="23"/>
      <c r="AY261" s="5"/>
    </row>
    <row r="262" spans="3:70">
      <c r="C262" s="5" t="s">
        <v>333</v>
      </c>
      <c r="D262" s="36" t="str">
        <f t="shared" ref="D262:V262" ca="1" si="166">IF(D$8="A",D358,IF(D$8="L","…","…"))</f>
        <v>…</v>
      </c>
      <c r="E262" s="36" t="str">
        <f t="shared" ca="1" si="166"/>
        <v>…</v>
      </c>
      <c r="F262" s="36" t="str">
        <f t="shared" ca="1" si="166"/>
        <v>…</v>
      </c>
      <c r="G262" s="36" t="str">
        <f t="shared" ca="1" si="166"/>
        <v>…</v>
      </c>
      <c r="H262" s="36" t="str">
        <f t="shared" ca="1" si="166"/>
        <v>…</v>
      </c>
      <c r="I262" s="36" t="str">
        <f t="shared" ca="1" si="166"/>
        <v>…</v>
      </c>
      <c r="J262" s="36" t="str">
        <f t="shared" ca="1" si="166"/>
        <v>…</v>
      </c>
      <c r="K262" s="36" t="str">
        <f t="shared" ca="1" si="166"/>
        <v>…</v>
      </c>
      <c r="L262" s="36" t="str">
        <f t="shared" ca="1" si="166"/>
        <v>…</v>
      </c>
      <c r="M262" s="36">
        <f t="shared" si="166"/>
        <v>3895.4749999999999</v>
      </c>
      <c r="N262" s="36">
        <f t="shared" si="166"/>
        <v>4641.4269999999997</v>
      </c>
      <c r="O262" s="36">
        <f t="shared" si="166"/>
        <v>3875.3989999999999</v>
      </c>
      <c r="P262" s="36">
        <f t="shared" si="166"/>
        <v>3849.6039999999998</v>
      </c>
      <c r="Q262" s="36">
        <f t="shared" si="166"/>
        <v>4141.1040000000003</v>
      </c>
      <c r="R262" s="36">
        <f t="shared" si="166"/>
        <v>4851.7330000000002</v>
      </c>
      <c r="S262" s="36">
        <f t="shared" si="166"/>
        <v>5446.3720000000003</v>
      </c>
      <c r="T262" s="36">
        <f t="shared" si="166"/>
        <v>6262.0469999999996</v>
      </c>
      <c r="U262" s="36">
        <f t="shared" si="166"/>
        <v>6863.5050000000001</v>
      </c>
      <c r="V262" s="36" t="str">
        <f t="shared" si="166"/>
        <v>…</v>
      </c>
      <c r="W262" s="36" t="str">
        <f>IF(W$8="A",W358,IF(W$8="L","…","…"))</f>
        <v>…</v>
      </c>
      <c r="X262" s="36" t="str">
        <f>IF(X$8="A",X358,IF(X$8="L","…","…"))</f>
        <v>…</v>
      </c>
      <c r="Y262" s="36" t="str">
        <f>IF(Y$8="A",Y358,IF(Y$8="L","…","…"))</f>
        <v>…</v>
      </c>
      <c r="Z262" s="36"/>
      <c r="AA262" s="36"/>
      <c r="AY262" s="36"/>
    </row>
    <row r="263" spans="3:70">
      <c r="C263" s="5" t="s">
        <v>315</v>
      </c>
      <c r="D263" s="36" t="str">
        <f t="shared" ref="D263:V263" ca="1" si="167">IFERROR(D260-D490,"…")</f>
        <v>…</v>
      </c>
      <c r="E263" s="36" t="str">
        <f t="shared" ca="1" si="167"/>
        <v>…</v>
      </c>
      <c r="F263" s="36" t="str">
        <f t="shared" ca="1" si="167"/>
        <v>…</v>
      </c>
      <c r="G263" s="36" t="str">
        <f t="shared" ca="1" si="167"/>
        <v>…</v>
      </c>
      <c r="H263" s="36" t="str">
        <f t="shared" ca="1" si="167"/>
        <v>…</v>
      </c>
      <c r="I263" s="36" t="str">
        <f t="shared" ca="1" si="167"/>
        <v>…</v>
      </c>
      <c r="J263" s="36" t="str">
        <f t="shared" ca="1" si="167"/>
        <v>…</v>
      </c>
      <c r="K263" s="36" t="str">
        <f t="shared" ca="1" si="167"/>
        <v>…</v>
      </c>
      <c r="L263" s="36" t="str">
        <f t="shared" ca="1" si="167"/>
        <v>…</v>
      </c>
      <c r="M263" s="55">
        <f t="shared" si="167"/>
        <v>-4.5474735088646412E-13</v>
      </c>
      <c r="N263" s="55">
        <f t="shared" si="167"/>
        <v>9.0949470177292824E-13</v>
      </c>
      <c r="O263" s="55">
        <f t="shared" si="167"/>
        <v>0</v>
      </c>
      <c r="P263" s="55">
        <f t="shared" si="167"/>
        <v>4.5474735088646412E-13</v>
      </c>
      <c r="Q263" s="55">
        <f t="shared" si="167"/>
        <v>0</v>
      </c>
      <c r="R263" s="55">
        <f t="shared" si="167"/>
        <v>0</v>
      </c>
      <c r="S263" s="55">
        <f t="shared" si="167"/>
        <v>0</v>
      </c>
      <c r="T263" s="55">
        <f t="shared" si="167"/>
        <v>0</v>
      </c>
      <c r="U263" s="55">
        <f t="shared" si="167"/>
        <v>0</v>
      </c>
      <c r="V263" s="55" t="str">
        <f t="shared" ca="1" si="167"/>
        <v>…</v>
      </c>
      <c r="W263" s="55" t="str">
        <f ca="1">IFERROR(W260-W490,"…")</f>
        <v>…</v>
      </c>
      <c r="X263" s="55" t="str">
        <f ca="1">IFERROR(X260-X490,"…")</f>
        <v>…</v>
      </c>
      <c r="Y263" s="55" t="str">
        <f ca="1">IFERROR(Y260-Y490,"…")</f>
        <v>…</v>
      </c>
      <c r="Z263" s="55"/>
      <c r="AA263" s="55"/>
      <c r="AB263" s="23"/>
      <c r="AC263" s="23"/>
      <c r="AY263" s="55"/>
    </row>
    <row r="264" spans="3:70">
      <c r="D264" s="36"/>
      <c r="E264" s="36"/>
      <c r="F264" s="36"/>
      <c r="G264" s="36"/>
      <c r="H264" s="36"/>
      <c r="I264" s="36"/>
      <c r="J264" s="36"/>
      <c r="K264" s="36"/>
      <c r="L264" s="36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23"/>
      <c r="AC264" s="23"/>
      <c r="AY264" s="55"/>
    </row>
    <row r="265" spans="3:70">
      <c r="C265" s="38" t="s">
        <v>134</v>
      </c>
      <c r="D265" s="45" t="str">
        <f ca="1">IF(D246="…","…",IF(C246="…",AVERAGE(AG368:AG368),AVERAGE(C246:D246)))</f>
        <v>…</v>
      </c>
      <c r="E265" s="45" t="str">
        <f t="shared" ref="E265:Y265" ca="1" si="168">IF(E246="…","…",IF(D246="…",AVERAGE(C246:E246),AVERAGE(D246:E246)))</f>
        <v>…</v>
      </c>
      <c r="F265" s="45" t="str">
        <f t="shared" ca="1" si="168"/>
        <v>…</v>
      </c>
      <c r="G265" s="45" t="str">
        <f t="shared" ca="1" si="168"/>
        <v>…</v>
      </c>
      <c r="H265" s="45" t="str">
        <f t="shared" ca="1" si="168"/>
        <v>…</v>
      </c>
      <c r="I265" s="45" t="str">
        <f t="shared" ca="1" si="168"/>
        <v>…</v>
      </c>
      <c r="J265" s="45" t="str">
        <f t="shared" ca="1" si="168"/>
        <v>…</v>
      </c>
      <c r="K265" s="45" t="str">
        <f t="shared" ca="1" si="168"/>
        <v>…</v>
      </c>
      <c r="L265" s="45" t="str">
        <f ca="1">IF(L246="…","…",IF(K246="…",AVERAGE(J246:L246),AVERAGE(K246:L246)))</f>
        <v>…</v>
      </c>
      <c r="M265" s="45">
        <f ca="1">IF(M246="…","…",IF(L246="…",AVERAGE(K246:M246),AVERAGE(L246:M246)))</f>
        <v>567.81399999999996</v>
      </c>
      <c r="N265" s="45">
        <f>IF(N246="…","…",IF(M246="…",AVERAGE(L246:N246),AVERAGE(M246:N246)))</f>
        <v>576.4994999999999</v>
      </c>
      <c r="O265" s="45">
        <f>IF(O246="…","…",IF(N246="…",AVERAGE(M246:O246),AVERAGE(N246:O246)))</f>
        <v>605.65750000000003</v>
      </c>
      <c r="P265" s="45">
        <f t="shared" si="168"/>
        <v>647.70650000000001</v>
      </c>
      <c r="Q265" s="45">
        <f t="shared" si="168"/>
        <v>689.77150000000006</v>
      </c>
      <c r="R265" s="45">
        <f t="shared" si="168"/>
        <v>780.40499999999997</v>
      </c>
      <c r="S265" s="45">
        <f>IF(S246="…","…",IF(R246="…",AVERAGE(Q246:S246),AVERAGE(R246:S246)))</f>
        <v>960.101</v>
      </c>
      <c r="T265" s="45">
        <f t="shared" si="168"/>
        <v>1148.1410000000001</v>
      </c>
      <c r="U265" s="45">
        <f t="shared" si="168"/>
        <v>1289.8975</v>
      </c>
      <c r="V265" s="45">
        <f t="shared" ca="1" si="168"/>
        <v>1429.5066705556371</v>
      </c>
      <c r="W265" s="45">
        <f t="shared" ca="1" si="168"/>
        <v>1585.8416119432732</v>
      </c>
      <c r="X265" s="45">
        <f t="shared" ca="1" si="168"/>
        <v>1748.5093597541445</v>
      </c>
      <c r="Y265" s="45">
        <f t="shared" ca="1" si="168"/>
        <v>1914.2901962085477</v>
      </c>
      <c r="Z265" s="45"/>
      <c r="AA265" s="45"/>
      <c r="AB265" s="23"/>
      <c r="AC265" s="23"/>
      <c r="AY265" s="45"/>
    </row>
    <row r="266" spans="3:70">
      <c r="C266" s="38" t="s">
        <v>302</v>
      </c>
      <c r="D266" s="45" t="str">
        <f t="shared" ref="D266:I266" ca="1" si="169">IF(ISNUMBER(D267),D267,IF(ISNUMBER(D268),D268,"…"))</f>
        <v>…</v>
      </c>
      <c r="E266" s="45" t="str">
        <f t="shared" ca="1" si="169"/>
        <v>…</v>
      </c>
      <c r="F266" s="45" t="str">
        <f t="shared" ca="1" si="169"/>
        <v>…</v>
      </c>
      <c r="G266" s="45" t="str">
        <f t="shared" ca="1" si="169"/>
        <v>…</v>
      </c>
      <c r="H266" s="45" t="str">
        <f t="shared" ca="1" si="169"/>
        <v>…</v>
      </c>
      <c r="I266" s="45" t="str">
        <f t="shared" ca="1" si="169"/>
        <v>…</v>
      </c>
      <c r="J266" s="45" t="str">
        <f t="shared" ref="J266:Y266" ca="1" si="170">IF(ISNUMBER(J267),J267,IF(ISNUMBER(J268),J268,IF(ISNUMBER(J269),J269,"…")))</f>
        <v>…</v>
      </c>
      <c r="K266" s="45" t="str">
        <f t="shared" ca="1" si="170"/>
        <v>…</v>
      </c>
      <c r="L266" s="45" t="str">
        <f ca="1">IF(ISNUMBER(L267),L267,IF(ISNUMBER(L268),L268,IF(ISNUMBER(L269),L269,"…")))</f>
        <v>…</v>
      </c>
      <c r="M266" s="45">
        <f ca="1">IF(ISNUMBER(M267),M267,IF(ISNUMBER(M268),M268,IF(ISNUMBER(M269),M269,"…")))</f>
        <v>242.16700000000003</v>
      </c>
      <c r="N266" s="45">
        <f t="shared" si="170"/>
        <v>253.71450000000004</v>
      </c>
      <c r="O266" s="45">
        <f t="shared" si="170"/>
        <v>286.53600000000006</v>
      </c>
      <c r="P266" s="45">
        <f t="shared" si="170"/>
        <v>331.10200000000003</v>
      </c>
      <c r="Q266" s="45">
        <f t="shared" si="170"/>
        <v>397.42499999999995</v>
      </c>
      <c r="R266" s="45">
        <f t="shared" si="170"/>
        <v>543.12649999999996</v>
      </c>
      <c r="S266" s="45">
        <f t="shared" si="170"/>
        <v>741.86749999999995</v>
      </c>
      <c r="T266" s="45">
        <f t="shared" si="170"/>
        <v>908.61399999999992</v>
      </c>
      <c r="U266" s="45">
        <f t="shared" si="170"/>
        <v>1058.7314999999999</v>
      </c>
      <c r="V266" s="45">
        <f t="shared" si="170"/>
        <v>1028.5224219653178</v>
      </c>
      <c r="W266" s="45">
        <f t="shared" si="170"/>
        <v>830.3485449007095</v>
      </c>
      <c r="X266" s="45">
        <f t="shared" si="170"/>
        <v>670.35845917802942</v>
      </c>
      <c r="Y266" s="45">
        <f t="shared" si="170"/>
        <v>541.19497956761916</v>
      </c>
      <c r="Z266" s="45"/>
      <c r="AA266" s="45"/>
      <c r="AB266" s="23"/>
      <c r="AC266" s="23"/>
      <c r="AY266" s="45"/>
    </row>
    <row r="267" spans="3:70" hidden="1" outlineLevel="1">
      <c r="C267" s="43" t="s">
        <v>354</v>
      </c>
      <c r="D267" s="45" t="str">
        <f t="shared" ref="D267:Y267" ca="1" si="171">IF(D249="…","…",IF(C249="…",AVERAGE(B249,D249),AVERAGE(C249:D249)))</f>
        <v>…</v>
      </c>
      <c r="E267" s="45" t="str">
        <f t="shared" ca="1" si="171"/>
        <v>…</v>
      </c>
      <c r="F267" s="45" t="str">
        <f t="shared" ca="1" si="171"/>
        <v>…</v>
      </c>
      <c r="G267" s="45" t="str">
        <f t="shared" ca="1" si="171"/>
        <v>…</v>
      </c>
      <c r="H267" s="45" t="str">
        <f t="shared" ca="1" si="171"/>
        <v>…</v>
      </c>
      <c r="I267" s="45" t="str">
        <f t="shared" ca="1" si="171"/>
        <v>…</v>
      </c>
      <c r="J267" s="45" t="str">
        <f t="shared" ca="1" si="171"/>
        <v>…</v>
      </c>
      <c r="K267" s="45" t="str">
        <f t="shared" ca="1" si="171"/>
        <v>…</v>
      </c>
      <c r="L267" s="45" t="str">
        <f ca="1">IF(L249="…","…",IF(K249="…",AVERAGE(J249,L249),AVERAGE(K249:L249)))</f>
        <v>…</v>
      </c>
      <c r="M267" s="45">
        <f ca="1">IF(M249="…","…",IF(L249="…",AVERAGE(K249,M249),AVERAGE(L249:M249)))</f>
        <v>242.16700000000003</v>
      </c>
      <c r="N267" s="45">
        <f>IF(N249="…","…",IF(M249="…",AVERAGE(L249,N249),AVERAGE(M249:N249)))</f>
        <v>253.71450000000004</v>
      </c>
      <c r="O267" s="45">
        <f>IF(O249="…","…",IF(N249="…",AVERAGE(M249,O249),AVERAGE(N249:O249)))</f>
        <v>286.53600000000006</v>
      </c>
      <c r="P267" s="45">
        <f t="shared" si="171"/>
        <v>331.10200000000003</v>
      </c>
      <c r="Q267" s="45">
        <f t="shared" si="171"/>
        <v>397.42499999999995</v>
      </c>
      <c r="R267" s="45">
        <f t="shared" si="171"/>
        <v>543.12649999999996</v>
      </c>
      <c r="S267" s="45">
        <f t="shared" si="171"/>
        <v>741.86749999999995</v>
      </c>
      <c r="T267" s="45">
        <f t="shared" si="171"/>
        <v>908.61399999999992</v>
      </c>
      <c r="U267" s="45">
        <f t="shared" si="171"/>
        <v>1058.7314999999999</v>
      </c>
      <c r="V267" s="45" t="str">
        <f t="shared" si="171"/>
        <v>…</v>
      </c>
      <c r="W267" s="45" t="str">
        <f t="shared" si="171"/>
        <v>…</v>
      </c>
      <c r="X267" s="45" t="str">
        <f t="shared" si="171"/>
        <v>…</v>
      </c>
      <c r="Y267" s="45" t="str">
        <f t="shared" si="171"/>
        <v>…</v>
      </c>
      <c r="Z267" s="45"/>
      <c r="AA267" s="45"/>
      <c r="AB267" s="23"/>
      <c r="AC267" s="23"/>
      <c r="AY267" s="45"/>
    </row>
    <row r="268" spans="3:70" hidden="1" outlineLevel="1">
      <c r="C268" s="43" t="s">
        <v>358</v>
      </c>
      <c r="D268" s="45" t="str">
        <f t="shared" ref="D268:Y268" ca="1" si="172">IF(D$8="A",IFERROR(D202*D190,"…"),"…")</f>
        <v>…</v>
      </c>
      <c r="E268" s="45" t="str">
        <f t="shared" ca="1" si="172"/>
        <v>…</v>
      </c>
      <c r="F268" s="45" t="str">
        <f t="shared" ca="1" si="172"/>
        <v>…</v>
      </c>
      <c r="G268" s="45" t="str">
        <f t="shared" ca="1" si="172"/>
        <v>…</v>
      </c>
      <c r="H268" s="45" t="str">
        <f t="shared" ca="1" si="172"/>
        <v>…</v>
      </c>
      <c r="I268" s="45" t="str">
        <f t="shared" ca="1" si="172"/>
        <v>…</v>
      </c>
      <c r="J268" s="45" t="str">
        <f t="shared" ca="1" si="172"/>
        <v>…</v>
      </c>
      <c r="K268" s="45" t="str">
        <f t="shared" ca="1" si="172"/>
        <v>…</v>
      </c>
      <c r="L268" s="45" t="str">
        <f ca="1">IF(L$8="A",IFERROR(L202*L190,"…"),"…")</f>
        <v>…</v>
      </c>
      <c r="M268" s="45">
        <f ca="1">IF(M$8="A",IFERROR(M202*M190,"…"),"…")</f>
        <v>189.97583620689656</v>
      </c>
      <c r="N268" s="45">
        <f t="shared" ca="1" si="172"/>
        <v>189.97583620689656</v>
      </c>
      <c r="O268" s="45">
        <f t="shared" si="172"/>
        <v>208.09346551724138</v>
      </c>
      <c r="P268" s="45">
        <f t="shared" ca="1" si="172"/>
        <v>0</v>
      </c>
      <c r="Q268" s="45">
        <f t="shared" ca="1" si="172"/>
        <v>213.16204000000002</v>
      </c>
      <c r="R268" s="45">
        <f t="shared" si="172"/>
        <v>448.71396000000004</v>
      </c>
      <c r="S268" s="45">
        <f t="shared" si="172"/>
        <v>657.90239999999994</v>
      </c>
      <c r="T268" s="45">
        <f t="shared" si="172"/>
        <v>964.12470000000008</v>
      </c>
      <c r="U268" s="45">
        <f t="shared" si="172"/>
        <v>982.63019999999995</v>
      </c>
      <c r="V268" s="45" t="str">
        <f t="shared" si="172"/>
        <v>…</v>
      </c>
      <c r="W268" s="45" t="str">
        <f t="shared" si="172"/>
        <v>…</v>
      </c>
      <c r="X268" s="45" t="str">
        <f t="shared" si="172"/>
        <v>…</v>
      </c>
      <c r="Y268" s="45" t="str">
        <f t="shared" si="172"/>
        <v>…</v>
      </c>
      <c r="Z268" s="45"/>
      <c r="AA268" s="45"/>
      <c r="AB268" s="23"/>
      <c r="AC268" s="23"/>
      <c r="AY268" s="45"/>
    </row>
    <row r="269" spans="3:70" hidden="1" outlineLevel="1">
      <c r="C269" s="43" t="s">
        <v>355</v>
      </c>
      <c r="D269" s="45" t="str">
        <f t="shared" ref="D269:V269" ca="1" si="173">IF(D$8="E",IFERROR(D206*D190,"…"),"…")</f>
        <v>…</v>
      </c>
      <c r="E269" s="45" t="str">
        <f t="shared" ca="1" si="173"/>
        <v>…</v>
      </c>
      <c r="F269" s="45" t="str">
        <f t="shared" ca="1" si="173"/>
        <v>…</v>
      </c>
      <c r="G269" s="45" t="str">
        <f t="shared" ca="1" si="173"/>
        <v>…</v>
      </c>
      <c r="H269" s="45" t="str">
        <f t="shared" ca="1" si="173"/>
        <v>…</v>
      </c>
      <c r="I269" s="45" t="str">
        <f t="shared" ca="1" si="173"/>
        <v>…</v>
      </c>
      <c r="J269" s="45" t="str">
        <f t="shared" ca="1" si="173"/>
        <v>…</v>
      </c>
      <c r="K269" s="45" t="str">
        <f t="shared" ca="1" si="173"/>
        <v>…</v>
      </c>
      <c r="L269" s="45" t="str">
        <f ca="1">IF(L$8="E",IFERROR(L206*L190,"…"),"…")</f>
        <v>…</v>
      </c>
      <c r="M269" s="45" t="str">
        <f>IF(M$8="E",IFERROR(M206*M190,"…"),"…")</f>
        <v>…</v>
      </c>
      <c r="N269" s="45" t="str">
        <f t="shared" si="173"/>
        <v>…</v>
      </c>
      <c r="O269" s="45" t="str">
        <f t="shared" si="173"/>
        <v>…</v>
      </c>
      <c r="P269" s="45" t="str">
        <f t="shared" si="173"/>
        <v>…</v>
      </c>
      <c r="Q269" s="45" t="str">
        <f t="shared" si="173"/>
        <v>…</v>
      </c>
      <c r="R269" s="45" t="str">
        <f t="shared" si="173"/>
        <v>…</v>
      </c>
      <c r="S269" s="45" t="str">
        <f t="shared" si="173"/>
        <v>…</v>
      </c>
      <c r="T269" s="45" t="str">
        <f t="shared" si="173"/>
        <v>…</v>
      </c>
      <c r="U269" s="45" t="str">
        <f t="shared" si="173"/>
        <v>…</v>
      </c>
      <c r="V269" s="45">
        <f t="shared" si="173"/>
        <v>1028.5224219653178</v>
      </c>
      <c r="W269" s="45">
        <f>IF(W$8="E",IFERROR(W206*W190,"…"),"…")</f>
        <v>830.3485449007095</v>
      </c>
      <c r="X269" s="45">
        <f>IF(X$8="E",IFERROR(X206*X190,"…"),"…")</f>
        <v>670.35845917802942</v>
      </c>
      <c r="Y269" s="45">
        <f>IF(Y$8="E",IFERROR(Y206*Y190,"…"),"…")</f>
        <v>541.19497956761916</v>
      </c>
      <c r="Z269" s="45"/>
      <c r="AA269" s="45"/>
      <c r="AB269" s="23"/>
      <c r="AC269" s="23"/>
      <c r="AY269" s="45"/>
    </row>
    <row r="270" spans="3:70" collapsed="1">
      <c r="C270" s="38" t="s">
        <v>135</v>
      </c>
      <c r="D270" s="45" t="str">
        <f t="shared" ref="D270:Y272" ca="1" si="174">IF(D234="…","…",IF(C234="…",AVERAGE(B234:D234),AVERAGE(C234:D234)))</f>
        <v>…</v>
      </c>
      <c r="E270" s="45" t="str">
        <f t="shared" ca="1" si="174"/>
        <v>…</v>
      </c>
      <c r="F270" s="45" t="str">
        <f t="shared" ca="1" si="174"/>
        <v>…</v>
      </c>
      <c r="G270" s="45" t="str">
        <f t="shared" ca="1" si="174"/>
        <v>…</v>
      </c>
      <c r="H270" s="45" t="str">
        <f t="shared" ca="1" si="174"/>
        <v>…</v>
      </c>
      <c r="I270" s="45" t="str">
        <f t="shared" ca="1" si="174"/>
        <v>…</v>
      </c>
      <c r="J270" s="45" t="str">
        <f t="shared" ca="1" si="174"/>
        <v>…</v>
      </c>
      <c r="K270" s="45" t="str">
        <f t="shared" ca="1" si="174"/>
        <v>…</v>
      </c>
      <c r="L270" s="45" t="str">
        <f t="shared" ca="1" si="174"/>
        <v>…</v>
      </c>
      <c r="M270" s="45">
        <f t="shared" ca="1" si="174"/>
        <v>3257.4050999999999</v>
      </c>
      <c r="N270" s="45">
        <f t="shared" si="174"/>
        <v>3549.0544500000005</v>
      </c>
      <c r="O270" s="45">
        <f t="shared" si="174"/>
        <v>3441.4534000000003</v>
      </c>
      <c r="P270" s="45">
        <f t="shared" si="174"/>
        <v>2915.5259999999998</v>
      </c>
      <c r="Q270" s="45">
        <f t="shared" si="174"/>
        <v>2873.3240000000001</v>
      </c>
      <c r="R270" s="45">
        <f t="shared" si="174"/>
        <v>3222.87</v>
      </c>
      <c r="S270" s="45">
        <f t="shared" si="174"/>
        <v>3707.9555</v>
      </c>
      <c r="T270" s="45">
        <f t="shared" si="174"/>
        <v>4099.7844999999998</v>
      </c>
      <c r="U270" s="45">
        <f t="shared" si="174"/>
        <v>4485.9130000000005</v>
      </c>
      <c r="V270" s="45">
        <f t="shared" ca="1" si="174"/>
        <v>4795.8796702225463</v>
      </c>
      <c r="W270" s="45">
        <f t="shared" ca="1" si="174"/>
        <v>5014.2986014059143</v>
      </c>
      <c r="X270" s="45">
        <f t="shared" ca="1" si="174"/>
        <v>5266.8141777270739</v>
      </c>
      <c r="Y270" s="45">
        <f t="shared" ca="1" si="174"/>
        <v>5553.5427055350974</v>
      </c>
      <c r="Z270" s="45"/>
      <c r="AA270" s="45"/>
      <c r="AB270" s="23"/>
      <c r="AC270" s="23"/>
      <c r="AY270" s="45"/>
    </row>
    <row r="271" spans="3:70">
      <c r="C271" s="38" t="s">
        <v>136</v>
      </c>
      <c r="D271" s="45" t="str">
        <f ca="1">IF(D235="…","…",IF(C235="…",AVERAGE(AG217:AH217),AVERAGE(C235:D235)))</f>
        <v>…</v>
      </c>
      <c r="E271" s="45" t="str">
        <f t="shared" ca="1" si="174"/>
        <v>…</v>
      </c>
      <c r="F271" s="45" t="str">
        <f t="shared" ca="1" si="174"/>
        <v>…</v>
      </c>
      <c r="G271" s="45" t="str">
        <f t="shared" ca="1" si="174"/>
        <v>…</v>
      </c>
      <c r="H271" s="45" t="str">
        <f t="shared" ca="1" si="174"/>
        <v>…</v>
      </c>
      <c r="I271" s="45" t="str">
        <f t="shared" ca="1" si="174"/>
        <v>…</v>
      </c>
      <c r="J271" s="45" t="str">
        <f t="shared" ca="1" si="174"/>
        <v>…</v>
      </c>
      <c r="K271" s="45" t="str">
        <f t="shared" ca="1" si="174"/>
        <v>…</v>
      </c>
      <c r="L271" s="45" t="str">
        <f t="shared" ca="1" si="174"/>
        <v>…</v>
      </c>
      <c r="M271" s="45">
        <f t="shared" ca="1" si="174"/>
        <v>3177.9510999999998</v>
      </c>
      <c r="N271" s="45">
        <f t="shared" si="174"/>
        <v>3429.7539500000003</v>
      </c>
      <c r="O271" s="45">
        <f t="shared" si="174"/>
        <v>3294.6509000000001</v>
      </c>
      <c r="P271" s="45">
        <f t="shared" si="174"/>
        <v>2771.6509999999998</v>
      </c>
      <c r="Q271" s="45">
        <f t="shared" si="174"/>
        <v>2734.6135000000004</v>
      </c>
      <c r="R271" s="45">
        <f t="shared" si="174"/>
        <v>3114.3665000000001</v>
      </c>
      <c r="S271" s="45">
        <f t="shared" si="174"/>
        <v>3605.317</v>
      </c>
      <c r="T271" s="45">
        <f t="shared" si="174"/>
        <v>3946.0540000000001</v>
      </c>
      <c r="U271" s="45">
        <f t="shared" si="174"/>
        <v>4276.7490000000007</v>
      </c>
      <c r="V271" s="45">
        <f t="shared" ca="1" si="174"/>
        <v>4572.6136702225467</v>
      </c>
      <c r="W271" s="45">
        <f t="shared" ca="1" si="174"/>
        <v>4791.0326014059146</v>
      </c>
      <c r="X271" s="45">
        <f t="shared" ca="1" si="174"/>
        <v>5043.5481777270743</v>
      </c>
      <c r="Y271" s="45">
        <f t="shared" ca="1" si="174"/>
        <v>5330.2767055350978</v>
      </c>
      <c r="Z271" s="45"/>
      <c r="AA271" s="45"/>
      <c r="AB271" s="23"/>
      <c r="AC271" s="23"/>
      <c r="AY271" s="45"/>
    </row>
    <row r="272" spans="3:70">
      <c r="C272" s="38" t="s">
        <v>137</v>
      </c>
      <c r="D272" s="45" t="str">
        <f ca="1">IF(D236="…","…",IF(C236="…",AVERAGE(AG219:AH219),AVERAGE(C236:D236)))</f>
        <v>…</v>
      </c>
      <c r="E272" s="45" t="str">
        <f t="shared" ca="1" si="174"/>
        <v>…</v>
      </c>
      <c r="F272" s="45" t="str">
        <f t="shared" ca="1" si="174"/>
        <v>…</v>
      </c>
      <c r="G272" s="45" t="str">
        <f t="shared" ca="1" si="174"/>
        <v>…</v>
      </c>
      <c r="H272" s="45" t="str">
        <f t="shared" ca="1" si="174"/>
        <v>…</v>
      </c>
      <c r="I272" s="45" t="str">
        <f t="shared" ca="1" si="174"/>
        <v>…</v>
      </c>
      <c r="J272" s="45" t="str">
        <f t="shared" ca="1" si="174"/>
        <v>…</v>
      </c>
      <c r="K272" s="45" t="str">
        <f t="shared" ca="1" si="174"/>
        <v>…</v>
      </c>
      <c r="L272" s="45" t="str">
        <f t="shared" ca="1" si="174"/>
        <v>…</v>
      </c>
      <c r="M272" s="45">
        <f t="shared" ca="1" si="174"/>
        <v>2390.7730999999999</v>
      </c>
      <c r="N272" s="45">
        <f t="shared" si="174"/>
        <v>2642.5759500000004</v>
      </c>
      <c r="O272" s="45">
        <f t="shared" si="174"/>
        <v>2507.4729000000002</v>
      </c>
      <c r="P272" s="45">
        <f>IF(P236="…","…",IF(O236="…",AVERAGE(N236:P236),AVERAGE(O236:P236)))</f>
        <v>1985.471</v>
      </c>
      <c r="Q272" s="45">
        <f>IF(Q236="…","…",IF(P236="…",AVERAGE(O236:Q236),AVERAGE(P236:Q236)))</f>
        <v>1949.4315000000001</v>
      </c>
      <c r="R272" s="45">
        <f t="shared" si="174"/>
        <v>2329.1845000000003</v>
      </c>
      <c r="S272" s="45">
        <f t="shared" si="174"/>
        <v>2820.1350000000002</v>
      </c>
      <c r="T272" s="45">
        <f t="shared" si="174"/>
        <v>3160.8720000000003</v>
      </c>
      <c r="U272" s="45">
        <f t="shared" si="174"/>
        <v>3491.5670000000009</v>
      </c>
      <c r="V272" s="45">
        <f t="shared" ca="1" si="174"/>
        <v>3787.4316702225465</v>
      </c>
      <c r="W272" s="45">
        <f t="shared" ca="1" si="174"/>
        <v>4005.8506014059149</v>
      </c>
      <c r="X272" s="45">
        <f t="shared" ca="1" si="174"/>
        <v>4258.3661777270754</v>
      </c>
      <c r="Y272" s="45">
        <f t="shared" ca="1" si="174"/>
        <v>4545.0947055350989</v>
      </c>
      <c r="Z272" s="45"/>
      <c r="AA272" s="45"/>
      <c r="AB272" s="23"/>
      <c r="AC272" s="23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45"/>
      <c r="AZ272" s="5"/>
    </row>
    <row r="273" spans="1:72">
      <c r="AB273" s="23"/>
      <c r="AC273" s="23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Z273" s="5"/>
    </row>
    <row r="274" spans="1:72" s="33" customFormat="1" hidden="1" outlineLevel="1">
      <c r="A274" s="5"/>
      <c r="B274" s="5"/>
      <c r="AG274" s="5"/>
    </row>
    <row r="275" spans="1:72" s="33" customFormat="1" hidden="1" outlineLevel="1">
      <c r="A275" s="5"/>
      <c r="AG275" s="5"/>
    </row>
    <row r="276" spans="1:72" s="33" customFormat="1" ht="13.15" hidden="1" outlineLevel="1">
      <c r="A276" s="5"/>
      <c r="B276" s="5"/>
      <c r="C276" s="12" t="s">
        <v>177</v>
      </c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D276" s="5"/>
      <c r="AE276" s="5"/>
      <c r="AF276" s="5"/>
      <c r="AG276" s="5"/>
      <c r="AY276" s="25"/>
      <c r="BC276" s="5"/>
      <c r="BD276" s="5"/>
      <c r="BE276" s="5"/>
      <c r="BF276" s="5"/>
      <c r="BG276" s="5"/>
      <c r="BH276" s="5"/>
      <c r="BI276" s="5"/>
      <c r="BJ276" s="22"/>
      <c r="BK276" s="22"/>
      <c r="BL276" s="23"/>
      <c r="BM276" s="22"/>
      <c r="BN276" s="22"/>
      <c r="BO276" s="22"/>
      <c r="BP276" s="22"/>
      <c r="BQ276" s="22"/>
      <c r="BR276" s="24"/>
      <c r="BS276" s="5"/>
      <c r="BT276" s="5"/>
    </row>
    <row r="277" spans="1:72" s="33" customFormat="1" hidden="1" outlineLevel="1">
      <c r="A277" s="5"/>
      <c r="B277" s="5"/>
      <c r="C277" s="5" t="s">
        <v>150</v>
      </c>
      <c r="D277" s="25" t="str">
        <f t="shared" ref="D277:Y277" ca="1" si="175">D221</f>
        <v>…</v>
      </c>
      <c r="E277" s="25" t="str">
        <f t="shared" ca="1" si="175"/>
        <v>…</v>
      </c>
      <c r="F277" s="25" t="str">
        <f t="shared" ca="1" si="175"/>
        <v>…</v>
      </c>
      <c r="G277" s="25" t="str">
        <f t="shared" ca="1" si="175"/>
        <v>…</v>
      </c>
      <c r="H277" s="25" t="str">
        <f t="shared" ca="1" si="175"/>
        <v>…</v>
      </c>
      <c r="I277" s="25" t="str">
        <f t="shared" ca="1" si="175"/>
        <v>…</v>
      </c>
      <c r="J277" s="25" t="str">
        <f t="shared" ca="1" si="175"/>
        <v>…</v>
      </c>
      <c r="K277" s="25" t="str">
        <f t="shared" ca="1" si="175"/>
        <v>…</v>
      </c>
      <c r="L277" s="25" t="str">
        <f t="shared" ca="1" si="175"/>
        <v>…</v>
      </c>
      <c r="M277" s="25">
        <f t="shared" si="175"/>
        <v>363.54899999999998</v>
      </c>
      <c r="N277" s="25">
        <f t="shared" si="175"/>
        <v>389.46800000000002</v>
      </c>
      <c r="O277" s="25">
        <f t="shared" si="175"/>
        <v>444.32</v>
      </c>
      <c r="P277" s="25">
        <f t="shared" si="175"/>
        <v>595.08199999999999</v>
      </c>
      <c r="Q277" s="25">
        <f t="shared" si="175"/>
        <v>775.41600000000005</v>
      </c>
      <c r="R277" s="25">
        <f t="shared" si="175"/>
        <v>826.50699999999995</v>
      </c>
      <c r="S277" s="25">
        <f t="shared" si="175"/>
        <v>917.44600000000003</v>
      </c>
      <c r="T277" s="25">
        <f t="shared" si="175"/>
        <v>716.12699999999995</v>
      </c>
      <c r="U277" s="25">
        <f t="shared" si="175"/>
        <v>1075.4880000000001</v>
      </c>
      <c r="V277" s="25">
        <f t="shared" si="175"/>
        <v>1182.6669999999999</v>
      </c>
      <c r="W277" s="25">
        <f t="shared" si="175"/>
        <v>1432.4580000000001</v>
      </c>
      <c r="X277" s="25">
        <f t="shared" si="175"/>
        <v>1585.3</v>
      </c>
      <c r="Y277" s="25">
        <f t="shared" si="175"/>
        <v>1768.3750000000002</v>
      </c>
      <c r="Z277" s="25"/>
      <c r="AA277" s="25"/>
      <c r="AD277" s="5"/>
      <c r="AE277" s="5"/>
      <c r="AF277" s="5"/>
      <c r="AG277" s="5"/>
      <c r="AY277" s="25"/>
      <c r="BC277" s="5"/>
      <c r="BD277" s="5"/>
      <c r="BE277" s="5"/>
      <c r="BF277" s="5"/>
      <c r="BG277" s="5"/>
      <c r="BH277" s="5"/>
      <c r="BI277" s="5"/>
      <c r="BJ277" s="5"/>
      <c r="BK277" s="22"/>
      <c r="BL277" s="23"/>
      <c r="BM277" s="22"/>
      <c r="BN277" s="22"/>
      <c r="BO277" s="22"/>
      <c r="BP277" s="22"/>
      <c r="BQ277" s="22"/>
      <c r="BR277" s="24"/>
      <c r="BS277" s="5"/>
      <c r="BT277" s="5"/>
    </row>
    <row r="278" spans="1:72" s="33" customFormat="1" hidden="1" outlineLevel="1">
      <c r="A278" s="5"/>
      <c r="B278" s="5"/>
      <c r="C278" s="5" t="s">
        <v>178</v>
      </c>
      <c r="D278" s="31" t="str">
        <f>IF(D11="yes",VLOOKUP($C18,'Other Data'!$C$7:$J$200,D$4,FALSE),"…")</f>
        <v>…</v>
      </c>
      <c r="E278" s="31" t="str">
        <f>IF(E11="yes",VLOOKUP($C18,'Other Data'!$C$7:$J$200,E$4,FALSE),"…")</f>
        <v>…</v>
      </c>
      <c r="F278" s="31" t="str">
        <f>IF(F11="yes",VLOOKUP($C18,'Other Data'!$C$7:$J$200,F$4,FALSE),"…")</f>
        <v>…</v>
      </c>
      <c r="G278" s="31" t="str">
        <f>IF(G11="yes",VLOOKUP($C18,'Other Data'!$C$7:$J$200,G$4,FALSE),"…")</f>
        <v>…</v>
      </c>
      <c r="H278" s="31" t="str">
        <f>IF(H11="yes",VLOOKUP($C18,'Other Data'!$C$7:$J$200,H$4,FALSE),"…")</f>
        <v>…</v>
      </c>
      <c r="I278" s="31" t="str">
        <f>IF(I11="yes",VLOOKUP($C18,'Other Data'!$C$7:$J$200,I$4,FALSE),"…")</f>
        <v>…</v>
      </c>
      <c r="J278" s="31" t="str">
        <f>IF(J11="yes",VLOOKUP($C18,'Other Data'!$C$7:$J$200,J$4,FALSE),"…")</f>
        <v>…</v>
      </c>
      <c r="K278" s="31" t="str">
        <f ca="1">IF(K11="yes",VLOOKUP($C18,'Other Data'!$C$7:$AK$200,K$4,FALSE),IF(K$8="E",J278,"…"))</f>
        <v>…</v>
      </c>
      <c r="L278" s="31" t="str">
        <f ca="1">IF(L11="yes",VLOOKUP($C18,'Other Data'!$C$7:$AK$200,L$4,FALSE),IF(L$8="E",K278,"…"))</f>
        <v>…</v>
      </c>
      <c r="M278" s="31">
        <f>IF(M11="yes",VLOOKUP($C18,'Other Data'!$C$7:$AK$200,M$4,FALSE),IF(M$8="E",L278,"…"))</f>
        <v>0.314</v>
      </c>
      <c r="N278" s="31">
        <f>IF(N11="yes",VLOOKUP($C18,'Other Data'!$C$7:$AK$200,N$4,FALSE),IF(N$8="E",M278,"…"))</f>
        <v>0.314</v>
      </c>
      <c r="O278" s="31">
        <f>IF(O11="yes",VLOOKUP($C18,'Other Data'!$C$7:$AK$200,O$4,FALSE),IF(O$8="E",N278,"…"))</f>
        <v>0.314</v>
      </c>
      <c r="P278" s="31">
        <f>IF(P11="yes",VLOOKUP($C18,'Other Data'!$C$7:$AK$200,P$4,FALSE),IF(P$8="E",O278,"…"))</f>
        <v>0.314</v>
      </c>
      <c r="Q278" s="31">
        <f>IF(Q11="yes",VLOOKUP($C18,'Other Data'!$C$7:$AK$200,Q$4,FALSE),IF(Q$8="E",P278,"…"))</f>
        <v>0.24</v>
      </c>
      <c r="R278" s="31">
        <f>IF(R11="yes",VLOOKUP($C18,'Other Data'!$C$7:$AK$200,R$4,FALSE),IF(R$8="E",Q278,"…"))</f>
        <v>0.24</v>
      </c>
      <c r="S278" s="31">
        <f>IF(S11="yes",VLOOKUP($C18,'Other Data'!$C$7:$AK$200,S$4,FALSE),IF(S$8="E",R278,"…"))</f>
        <v>0.24</v>
      </c>
      <c r="T278" s="31">
        <f>IF(T11="yes",VLOOKUP($C18,'Other Data'!$C$7:$AK$200,T$4,FALSE),IF(T$8="E",S278,"…"))</f>
        <v>0.24</v>
      </c>
      <c r="U278" s="31">
        <f>IF(U11="yes",VLOOKUP($C18,'Other Data'!$C$7:$AK$200,U$4,FALSE),IF(U$8="E",T278,"…"))</f>
        <v>0.314</v>
      </c>
      <c r="V278" s="31">
        <f>IF(V11="yes",VLOOKUP($C18,'Other Data'!$C$7:$AK$200,V$4,FALSE),IF(V$8="E",U278,"…"))</f>
        <v>0.314</v>
      </c>
      <c r="W278" s="31">
        <f>IF(W11="yes",VLOOKUP($C18,'Other Data'!$C$7:$AK$200,W$4,FALSE),IF(W$8="E",V278,"…"))</f>
        <v>0.314</v>
      </c>
      <c r="X278" s="31">
        <f>IF(X11="yes",VLOOKUP($C18,'Other Data'!$C$7:$AK$200,X$4,FALSE),IF(X$8="E",W278,"…"))</f>
        <v>0.314</v>
      </c>
      <c r="Y278" s="31">
        <f>IF(Y11="yes",VLOOKUP($C18,'Other Data'!$C$7:$AK$200,Y$4,FALSE),IF(Y$8="E",X278,"…"))</f>
        <v>0.314</v>
      </c>
      <c r="Z278" s="31"/>
      <c r="AA278" s="31"/>
      <c r="AD278" s="5"/>
      <c r="AE278" s="5"/>
      <c r="AF278" s="5"/>
      <c r="AG278" s="5"/>
      <c r="AY278" s="31"/>
      <c r="BC278" s="5"/>
      <c r="BD278" s="5"/>
      <c r="BE278" s="5"/>
      <c r="BF278" s="5"/>
      <c r="BG278" s="5"/>
      <c r="BH278" s="5"/>
      <c r="BI278" s="5"/>
      <c r="BJ278" s="5"/>
      <c r="BK278" s="22"/>
      <c r="BL278" s="23"/>
      <c r="BM278" s="22"/>
      <c r="BN278" s="22"/>
      <c r="BO278" s="22"/>
      <c r="BP278" s="22"/>
      <c r="BQ278" s="22"/>
      <c r="BR278" s="24"/>
      <c r="BS278" s="5"/>
      <c r="BT278" s="5"/>
    </row>
    <row r="279" spans="1:72" s="33" customFormat="1" hidden="1" outlineLevel="1">
      <c r="A279" s="5"/>
      <c r="B279" s="5"/>
      <c r="C279" s="5" t="s">
        <v>179</v>
      </c>
      <c r="D279" s="25" t="str">
        <f t="shared" ref="D279:Y279" ca="1" si="176">IFERROR(-D277*D278,"…")</f>
        <v>…</v>
      </c>
      <c r="E279" s="25" t="str">
        <f t="shared" ca="1" si="176"/>
        <v>…</v>
      </c>
      <c r="F279" s="25" t="str">
        <f t="shared" ca="1" si="176"/>
        <v>…</v>
      </c>
      <c r="G279" s="25" t="str">
        <f t="shared" ca="1" si="176"/>
        <v>…</v>
      </c>
      <c r="H279" s="25" t="str">
        <f t="shared" ca="1" si="176"/>
        <v>…</v>
      </c>
      <c r="I279" s="25" t="str">
        <f t="shared" ca="1" si="176"/>
        <v>…</v>
      </c>
      <c r="J279" s="25" t="str">
        <f t="shared" ca="1" si="176"/>
        <v>…</v>
      </c>
      <c r="K279" s="25" t="str">
        <f t="shared" ca="1" si="176"/>
        <v>…</v>
      </c>
      <c r="L279" s="25" t="str">
        <f t="shared" ca="1" si="176"/>
        <v>…</v>
      </c>
      <c r="M279" s="25">
        <f t="shared" si="176"/>
        <v>-114.15438599999999</v>
      </c>
      <c r="N279" s="25">
        <f t="shared" si="176"/>
        <v>-122.292952</v>
      </c>
      <c r="O279" s="25">
        <f t="shared" si="176"/>
        <v>-139.51648</v>
      </c>
      <c r="P279" s="25">
        <f t="shared" si="176"/>
        <v>-186.85574800000001</v>
      </c>
      <c r="Q279" s="25">
        <f t="shared" si="176"/>
        <v>-186.09984</v>
      </c>
      <c r="R279" s="25">
        <f t="shared" si="176"/>
        <v>-198.36167999999998</v>
      </c>
      <c r="S279" s="25">
        <f t="shared" si="176"/>
        <v>-220.18704</v>
      </c>
      <c r="T279" s="25">
        <f t="shared" si="176"/>
        <v>-171.87047999999999</v>
      </c>
      <c r="U279" s="25">
        <f t="shared" si="176"/>
        <v>-337.70323200000001</v>
      </c>
      <c r="V279" s="25">
        <f t="shared" si="176"/>
        <v>-371.357438</v>
      </c>
      <c r="W279" s="25">
        <f t="shared" si="176"/>
        <v>-449.79181200000005</v>
      </c>
      <c r="X279" s="25">
        <f t="shared" si="176"/>
        <v>-497.7842</v>
      </c>
      <c r="Y279" s="25">
        <f t="shared" si="176"/>
        <v>-555.26975000000004</v>
      </c>
      <c r="Z279" s="25"/>
      <c r="AA279" s="25"/>
      <c r="AD279" s="22"/>
      <c r="AE279" s="5"/>
      <c r="AF279" s="5"/>
      <c r="AG279" s="5"/>
      <c r="AY279" s="25"/>
      <c r="BC279" s="5"/>
      <c r="BD279" s="5"/>
      <c r="BE279" s="5"/>
      <c r="BF279" s="5"/>
      <c r="BG279" s="5"/>
      <c r="BH279" s="5"/>
      <c r="BI279" s="5"/>
      <c r="BJ279" s="5"/>
      <c r="BK279" s="22"/>
      <c r="BL279" s="23"/>
      <c r="BM279" s="22"/>
      <c r="BN279" s="22"/>
      <c r="BO279" s="22"/>
      <c r="BP279" s="22"/>
      <c r="BQ279" s="22"/>
      <c r="BR279" s="24"/>
      <c r="BS279" s="5"/>
      <c r="BT279" s="5"/>
    </row>
    <row r="280" spans="1:72" hidden="1" outlineLevel="1">
      <c r="AG280" s="33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Z280" s="5"/>
    </row>
    <row r="281" spans="1:72" ht="13.15" hidden="1" outlineLevel="1">
      <c r="B281" s="9"/>
      <c r="C281" s="13" t="s">
        <v>143</v>
      </c>
      <c r="D281" s="47" t="str">
        <f t="shared" ref="D281:Y281" ca="1" si="177">IF(OR(D$8="A",D$8="E"),IFERROR(D279+D181,"…"),IF(D$8="L","…","…"))</f>
        <v>…</v>
      </c>
      <c r="E281" s="47" t="str">
        <f t="shared" ca="1" si="177"/>
        <v>…</v>
      </c>
      <c r="F281" s="47" t="str">
        <f t="shared" ca="1" si="177"/>
        <v>…</v>
      </c>
      <c r="G281" s="47" t="str">
        <f t="shared" ca="1" si="177"/>
        <v>…</v>
      </c>
      <c r="H281" s="47" t="str">
        <f t="shared" ca="1" si="177"/>
        <v>…</v>
      </c>
      <c r="I281" s="47" t="str">
        <f t="shared" ca="1" si="177"/>
        <v>…</v>
      </c>
      <c r="J281" s="58" t="str">
        <f t="shared" ca="1" si="177"/>
        <v>…</v>
      </c>
      <c r="K281" s="58" t="str">
        <f t="shared" ca="1" si="177"/>
        <v>…</v>
      </c>
      <c r="L281" s="58" t="str">
        <f t="shared" ca="1" si="177"/>
        <v>…</v>
      </c>
      <c r="M281" s="58">
        <f t="shared" si="177"/>
        <v>382.36561399999999</v>
      </c>
      <c r="N281" s="58">
        <f t="shared" si="177"/>
        <v>406.20404800000006</v>
      </c>
      <c r="O281" s="58">
        <f t="shared" si="177"/>
        <v>304.80351999999999</v>
      </c>
      <c r="P281" s="58">
        <f t="shared" si="177"/>
        <v>408.22625199999999</v>
      </c>
      <c r="Q281" s="58">
        <f t="shared" si="177"/>
        <v>706.43815999999993</v>
      </c>
      <c r="R281" s="58">
        <f t="shared" si="177"/>
        <v>760.50932000000012</v>
      </c>
      <c r="S281" s="58">
        <f t="shared" si="177"/>
        <v>857.72296000000006</v>
      </c>
      <c r="T281" s="58">
        <f t="shared" si="177"/>
        <v>752.94151999999985</v>
      </c>
      <c r="U281" s="58">
        <f t="shared" si="177"/>
        <v>963.67676800000004</v>
      </c>
      <c r="V281" s="58">
        <f t="shared" si="177"/>
        <v>1054.3936103712849</v>
      </c>
      <c r="W281" s="58">
        <f t="shared" ca="1" si="177"/>
        <v>1250.6321802810294</v>
      </c>
      <c r="X281" s="58">
        <f t="shared" ca="1" si="177"/>
        <v>1381.8346244985037</v>
      </c>
      <c r="Y281" s="58">
        <f t="shared" ca="1" si="177"/>
        <v>1489.4394586594035</v>
      </c>
      <c r="Z281" s="58"/>
      <c r="AA281" s="58"/>
      <c r="AB281" s="25"/>
      <c r="AC281" s="25"/>
      <c r="AG281" s="33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8"/>
      <c r="AZ281" s="5"/>
      <c r="BJ281" s="22"/>
      <c r="BK281" s="22"/>
      <c r="BL281" s="23"/>
      <c r="BM281" s="22"/>
      <c r="BN281" s="22"/>
      <c r="BO281" s="22"/>
      <c r="BP281" s="22"/>
      <c r="BQ281" s="22"/>
      <c r="BR281" s="24"/>
      <c r="BT281" s="23"/>
    </row>
    <row r="282" spans="1:72" hidden="1" outlineLevel="1">
      <c r="AG282" s="33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Z282" s="5"/>
      <c r="BK282" s="22"/>
      <c r="BL282" s="23"/>
      <c r="BM282" s="22"/>
      <c r="BN282" s="22"/>
      <c r="BO282" s="22"/>
      <c r="BP282" s="22"/>
      <c r="BQ282" s="22"/>
      <c r="BR282" s="24"/>
    </row>
    <row r="283" spans="1:72" ht="13.15" collapsed="1">
      <c r="C283" s="12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2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25"/>
      <c r="AZ283" s="5"/>
      <c r="BJ283" s="24"/>
      <c r="BK283" s="22"/>
      <c r="BL283" s="23"/>
      <c r="BM283" s="22"/>
      <c r="BN283" s="22"/>
      <c r="BO283" s="22"/>
      <c r="BP283" s="22"/>
      <c r="BQ283" s="22"/>
      <c r="BR283" s="24"/>
      <c r="BT283" s="33"/>
    </row>
    <row r="284" spans="1:72" ht="13.15">
      <c r="C284" s="12" t="s">
        <v>203</v>
      </c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25"/>
      <c r="AC284" s="25"/>
      <c r="AD284" s="24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J284" s="24"/>
      <c r="BK284" s="22"/>
      <c r="BL284" s="23"/>
      <c r="BM284" s="22"/>
      <c r="BN284" s="22"/>
      <c r="BO284" s="22"/>
      <c r="BP284" s="22"/>
      <c r="BQ284" s="22"/>
      <c r="BR284" s="24"/>
      <c r="BT284" s="33"/>
    </row>
    <row r="285" spans="1:72" s="33" customFormat="1">
      <c r="A285" s="5"/>
      <c r="AB285" s="25"/>
      <c r="AC285" s="25"/>
      <c r="AD285" s="24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24"/>
      <c r="BK285" s="22"/>
      <c r="BL285" s="23"/>
      <c r="BM285" s="22"/>
      <c r="BN285" s="22"/>
      <c r="BO285" s="22"/>
      <c r="BP285" s="22"/>
      <c r="BQ285" s="22"/>
      <c r="BR285" s="24"/>
      <c r="BS285" s="5"/>
    </row>
    <row r="286" spans="1:72" hidden="1" outlineLevel="1"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Z286" s="5"/>
      <c r="BK286" s="22"/>
      <c r="BL286" s="23"/>
      <c r="BM286" s="22"/>
      <c r="BN286" s="22"/>
      <c r="BO286" s="22"/>
      <c r="BP286" s="22"/>
      <c r="BQ286" s="22"/>
      <c r="BR286" s="24"/>
    </row>
    <row r="287" spans="1:72" hidden="1" outlineLevel="1">
      <c r="C287" s="5" t="s">
        <v>401</v>
      </c>
      <c r="D287" s="25" t="str">
        <f t="shared" ref="D287:Y287" ca="1" si="178">IF(ISNUMBER(D288),D288,IF(ISNUMBER(D292),D292,"…"))</f>
        <v>…</v>
      </c>
      <c r="E287" s="25" t="str">
        <f t="shared" ca="1" si="178"/>
        <v>…</v>
      </c>
      <c r="F287" s="25" t="str">
        <f t="shared" ca="1" si="178"/>
        <v>…</v>
      </c>
      <c r="G287" s="25" t="str">
        <f t="shared" ca="1" si="178"/>
        <v>…</v>
      </c>
      <c r="H287" s="25" t="str">
        <f t="shared" ca="1" si="178"/>
        <v>…</v>
      </c>
      <c r="I287" s="25" t="str">
        <f t="shared" ca="1" si="178"/>
        <v>…</v>
      </c>
      <c r="J287" s="25" t="str">
        <f t="shared" ca="1" si="178"/>
        <v>…</v>
      </c>
      <c r="K287" s="25" t="str">
        <f t="shared" ca="1" si="178"/>
        <v>…</v>
      </c>
      <c r="L287" s="25" t="str">
        <f t="shared" ca="1" si="178"/>
        <v>…</v>
      </c>
      <c r="M287" s="48">
        <f t="shared" si="178"/>
        <v>242.16700000000003</v>
      </c>
      <c r="N287" s="48">
        <f t="shared" si="178"/>
        <v>265.26200000000006</v>
      </c>
      <c r="O287" s="48">
        <f t="shared" si="178"/>
        <v>307.81000000000006</v>
      </c>
      <c r="P287" s="48">
        <f t="shared" si="178"/>
        <v>354.39400000000001</v>
      </c>
      <c r="Q287" s="48">
        <f t="shared" si="178"/>
        <v>440.4559999999999</v>
      </c>
      <c r="R287" s="48">
        <f t="shared" si="178"/>
        <v>645.79700000000003</v>
      </c>
      <c r="S287" s="48">
        <f t="shared" si="178"/>
        <v>837.93799999999987</v>
      </c>
      <c r="T287" s="48">
        <f t="shared" si="178"/>
        <v>979.29</v>
      </c>
      <c r="U287" s="48">
        <f t="shared" si="178"/>
        <v>1138.173</v>
      </c>
      <c r="V287" s="48" t="str">
        <f t="shared" si="178"/>
        <v>…</v>
      </c>
      <c r="W287" s="48" t="str">
        <f t="shared" si="178"/>
        <v>…</v>
      </c>
      <c r="X287" s="48" t="str">
        <f t="shared" si="178"/>
        <v>…</v>
      </c>
      <c r="Y287" s="48" t="str">
        <f t="shared" si="178"/>
        <v>…</v>
      </c>
      <c r="Z287" s="48"/>
      <c r="AA287" s="48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48"/>
      <c r="AZ287" s="5"/>
      <c r="BK287" s="22"/>
      <c r="BL287" s="23"/>
      <c r="BM287" s="22"/>
      <c r="BN287" s="22"/>
      <c r="BO287" s="22"/>
      <c r="BP287" s="22"/>
      <c r="BQ287" s="22"/>
      <c r="BR287" s="24"/>
    </row>
    <row r="288" spans="1:72" hidden="1" outlineLevel="1">
      <c r="C288" s="44" t="s">
        <v>309</v>
      </c>
      <c r="D288" s="25" t="str">
        <f ca="1">IF(ISNUMBER(D289),D289,IF(ISNUMBER(D290),D290,"…"))</f>
        <v>…</v>
      </c>
      <c r="E288" s="25" t="str">
        <f t="shared" ref="E288:Y288" ca="1" si="179">IF(ISNUMBER(E289),E289,IF(ISNUMBER(E290),E290,"…"))</f>
        <v>…</v>
      </c>
      <c r="F288" s="25" t="str">
        <f t="shared" ca="1" si="179"/>
        <v>…</v>
      </c>
      <c r="G288" s="25" t="str">
        <f t="shared" ca="1" si="179"/>
        <v>…</v>
      </c>
      <c r="H288" s="25" t="str">
        <f t="shared" ca="1" si="179"/>
        <v>…</v>
      </c>
      <c r="I288" s="25" t="str">
        <f t="shared" ca="1" si="179"/>
        <v>…</v>
      </c>
      <c r="J288" s="25" t="str">
        <f t="shared" ca="1" si="179"/>
        <v>…</v>
      </c>
      <c r="K288" s="25" t="str">
        <f t="shared" ca="1" si="179"/>
        <v>…</v>
      </c>
      <c r="L288" s="25" t="str">
        <f t="shared" ca="1" si="179"/>
        <v>…</v>
      </c>
      <c r="M288" s="25">
        <f t="shared" si="179"/>
        <v>242.16700000000003</v>
      </c>
      <c r="N288" s="25">
        <f t="shared" si="179"/>
        <v>265.26200000000006</v>
      </c>
      <c r="O288" s="25">
        <f t="shared" si="179"/>
        <v>307.81000000000006</v>
      </c>
      <c r="P288" s="25">
        <f t="shared" si="179"/>
        <v>354.39400000000001</v>
      </c>
      <c r="Q288" s="25">
        <f t="shared" si="179"/>
        <v>440.4559999999999</v>
      </c>
      <c r="R288" s="25">
        <f t="shared" si="179"/>
        <v>645.79700000000003</v>
      </c>
      <c r="S288" s="25">
        <f t="shared" si="179"/>
        <v>837.93799999999987</v>
      </c>
      <c r="T288" s="25">
        <f t="shared" si="179"/>
        <v>979.29</v>
      </c>
      <c r="U288" s="25">
        <f t="shared" si="179"/>
        <v>1138.173</v>
      </c>
      <c r="V288" s="25" t="str">
        <f t="shared" si="179"/>
        <v>…</v>
      </c>
      <c r="W288" s="25" t="str">
        <f t="shared" si="179"/>
        <v>…</v>
      </c>
      <c r="X288" s="25" t="str">
        <f t="shared" si="179"/>
        <v>…</v>
      </c>
      <c r="Y288" s="25" t="str">
        <f t="shared" si="179"/>
        <v>…</v>
      </c>
      <c r="Z288" s="25"/>
      <c r="AA288" s="2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25"/>
      <c r="AZ288" s="5"/>
      <c r="BK288" s="22"/>
      <c r="BL288" s="23"/>
      <c r="BM288" s="22"/>
      <c r="BN288" s="22"/>
      <c r="BO288" s="22"/>
      <c r="BP288" s="22"/>
      <c r="BQ288" s="22"/>
      <c r="BR288" s="24"/>
    </row>
    <row r="289" spans="1:71" hidden="1" outlineLevel="1">
      <c r="C289" s="43" t="s">
        <v>154</v>
      </c>
      <c r="D289" s="25" t="str">
        <f t="shared" ref="D289:V289" ca="1" si="180">IF(D$8="A",IFERROR(D386-D390,"…"),IF(D$8="L","…","…"))</f>
        <v>…</v>
      </c>
      <c r="E289" s="25" t="str">
        <f t="shared" ca="1" si="180"/>
        <v>…</v>
      </c>
      <c r="F289" s="25" t="str">
        <f t="shared" ca="1" si="180"/>
        <v>…</v>
      </c>
      <c r="G289" s="25" t="str">
        <f t="shared" ca="1" si="180"/>
        <v>…</v>
      </c>
      <c r="H289" s="25" t="str">
        <f t="shared" ca="1" si="180"/>
        <v>…</v>
      </c>
      <c r="I289" s="25" t="str">
        <f t="shared" ca="1" si="180"/>
        <v>…</v>
      </c>
      <c r="J289" s="25" t="str">
        <f t="shared" ca="1" si="180"/>
        <v>…</v>
      </c>
      <c r="K289" s="25" t="str">
        <f t="shared" ca="1" si="180"/>
        <v>…</v>
      </c>
      <c r="L289" s="25" t="str">
        <f t="shared" ca="1" si="180"/>
        <v>…</v>
      </c>
      <c r="M289" s="25">
        <f t="shared" si="180"/>
        <v>242.16700000000003</v>
      </c>
      <c r="N289" s="25">
        <f t="shared" si="180"/>
        <v>265.26200000000006</v>
      </c>
      <c r="O289" s="25">
        <f t="shared" si="180"/>
        <v>307.81000000000006</v>
      </c>
      <c r="P289" s="25">
        <f t="shared" si="180"/>
        <v>354.39400000000001</v>
      </c>
      <c r="Q289" s="25">
        <f t="shared" si="180"/>
        <v>440.4559999999999</v>
      </c>
      <c r="R289" s="25">
        <f t="shared" si="180"/>
        <v>645.79700000000003</v>
      </c>
      <c r="S289" s="25">
        <f t="shared" si="180"/>
        <v>837.93799999999987</v>
      </c>
      <c r="T289" s="25">
        <f t="shared" si="180"/>
        <v>979.29</v>
      </c>
      <c r="U289" s="25">
        <f t="shared" si="180"/>
        <v>1138.173</v>
      </c>
      <c r="V289" s="25" t="str">
        <f t="shared" si="180"/>
        <v>…</v>
      </c>
      <c r="W289" s="25" t="str">
        <f>IF(W$8="A",IFERROR(W386-W390,"…"),IF(W$8="L","…","…"))</f>
        <v>…</v>
      </c>
      <c r="X289" s="25" t="str">
        <f>IF(X$8="A",IFERROR(X386-X390,"…"),IF(X$8="L","…","…"))</f>
        <v>…</v>
      </c>
      <c r="Y289" s="25" t="str">
        <f>IF(Y$8="A",IFERROR(Y386-Y390,"…"),IF(Y$8="L","…","…"))</f>
        <v>…</v>
      </c>
      <c r="Z289" s="25"/>
      <c r="AA289" s="25"/>
      <c r="AB289" s="25"/>
      <c r="AC289" s="2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25"/>
      <c r="AZ289" s="5"/>
      <c r="BK289" s="22"/>
      <c r="BL289" s="23"/>
      <c r="BM289" s="22"/>
      <c r="BN289" s="22"/>
      <c r="BO289" s="22"/>
      <c r="BP289" s="22"/>
      <c r="BQ289" s="22"/>
      <c r="BR289" s="24"/>
    </row>
    <row r="290" spans="1:71" hidden="1" outlineLevel="1">
      <c r="C290" s="43" t="s">
        <v>400</v>
      </c>
      <c r="D290" s="25" t="str">
        <f t="shared" ref="D290:P290" ca="1" si="181">IF(D$8="A",IFERROR(AVERAGE(C291,E291)*(D386),"…"),IF(D$8="L","…","…"))</f>
        <v>…</v>
      </c>
      <c r="E290" s="25" t="str">
        <f t="shared" ca="1" si="181"/>
        <v>…</v>
      </c>
      <c r="F290" s="25" t="str">
        <f t="shared" ca="1" si="181"/>
        <v>…</v>
      </c>
      <c r="G290" s="25" t="str">
        <f t="shared" ca="1" si="181"/>
        <v>…</v>
      </c>
      <c r="H290" s="25" t="str">
        <f t="shared" ca="1" si="181"/>
        <v>…</v>
      </c>
      <c r="I290" s="25" t="str">
        <f t="shared" ca="1" si="181"/>
        <v>…</v>
      </c>
      <c r="J290" s="25" t="str">
        <f t="shared" ca="1" si="181"/>
        <v>…</v>
      </c>
      <c r="K290" s="25" t="str">
        <f t="shared" ca="1" si="181"/>
        <v>…</v>
      </c>
      <c r="L290" s="25" t="str">
        <f t="shared" ca="1" si="181"/>
        <v>…</v>
      </c>
      <c r="M290" s="25">
        <f t="shared" si="181"/>
        <v>259.44102598722969</v>
      </c>
      <c r="N290" s="25">
        <f t="shared" si="181"/>
        <v>271.72490802448681</v>
      </c>
      <c r="O290" s="25">
        <f t="shared" si="181"/>
        <v>308.25684303114451</v>
      </c>
      <c r="P290" s="25">
        <f t="shared" si="181"/>
        <v>364.93602723746375</v>
      </c>
      <c r="Q290" s="25">
        <f t="shared" ref="Q290:Y290" si="182">IF(Q$8="A",IFERROR(AVERAGE(P291,AC291)*(Q386),"…"),IF(Q$8="L","…","…"))</f>
        <v>381.1582144341404</v>
      </c>
      <c r="R290" s="25">
        <f t="shared" si="182"/>
        <v>514.24913916180788</v>
      </c>
      <c r="S290" s="25">
        <f t="shared" si="182"/>
        <v>732.50972001685557</v>
      </c>
      <c r="T290" s="25">
        <f t="shared" si="182"/>
        <v>910.91117029917677</v>
      </c>
      <c r="U290" s="25">
        <f t="shared" si="182"/>
        <v>1067.4707889668978</v>
      </c>
      <c r="V290" s="25" t="str">
        <f t="shared" si="182"/>
        <v>…</v>
      </c>
      <c r="W290" s="25" t="str">
        <f t="shared" si="182"/>
        <v>…</v>
      </c>
      <c r="X290" s="25" t="str">
        <f t="shared" si="182"/>
        <v>…</v>
      </c>
      <c r="Y290" s="25" t="str">
        <f t="shared" si="182"/>
        <v>…</v>
      </c>
      <c r="Z290" s="25"/>
      <c r="AA290" s="25"/>
      <c r="AB290" s="25"/>
      <c r="AC290" s="2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25"/>
      <c r="AZ290" s="5"/>
      <c r="BK290" s="22"/>
      <c r="BL290" s="23"/>
      <c r="BM290" s="22"/>
      <c r="BN290" s="22"/>
      <c r="BO290" s="22"/>
      <c r="BP290" s="22"/>
      <c r="BQ290" s="22"/>
      <c r="BR290" s="24"/>
    </row>
    <row r="291" spans="1:71" hidden="1" outlineLevel="1">
      <c r="C291" s="69" t="s">
        <v>408</v>
      </c>
      <c r="D291" s="70" t="str">
        <f t="shared" ref="D291:V291" si="183">IFERROR(IF(D$11="yes",D375/(D390+D375),"…"),"…")</f>
        <v>…</v>
      </c>
      <c r="E291" s="70" t="str">
        <f t="shared" si="183"/>
        <v>…</v>
      </c>
      <c r="F291" s="70" t="str">
        <f t="shared" si="183"/>
        <v>…</v>
      </c>
      <c r="G291" s="70" t="str">
        <f t="shared" si="183"/>
        <v>…</v>
      </c>
      <c r="H291" s="70" t="str">
        <f t="shared" si="183"/>
        <v>…</v>
      </c>
      <c r="I291" s="70" t="str">
        <f t="shared" si="183"/>
        <v>…</v>
      </c>
      <c r="J291" s="108" t="str">
        <f t="shared" si="183"/>
        <v>…</v>
      </c>
      <c r="K291" s="108" t="str">
        <f t="shared" si="183"/>
        <v>…</v>
      </c>
      <c r="L291" s="108" t="str">
        <f t="shared" si="183"/>
        <v>…</v>
      </c>
      <c r="M291" s="108">
        <f t="shared" si="183"/>
        <v>0.23526320135620227</v>
      </c>
      <c r="N291" s="108">
        <f t="shared" si="183"/>
        <v>0.25204477214853105</v>
      </c>
      <c r="O291" s="108">
        <f t="shared" si="183"/>
        <v>0.28110810346780057</v>
      </c>
      <c r="P291" s="108">
        <f t="shared" si="183"/>
        <v>0.31098759538635423</v>
      </c>
      <c r="Q291" s="108">
        <f t="shared" si="183"/>
        <v>0.35936875325340756</v>
      </c>
      <c r="R291" s="108">
        <f t="shared" si="183"/>
        <v>0.45129732861209004</v>
      </c>
      <c r="S291" s="108">
        <f t="shared" si="183"/>
        <v>0.51625141702400312</v>
      </c>
      <c r="T291" s="108">
        <f t="shared" si="183"/>
        <v>0.55500455660390191</v>
      </c>
      <c r="U291" s="108">
        <f t="shared" si="183"/>
        <v>0.59176439086908028</v>
      </c>
      <c r="V291" s="108" t="str">
        <f t="shared" si="183"/>
        <v>…</v>
      </c>
      <c r="W291" s="108" t="str">
        <f>IFERROR(IF(W$11="yes",W375/(W390+W375),"…"),"…")</f>
        <v>…</v>
      </c>
      <c r="X291" s="108" t="str">
        <f>IFERROR(IF(X$11="yes",X375/(X390+X375),"…"),"…")</f>
        <v>…</v>
      </c>
      <c r="Y291" s="108" t="str">
        <f>IFERROR(IF(Y$11="yes",Y375/(Y390+Y375),"…"),"…")</f>
        <v>…</v>
      </c>
      <c r="Z291" s="108"/>
      <c r="AA291" s="108"/>
      <c r="AB291" s="25"/>
      <c r="AC291" s="2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108"/>
      <c r="AZ291" s="5"/>
      <c r="BK291" s="22"/>
      <c r="BL291" s="23"/>
      <c r="BM291" s="22"/>
      <c r="BN291" s="22"/>
      <c r="BO291" s="22"/>
      <c r="BP291" s="22"/>
      <c r="BQ291" s="22"/>
      <c r="BR291" s="24"/>
    </row>
    <row r="292" spans="1:71" hidden="1" outlineLevel="1">
      <c r="C292" s="44" t="s">
        <v>306</v>
      </c>
      <c r="D292" s="25" t="str">
        <f t="shared" ref="D292:Y292" ca="1" si="184">IF(ISNUMBER(D293),D293,IF(ISNUMBER(D294),D294,IF(ISNUMBER(D289),D289,IF(ISNUMBER(D290),D290,"…"))))</f>
        <v>…</v>
      </c>
      <c r="E292" s="25" t="str">
        <f t="shared" ca="1" si="184"/>
        <v>…</v>
      </c>
      <c r="F292" s="25" t="str">
        <f t="shared" ca="1" si="184"/>
        <v>…</v>
      </c>
      <c r="G292" s="25" t="str">
        <f t="shared" ca="1" si="184"/>
        <v>…</v>
      </c>
      <c r="H292" s="25" t="str">
        <f t="shared" ca="1" si="184"/>
        <v>…</v>
      </c>
      <c r="I292" s="25" t="str">
        <f t="shared" ca="1" si="184"/>
        <v>…</v>
      </c>
      <c r="J292" s="25" t="str">
        <f t="shared" ca="1" si="184"/>
        <v>…</v>
      </c>
      <c r="K292" s="25" t="str">
        <f t="shared" ca="1" si="184"/>
        <v>…</v>
      </c>
      <c r="L292" s="25" t="str">
        <f t="shared" ca="1" si="184"/>
        <v>…</v>
      </c>
      <c r="M292" s="25">
        <f t="shared" si="184"/>
        <v>242.167</v>
      </c>
      <c r="N292" s="25">
        <f t="shared" si="184"/>
        <v>265.262</v>
      </c>
      <c r="O292" s="25">
        <f t="shared" si="184"/>
        <v>307.81</v>
      </c>
      <c r="P292" s="25">
        <f t="shared" si="184"/>
        <v>354.39400000000001</v>
      </c>
      <c r="Q292" s="25">
        <f t="shared" si="184"/>
        <v>440.45600000000002</v>
      </c>
      <c r="R292" s="25">
        <f t="shared" si="184"/>
        <v>645.79700000000003</v>
      </c>
      <c r="S292" s="25">
        <f t="shared" si="184"/>
        <v>837.93799999999999</v>
      </c>
      <c r="T292" s="25">
        <f t="shared" si="184"/>
        <v>979.29</v>
      </c>
      <c r="U292" s="25">
        <f t="shared" si="184"/>
        <v>1138.173</v>
      </c>
      <c r="V292" s="25" t="str">
        <f t="shared" si="184"/>
        <v>…</v>
      </c>
      <c r="W292" s="25" t="str">
        <f t="shared" si="184"/>
        <v>…</v>
      </c>
      <c r="X292" s="25" t="str">
        <f t="shared" si="184"/>
        <v>…</v>
      </c>
      <c r="Y292" s="25" t="str">
        <f t="shared" si="184"/>
        <v>…</v>
      </c>
      <c r="Z292" s="25"/>
      <c r="AA292" s="25"/>
      <c r="AB292" s="5"/>
      <c r="AC292" s="5"/>
      <c r="AD292" s="25" t="s">
        <v>307</v>
      </c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25"/>
      <c r="AZ292" s="5"/>
      <c r="BK292" s="22"/>
      <c r="BL292" s="23"/>
      <c r="BM292" s="22"/>
      <c r="BN292" s="22"/>
      <c r="BO292" s="22"/>
      <c r="BP292" s="22"/>
      <c r="BQ292" s="22"/>
      <c r="BR292" s="24"/>
    </row>
    <row r="293" spans="1:71" hidden="1" outlineLevel="1">
      <c r="C293" s="43" t="s">
        <v>154</v>
      </c>
      <c r="D293" s="25" t="str">
        <f t="shared" ref="D293:Y293" ca="1" si="185">IF(D$8="A",D376,IF(D$8="L",C293,"…"))</f>
        <v>Bloomberg (method 1)</v>
      </c>
      <c r="E293" s="25" t="str">
        <f t="shared" ca="1" si="185"/>
        <v>Bloomberg (method 1)</v>
      </c>
      <c r="F293" s="25" t="str">
        <f t="shared" ca="1" si="185"/>
        <v>Bloomberg (method 1)</v>
      </c>
      <c r="G293" s="25" t="str">
        <f t="shared" ca="1" si="185"/>
        <v>Bloomberg (method 1)</v>
      </c>
      <c r="H293" s="25" t="str">
        <f t="shared" ca="1" si="185"/>
        <v>Bloomberg (method 1)</v>
      </c>
      <c r="I293" s="25" t="str">
        <f t="shared" ca="1" si="185"/>
        <v>Bloomberg (method 1)</v>
      </c>
      <c r="J293" s="25" t="str">
        <f t="shared" ca="1" si="185"/>
        <v>Bloomberg (method 1)</v>
      </c>
      <c r="K293" s="25" t="str">
        <f t="shared" ca="1" si="185"/>
        <v>Bloomberg (method 1)</v>
      </c>
      <c r="L293" s="25" t="str">
        <f t="shared" ca="1" si="185"/>
        <v>Bloomberg (method 1)</v>
      </c>
      <c r="M293" s="25" t="str">
        <f t="shared" si="185"/>
        <v>…</v>
      </c>
      <c r="N293" s="25" t="str">
        <f t="shared" si="185"/>
        <v>…</v>
      </c>
      <c r="O293" s="25" t="str">
        <f t="shared" si="185"/>
        <v>…</v>
      </c>
      <c r="P293" s="25" t="str">
        <f t="shared" si="185"/>
        <v>…</v>
      </c>
      <c r="Q293" s="25" t="str">
        <f t="shared" si="185"/>
        <v>…</v>
      </c>
      <c r="R293" s="25" t="str">
        <f t="shared" si="185"/>
        <v>…</v>
      </c>
      <c r="S293" s="25" t="str">
        <f t="shared" si="185"/>
        <v>…</v>
      </c>
      <c r="T293" s="25" t="str">
        <f t="shared" si="185"/>
        <v>…</v>
      </c>
      <c r="U293" s="25" t="str">
        <f t="shared" si="185"/>
        <v>…</v>
      </c>
      <c r="V293" s="25" t="str">
        <f t="shared" si="185"/>
        <v>…</v>
      </c>
      <c r="W293" s="25" t="str">
        <f t="shared" si="185"/>
        <v>…</v>
      </c>
      <c r="X293" s="25" t="str">
        <f t="shared" si="185"/>
        <v>…</v>
      </c>
      <c r="Y293" s="25" t="str">
        <f t="shared" si="185"/>
        <v>…</v>
      </c>
      <c r="Z293" s="25"/>
      <c r="AA293" s="25"/>
      <c r="AB293" s="5"/>
      <c r="AC293" s="5"/>
      <c r="AD293" s="25" t="s">
        <v>307</v>
      </c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25"/>
      <c r="AZ293" s="5"/>
      <c r="BK293" s="22"/>
      <c r="BL293" s="23"/>
      <c r="BM293" s="22"/>
      <c r="BN293" s="22"/>
      <c r="BO293" s="22"/>
      <c r="BP293" s="22"/>
      <c r="BQ293" s="22"/>
      <c r="BR293" s="24"/>
    </row>
    <row r="294" spans="1:71" hidden="1" outlineLevel="1">
      <c r="C294" s="43" t="s">
        <v>161</v>
      </c>
      <c r="D294" s="25" t="str">
        <f t="shared" ref="D294:V294" ca="1" si="186">IF(D$8="A",D378,IF(D$8="L","…","…"))</f>
        <v>…</v>
      </c>
      <c r="E294" s="25" t="str">
        <f t="shared" ca="1" si="186"/>
        <v>…</v>
      </c>
      <c r="F294" s="25" t="str">
        <f t="shared" ca="1" si="186"/>
        <v>…</v>
      </c>
      <c r="G294" s="25" t="str">
        <f t="shared" ca="1" si="186"/>
        <v>…</v>
      </c>
      <c r="H294" s="25" t="str">
        <f t="shared" ca="1" si="186"/>
        <v>…</v>
      </c>
      <c r="I294" s="25" t="str">
        <f t="shared" ca="1" si="186"/>
        <v>…</v>
      </c>
      <c r="J294" s="25" t="str">
        <f t="shared" ca="1" si="186"/>
        <v>…</v>
      </c>
      <c r="K294" s="25" t="str">
        <f t="shared" ca="1" si="186"/>
        <v>…</v>
      </c>
      <c r="L294" s="25" t="str">
        <f t="shared" ca="1" si="186"/>
        <v>…</v>
      </c>
      <c r="M294" s="25">
        <f t="shared" si="186"/>
        <v>242.167</v>
      </c>
      <c r="N294" s="25">
        <f t="shared" si="186"/>
        <v>265.262</v>
      </c>
      <c r="O294" s="25">
        <f t="shared" si="186"/>
        <v>307.81</v>
      </c>
      <c r="P294" s="25">
        <f t="shared" si="186"/>
        <v>354.39400000000001</v>
      </c>
      <c r="Q294" s="25">
        <f t="shared" si="186"/>
        <v>440.45600000000002</v>
      </c>
      <c r="R294" s="25">
        <f t="shared" si="186"/>
        <v>645.79700000000003</v>
      </c>
      <c r="S294" s="25">
        <f t="shared" si="186"/>
        <v>837.93799999999999</v>
      </c>
      <c r="T294" s="25">
        <f t="shared" si="186"/>
        <v>979.29</v>
      </c>
      <c r="U294" s="25">
        <f t="shared" si="186"/>
        <v>1138.173</v>
      </c>
      <c r="V294" s="25" t="str">
        <f t="shared" si="186"/>
        <v>…</v>
      </c>
      <c r="W294" s="25" t="str">
        <f>IF(W$8="A",W378,IF(W$8="L","…","…"))</f>
        <v>…</v>
      </c>
      <c r="X294" s="25" t="str">
        <f>IF(X$8="A",X378,IF(X$8="L","…","…"))</f>
        <v>…</v>
      </c>
      <c r="Y294" s="25" t="str">
        <f>IF(Y$8="A",Y378,IF(Y$8="L","…","…"))</f>
        <v>…</v>
      </c>
      <c r="Z294" s="25"/>
      <c r="AA294" s="25"/>
      <c r="AB294" s="5"/>
      <c r="AC294" s="5"/>
      <c r="AD294" s="25" t="s">
        <v>307</v>
      </c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25"/>
      <c r="AZ294" s="5"/>
      <c r="BK294" s="22"/>
      <c r="BL294" s="23"/>
      <c r="BM294" s="22"/>
      <c r="BN294" s="22"/>
      <c r="BO294" s="22"/>
      <c r="BP294" s="22"/>
      <c r="BQ294" s="22"/>
      <c r="BR294" s="24"/>
    </row>
    <row r="295" spans="1:71" hidden="1" outlineLevel="1"/>
    <row r="296" spans="1:71" hidden="1" outlineLevel="1">
      <c r="C296" s="43"/>
      <c r="D296" s="34"/>
      <c r="E296" s="34"/>
      <c r="F296" s="34"/>
      <c r="G296" s="34"/>
      <c r="H296" s="34"/>
      <c r="I296" s="3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25"/>
      <c r="AC296" s="2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4"/>
      <c r="AZ296" s="5"/>
      <c r="BK296" s="22"/>
      <c r="BL296" s="23"/>
      <c r="BM296" s="22"/>
      <c r="BN296" s="22"/>
      <c r="BO296" s="22"/>
      <c r="BP296" s="22"/>
      <c r="BQ296" s="22"/>
      <c r="BR296" s="24"/>
    </row>
    <row r="297" spans="1:71" s="33" customFormat="1" hidden="1" outlineLevel="1">
      <c r="A297" s="5"/>
      <c r="B297" s="5"/>
      <c r="C297" s="5" t="s">
        <v>326</v>
      </c>
      <c r="D297" s="25" t="str">
        <f t="shared" ref="D297:Y297" ca="1" si="187">IF(D$8="A",IF(D11="no","…",SUM(D298:D304)),IF(D$8="L",C297,"…"))</f>
        <v>Total Non-operating Assets</v>
      </c>
      <c r="E297" s="25" t="str">
        <f t="shared" ca="1" si="187"/>
        <v>Total Non-operating Assets</v>
      </c>
      <c r="F297" s="25" t="str">
        <f t="shared" ca="1" si="187"/>
        <v>Total Non-operating Assets</v>
      </c>
      <c r="G297" s="25" t="str">
        <f t="shared" ca="1" si="187"/>
        <v>Total Non-operating Assets</v>
      </c>
      <c r="H297" s="25" t="str">
        <f t="shared" ca="1" si="187"/>
        <v>Total Non-operating Assets</v>
      </c>
      <c r="I297" s="25" t="str">
        <f t="shared" ca="1" si="187"/>
        <v>Total Non-operating Assets</v>
      </c>
      <c r="J297" s="25" t="str">
        <f t="shared" ca="1" si="187"/>
        <v>Total Non-operating Assets</v>
      </c>
      <c r="K297" s="25" t="str">
        <f t="shared" ca="1" si="187"/>
        <v>Total Non-operating Assets</v>
      </c>
      <c r="L297" s="25" t="str">
        <f t="shared" ca="1" si="187"/>
        <v>Total Non-operating Assets</v>
      </c>
      <c r="M297" s="25">
        <f t="shared" si="187"/>
        <v>79.454000000000008</v>
      </c>
      <c r="N297" s="25">
        <f t="shared" si="187"/>
        <v>159.14699999999999</v>
      </c>
      <c r="O297" s="25">
        <f t="shared" si="187"/>
        <v>134.458</v>
      </c>
      <c r="P297" s="25">
        <f t="shared" si="187"/>
        <v>153.292</v>
      </c>
      <c r="Q297" s="25">
        <f t="shared" si="187"/>
        <v>124.12899999999999</v>
      </c>
      <c r="R297" s="25">
        <f t="shared" si="187"/>
        <v>92.878</v>
      </c>
      <c r="S297" s="25">
        <f t="shared" si="187"/>
        <v>112.399</v>
      </c>
      <c r="T297" s="25">
        <f t="shared" si="187"/>
        <v>195.06200000000001</v>
      </c>
      <c r="U297" s="25">
        <f t="shared" si="187"/>
        <v>223.26600000000002</v>
      </c>
      <c r="V297" s="25" t="str">
        <f t="shared" si="187"/>
        <v>…</v>
      </c>
      <c r="W297" s="25" t="str">
        <f t="shared" si="187"/>
        <v>…</v>
      </c>
      <c r="X297" s="25" t="str">
        <f t="shared" si="187"/>
        <v>…</v>
      </c>
      <c r="Y297" s="25" t="str">
        <f t="shared" si="187"/>
        <v>…</v>
      </c>
      <c r="Z297" s="25"/>
      <c r="AA297" s="25"/>
      <c r="AB297" s="20"/>
      <c r="AC297" s="20"/>
      <c r="AD297" s="5"/>
      <c r="AE297" s="5"/>
      <c r="AF297" s="5"/>
      <c r="AG297" s="5"/>
      <c r="AH297" s="5"/>
      <c r="AI297" s="20"/>
      <c r="AJ297" s="20"/>
      <c r="AK297" s="20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25"/>
      <c r="AZ297" s="5"/>
      <c r="BA297" s="5"/>
      <c r="BB297" s="5"/>
      <c r="BD297" s="5"/>
      <c r="BE297" s="5"/>
      <c r="BF297" s="5"/>
      <c r="BG297" s="5"/>
      <c r="BH297" s="5"/>
      <c r="BI297" s="5"/>
      <c r="BJ297" s="24"/>
      <c r="BK297" s="22"/>
      <c r="BL297" s="23"/>
      <c r="BM297" s="22"/>
      <c r="BN297" s="22"/>
      <c r="BO297" s="22"/>
      <c r="BP297" s="22"/>
      <c r="BQ297" s="22"/>
      <c r="BR297" s="24"/>
      <c r="BS297" s="5"/>
    </row>
    <row r="298" spans="1:71" s="33" customFormat="1" hidden="1" outlineLevel="1">
      <c r="A298" s="5"/>
      <c r="B298" s="5"/>
      <c r="C298" s="40" t="str">
        <f>C428</f>
        <v>Short-term investments</v>
      </c>
      <c r="D298" s="47" t="str">
        <f t="shared" ref="D298:Y298" ca="1" si="188">IF(D$8="A",D428,IF(D$8="L",C298,"…"))</f>
        <v>Short-term investments</v>
      </c>
      <c r="E298" s="47" t="str">
        <f t="shared" ca="1" si="188"/>
        <v>Short-term investments</v>
      </c>
      <c r="F298" s="47" t="str">
        <f t="shared" ca="1" si="188"/>
        <v>Short-term investments</v>
      </c>
      <c r="G298" s="47" t="str">
        <f t="shared" ca="1" si="188"/>
        <v>Short-term investments</v>
      </c>
      <c r="H298" s="47" t="str">
        <f t="shared" ca="1" si="188"/>
        <v>Short-term investments</v>
      </c>
      <c r="I298" s="47" t="str">
        <f t="shared" ca="1" si="188"/>
        <v>Short-term investments</v>
      </c>
      <c r="J298" s="58" t="str">
        <f t="shared" ca="1" si="188"/>
        <v>Short-term investments</v>
      </c>
      <c r="K298" s="58" t="str">
        <f t="shared" ca="1" si="188"/>
        <v>Short-term investments</v>
      </c>
      <c r="L298" s="58" t="str">
        <f t="shared" ca="1" si="188"/>
        <v>Short-term investments</v>
      </c>
      <c r="M298" s="58">
        <f t="shared" si="188"/>
        <v>0</v>
      </c>
      <c r="N298" s="58">
        <f t="shared" si="188"/>
        <v>0</v>
      </c>
      <c r="O298" s="58">
        <f t="shared" si="188"/>
        <v>0</v>
      </c>
      <c r="P298" s="58">
        <f t="shared" si="188"/>
        <v>0</v>
      </c>
      <c r="Q298" s="58">
        <f t="shared" si="188"/>
        <v>0</v>
      </c>
      <c r="R298" s="58">
        <f t="shared" si="188"/>
        <v>0</v>
      </c>
      <c r="S298" s="58">
        <f t="shared" si="188"/>
        <v>0</v>
      </c>
      <c r="T298" s="58">
        <f t="shared" si="188"/>
        <v>0</v>
      </c>
      <c r="U298" s="58">
        <f t="shared" si="188"/>
        <v>0</v>
      </c>
      <c r="V298" s="58" t="str">
        <f t="shared" si="188"/>
        <v>…</v>
      </c>
      <c r="W298" s="58" t="str">
        <f t="shared" si="188"/>
        <v>…</v>
      </c>
      <c r="X298" s="58" t="str">
        <f t="shared" si="188"/>
        <v>…</v>
      </c>
      <c r="Y298" s="58" t="str">
        <f t="shared" si="188"/>
        <v>…</v>
      </c>
      <c r="Z298" s="58"/>
      <c r="AA298" s="58"/>
      <c r="AB298" s="20"/>
      <c r="AC298" s="20"/>
      <c r="AD298" s="5"/>
      <c r="AE298" s="5"/>
      <c r="AF298" s="5"/>
      <c r="AG298" s="5"/>
      <c r="AH298" s="5"/>
      <c r="AI298" s="20"/>
      <c r="AJ298" s="20"/>
      <c r="AK298" s="20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8"/>
      <c r="AZ298" s="5"/>
      <c r="BA298" s="5"/>
      <c r="BB298" s="5"/>
      <c r="BD298" s="5"/>
      <c r="BE298" s="5"/>
      <c r="BF298" s="5"/>
      <c r="BG298" s="5"/>
      <c r="BH298" s="5"/>
      <c r="BI298" s="5"/>
      <c r="BJ298" s="24"/>
      <c r="BK298" s="22"/>
      <c r="BL298" s="23"/>
      <c r="BM298" s="22"/>
      <c r="BN298" s="22"/>
      <c r="BO298" s="22"/>
      <c r="BP298" s="22"/>
      <c r="BQ298" s="22"/>
      <c r="BR298" s="24"/>
      <c r="BS298" s="5"/>
    </row>
    <row r="299" spans="1:71" s="33" customFormat="1" hidden="1" outlineLevel="1">
      <c r="A299" s="5"/>
      <c r="B299" s="5"/>
      <c r="C299" s="40" t="s">
        <v>251</v>
      </c>
      <c r="D299" s="47" t="str">
        <f t="shared" ref="D299:Y299" ca="1" si="189">IF(D$8="A",D433,IF(D$8="L",C299,"…"))</f>
        <v>Long-term Investments</v>
      </c>
      <c r="E299" s="47" t="str">
        <f t="shared" ca="1" si="189"/>
        <v>Long-term Investments</v>
      </c>
      <c r="F299" s="47" t="str">
        <f t="shared" ca="1" si="189"/>
        <v>Long-term Investments</v>
      </c>
      <c r="G299" s="47" t="str">
        <f t="shared" ca="1" si="189"/>
        <v>Long-term Investments</v>
      </c>
      <c r="H299" s="47" t="str">
        <f t="shared" ca="1" si="189"/>
        <v>Long-term Investments</v>
      </c>
      <c r="I299" s="47" t="str">
        <f t="shared" ca="1" si="189"/>
        <v>Long-term Investments</v>
      </c>
      <c r="J299" s="58" t="str">
        <f t="shared" ca="1" si="189"/>
        <v>Long-term Investments</v>
      </c>
      <c r="K299" s="58" t="str">
        <f t="shared" ca="1" si="189"/>
        <v>Long-term Investments</v>
      </c>
      <c r="L299" s="58" t="str">
        <f t="shared" ca="1" si="189"/>
        <v>Long-term Investments</v>
      </c>
      <c r="M299" s="58">
        <f t="shared" si="189"/>
        <v>37.911000000000001</v>
      </c>
      <c r="N299" s="58">
        <f t="shared" si="189"/>
        <v>47.430999999999997</v>
      </c>
      <c r="O299" s="58">
        <f t="shared" si="189"/>
        <v>11.836</v>
      </c>
      <c r="P299" s="58">
        <f t="shared" si="189"/>
        <v>33.935000000000002</v>
      </c>
      <c r="Q299" s="58">
        <f t="shared" si="189"/>
        <v>30.038</v>
      </c>
      <c r="R299" s="58">
        <f t="shared" si="189"/>
        <v>32.134</v>
      </c>
      <c r="S299" s="58">
        <f t="shared" si="189"/>
        <v>38.716000000000001</v>
      </c>
      <c r="T299" s="58">
        <f t="shared" si="189"/>
        <v>42.841000000000001</v>
      </c>
      <c r="U299" s="58">
        <f t="shared" si="189"/>
        <v>54.509</v>
      </c>
      <c r="V299" s="58" t="str">
        <f t="shared" si="189"/>
        <v>…</v>
      </c>
      <c r="W299" s="58" t="str">
        <f t="shared" si="189"/>
        <v>…</v>
      </c>
      <c r="X299" s="58" t="str">
        <f t="shared" si="189"/>
        <v>…</v>
      </c>
      <c r="Y299" s="58" t="str">
        <f t="shared" si="189"/>
        <v>…</v>
      </c>
      <c r="Z299" s="58"/>
      <c r="AA299" s="58"/>
      <c r="AB299" s="20"/>
      <c r="AC299" s="20"/>
      <c r="AD299" s="5"/>
      <c r="AE299" s="5"/>
      <c r="AF299" s="5"/>
      <c r="AG299" s="5"/>
      <c r="AH299" s="5"/>
      <c r="AI299" s="20"/>
      <c r="AJ299" s="20"/>
      <c r="AK299" s="20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8"/>
      <c r="AZ299" s="5"/>
      <c r="BA299" s="5"/>
      <c r="BB299" s="5"/>
      <c r="BD299" s="5"/>
      <c r="BE299" s="5"/>
      <c r="BF299" s="5"/>
      <c r="BG299" s="5"/>
      <c r="BH299" s="5"/>
      <c r="BI299" s="5"/>
      <c r="BJ299" s="24"/>
      <c r="BK299" s="22"/>
      <c r="BL299" s="23"/>
      <c r="BM299" s="22"/>
      <c r="BN299" s="22"/>
      <c r="BO299" s="22"/>
      <c r="BP299" s="22"/>
      <c r="BQ299" s="22"/>
      <c r="BR299" s="24"/>
      <c r="BS299" s="5"/>
    </row>
    <row r="300" spans="1:71" s="33" customFormat="1" hidden="1" outlineLevel="1">
      <c r="A300" s="5"/>
      <c r="B300" s="5"/>
      <c r="C300" s="40" t="s">
        <v>258</v>
      </c>
      <c r="D300" s="47" t="str">
        <f t="shared" ref="D300:Y300" ca="1" si="190">IF(D$8="A",D409,IF(D$8="L",C300,"…"))</f>
        <v>Deferred Tax Asset</v>
      </c>
      <c r="E300" s="47" t="str">
        <f t="shared" ca="1" si="190"/>
        <v>Deferred Tax Asset</v>
      </c>
      <c r="F300" s="47" t="str">
        <f t="shared" ca="1" si="190"/>
        <v>Deferred Tax Asset</v>
      </c>
      <c r="G300" s="47" t="str">
        <f t="shared" ca="1" si="190"/>
        <v>Deferred Tax Asset</v>
      </c>
      <c r="H300" s="47" t="str">
        <f t="shared" ca="1" si="190"/>
        <v>Deferred Tax Asset</v>
      </c>
      <c r="I300" s="47" t="str">
        <f t="shared" ca="1" si="190"/>
        <v>Deferred Tax Asset</v>
      </c>
      <c r="J300" s="58" t="str">
        <f t="shared" ca="1" si="190"/>
        <v>Deferred Tax Asset</v>
      </c>
      <c r="K300" s="58" t="str">
        <f t="shared" ca="1" si="190"/>
        <v>Deferred Tax Asset</v>
      </c>
      <c r="L300" s="58" t="str">
        <f t="shared" ca="1" si="190"/>
        <v>Deferred Tax Asset</v>
      </c>
      <c r="M300" s="58">
        <f t="shared" si="190"/>
        <v>41.542999999999999</v>
      </c>
      <c r="N300" s="58">
        <f t="shared" si="190"/>
        <v>111.71599999999999</v>
      </c>
      <c r="O300" s="58">
        <f t="shared" si="190"/>
        <v>122.622</v>
      </c>
      <c r="P300" s="58">
        <f t="shared" si="190"/>
        <v>119.357</v>
      </c>
      <c r="Q300" s="58">
        <f t="shared" si="190"/>
        <v>94.090999999999994</v>
      </c>
      <c r="R300" s="58">
        <f t="shared" si="190"/>
        <v>60.744</v>
      </c>
      <c r="S300" s="58">
        <f t="shared" si="190"/>
        <v>73.683000000000007</v>
      </c>
      <c r="T300" s="58">
        <f t="shared" si="190"/>
        <v>152.221</v>
      </c>
      <c r="U300" s="58">
        <f t="shared" si="190"/>
        <v>168.75700000000001</v>
      </c>
      <c r="V300" s="58" t="str">
        <f t="shared" si="190"/>
        <v>…</v>
      </c>
      <c r="W300" s="58" t="str">
        <f t="shared" si="190"/>
        <v>…</v>
      </c>
      <c r="X300" s="58" t="str">
        <f t="shared" si="190"/>
        <v>…</v>
      </c>
      <c r="Y300" s="58" t="str">
        <f t="shared" si="190"/>
        <v>…</v>
      </c>
      <c r="Z300" s="58"/>
      <c r="AA300" s="58"/>
      <c r="AB300" s="20"/>
      <c r="AC300" s="20"/>
      <c r="AD300" s="5"/>
      <c r="AE300" s="5"/>
      <c r="AF300" s="5"/>
      <c r="AG300" s="5"/>
      <c r="AH300" s="5"/>
      <c r="AI300" s="20"/>
      <c r="AJ300" s="20"/>
      <c r="AK300" s="20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8"/>
      <c r="AZ300" s="5"/>
      <c r="BA300" s="5"/>
      <c r="BB300" s="5"/>
      <c r="BD300" s="5"/>
      <c r="BE300" s="5"/>
      <c r="BF300" s="5"/>
      <c r="BG300" s="5"/>
      <c r="BH300" s="5"/>
      <c r="BI300" s="5"/>
      <c r="BJ300" s="24"/>
      <c r="BK300" s="22"/>
      <c r="BL300" s="23"/>
      <c r="BM300" s="22"/>
      <c r="BN300" s="22"/>
      <c r="BO300" s="22"/>
      <c r="BP300" s="22"/>
      <c r="BQ300" s="22"/>
      <c r="BR300" s="24"/>
      <c r="BS300" s="5"/>
    </row>
    <row r="301" spans="1:71" s="33" customFormat="1" hidden="1" outlineLevel="1">
      <c r="A301" s="5"/>
      <c r="B301" s="5"/>
      <c r="C301" s="40" t="s">
        <v>261</v>
      </c>
      <c r="D301" s="47" t="str">
        <f t="shared" ref="D301:Y301" ca="1" si="191">IF(D$8="A",D412,IF(D$8="L",C301,"…"))</f>
        <v>Equity Inv., JVs &amp; Associates</v>
      </c>
      <c r="E301" s="47" t="str">
        <f t="shared" ca="1" si="191"/>
        <v>Equity Inv., JVs &amp; Associates</v>
      </c>
      <c r="F301" s="47" t="str">
        <f t="shared" ca="1" si="191"/>
        <v>Equity Inv., JVs &amp; Associates</v>
      </c>
      <c r="G301" s="47" t="str">
        <f t="shared" ca="1" si="191"/>
        <v>Equity Inv., JVs &amp; Associates</v>
      </c>
      <c r="H301" s="47" t="str">
        <f t="shared" ca="1" si="191"/>
        <v>Equity Inv., JVs &amp; Associates</v>
      </c>
      <c r="I301" s="47" t="str">
        <f t="shared" ca="1" si="191"/>
        <v>Equity Inv., JVs &amp; Associates</v>
      </c>
      <c r="J301" s="58" t="str">
        <f t="shared" ca="1" si="191"/>
        <v>Equity Inv., JVs &amp; Associates</v>
      </c>
      <c r="K301" s="58" t="str">
        <f t="shared" ca="1" si="191"/>
        <v>Equity Inv., JVs &amp; Associates</v>
      </c>
      <c r="L301" s="58" t="str">
        <f t="shared" ca="1" si="191"/>
        <v>Equity Inv., JVs &amp; Associates</v>
      </c>
      <c r="M301" s="58">
        <f t="shared" si="191"/>
        <v>0</v>
      </c>
      <c r="N301" s="58">
        <f t="shared" si="191"/>
        <v>0</v>
      </c>
      <c r="O301" s="58">
        <f t="shared" si="191"/>
        <v>0</v>
      </c>
      <c r="P301" s="58">
        <f t="shared" si="191"/>
        <v>0</v>
      </c>
      <c r="Q301" s="58">
        <f t="shared" si="191"/>
        <v>0</v>
      </c>
      <c r="R301" s="58">
        <f t="shared" si="191"/>
        <v>0</v>
      </c>
      <c r="S301" s="58">
        <f t="shared" si="191"/>
        <v>0</v>
      </c>
      <c r="T301" s="58">
        <f t="shared" si="191"/>
        <v>0</v>
      </c>
      <c r="U301" s="58">
        <f t="shared" si="191"/>
        <v>0</v>
      </c>
      <c r="V301" s="58" t="str">
        <f t="shared" si="191"/>
        <v>…</v>
      </c>
      <c r="W301" s="58" t="str">
        <f t="shared" si="191"/>
        <v>…</v>
      </c>
      <c r="X301" s="58" t="str">
        <f t="shared" si="191"/>
        <v>…</v>
      </c>
      <c r="Y301" s="58" t="str">
        <f t="shared" si="191"/>
        <v>…</v>
      </c>
      <c r="Z301" s="58"/>
      <c r="AA301" s="58"/>
      <c r="AB301" s="20"/>
      <c r="AC301" s="20"/>
      <c r="AD301" s="5"/>
      <c r="AE301" s="5"/>
      <c r="AF301" s="5"/>
      <c r="AG301" s="5"/>
      <c r="AH301" s="5"/>
      <c r="AI301" s="20"/>
      <c r="AJ301" s="20"/>
      <c r="AK301" s="20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8"/>
      <c r="AZ301" s="5"/>
      <c r="BA301" s="5"/>
      <c r="BB301" s="5"/>
      <c r="BD301" s="5"/>
      <c r="BE301" s="5"/>
      <c r="BF301" s="5"/>
      <c r="BG301" s="5"/>
      <c r="BH301" s="5"/>
      <c r="BI301" s="5"/>
      <c r="BJ301" s="24"/>
      <c r="BK301" s="22"/>
      <c r="BL301" s="23"/>
      <c r="BM301" s="22"/>
      <c r="BN301" s="22"/>
      <c r="BO301" s="22"/>
      <c r="BP301" s="22"/>
      <c r="BQ301" s="22"/>
      <c r="BR301" s="24"/>
      <c r="BS301" s="5"/>
    </row>
    <row r="302" spans="1:71" s="33" customFormat="1" hidden="1" outlineLevel="1">
      <c r="A302" s="5"/>
      <c r="B302" s="5"/>
      <c r="C302" s="40" t="str">
        <f>C417</f>
        <v>Assets Held For Sale</v>
      </c>
      <c r="D302" s="47" t="str">
        <f t="shared" ref="D302:Y302" ca="1" si="192">IF(D$8="A",D417,IF(D$8="L",C302,"…"))</f>
        <v>Assets Held For Sale</v>
      </c>
      <c r="E302" s="47" t="str">
        <f t="shared" ca="1" si="192"/>
        <v>Assets Held For Sale</v>
      </c>
      <c r="F302" s="47" t="str">
        <f t="shared" ca="1" si="192"/>
        <v>Assets Held For Sale</v>
      </c>
      <c r="G302" s="47" t="str">
        <f t="shared" ca="1" si="192"/>
        <v>Assets Held For Sale</v>
      </c>
      <c r="H302" s="47" t="str">
        <f t="shared" ca="1" si="192"/>
        <v>Assets Held For Sale</v>
      </c>
      <c r="I302" s="47" t="str">
        <f t="shared" ca="1" si="192"/>
        <v>Assets Held For Sale</v>
      </c>
      <c r="J302" s="58" t="str">
        <f t="shared" ca="1" si="192"/>
        <v>Assets Held For Sale</v>
      </c>
      <c r="K302" s="58" t="str">
        <f t="shared" ca="1" si="192"/>
        <v>Assets Held For Sale</v>
      </c>
      <c r="L302" s="58" t="str">
        <f t="shared" ca="1" si="192"/>
        <v>Assets Held For Sale</v>
      </c>
      <c r="M302" s="58">
        <f t="shared" si="192"/>
        <v>0</v>
      </c>
      <c r="N302" s="58">
        <f t="shared" si="192"/>
        <v>0</v>
      </c>
      <c r="O302" s="58">
        <f t="shared" si="192"/>
        <v>0</v>
      </c>
      <c r="P302" s="58">
        <f t="shared" si="192"/>
        <v>0</v>
      </c>
      <c r="Q302" s="58">
        <f t="shared" si="192"/>
        <v>0</v>
      </c>
      <c r="R302" s="58">
        <f t="shared" si="192"/>
        <v>0</v>
      </c>
      <c r="S302" s="58">
        <f t="shared" si="192"/>
        <v>0</v>
      </c>
      <c r="T302" s="58">
        <f t="shared" si="192"/>
        <v>0</v>
      </c>
      <c r="U302" s="58">
        <f t="shared" si="192"/>
        <v>0</v>
      </c>
      <c r="V302" s="58" t="str">
        <f t="shared" si="192"/>
        <v>…</v>
      </c>
      <c r="W302" s="58" t="str">
        <f t="shared" si="192"/>
        <v>…</v>
      </c>
      <c r="X302" s="58" t="str">
        <f t="shared" si="192"/>
        <v>…</v>
      </c>
      <c r="Y302" s="58" t="str">
        <f t="shared" si="192"/>
        <v>…</v>
      </c>
      <c r="Z302" s="58"/>
      <c r="AA302" s="58"/>
      <c r="AB302" s="20"/>
      <c r="AC302" s="20"/>
      <c r="AD302" s="5"/>
      <c r="AE302" s="5"/>
      <c r="AF302" s="5"/>
      <c r="AG302" s="5"/>
      <c r="AH302" s="5"/>
      <c r="AI302" s="20"/>
      <c r="AJ302" s="20"/>
      <c r="AK302" s="20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8"/>
      <c r="AZ302" s="5"/>
      <c r="BA302" s="5"/>
      <c r="BB302" s="5"/>
      <c r="BD302" s="5"/>
      <c r="BE302" s="5"/>
      <c r="BF302" s="5"/>
      <c r="BG302" s="5"/>
      <c r="BH302" s="5"/>
      <c r="BI302" s="5"/>
      <c r="BJ302" s="24"/>
      <c r="BK302" s="22"/>
      <c r="BL302" s="23"/>
      <c r="BM302" s="22"/>
      <c r="BN302" s="22"/>
      <c r="BO302" s="22"/>
      <c r="BP302" s="22"/>
      <c r="BQ302" s="22"/>
      <c r="BR302" s="24"/>
      <c r="BS302" s="5"/>
    </row>
    <row r="303" spans="1:71" s="33" customFormat="1" hidden="1" outlineLevel="1">
      <c r="A303" s="5"/>
      <c r="B303" s="5"/>
      <c r="C303" s="40" t="s">
        <v>208</v>
      </c>
      <c r="D303" s="47" t="str">
        <f t="shared" ref="D303:Y303" ca="1" si="193">IF(D$8="A",D420,IF(D$8="L",C303,"…"))</f>
        <v>Pension Assets</v>
      </c>
      <c r="E303" s="47" t="str">
        <f t="shared" ca="1" si="193"/>
        <v>Pension Assets</v>
      </c>
      <c r="F303" s="47" t="str">
        <f t="shared" ca="1" si="193"/>
        <v>Pension Assets</v>
      </c>
      <c r="G303" s="47" t="str">
        <f t="shared" ca="1" si="193"/>
        <v>Pension Assets</v>
      </c>
      <c r="H303" s="47" t="str">
        <f t="shared" ca="1" si="193"/>
        <v>Pension Assets</v>
      </c>
      <c r="I303" s="47" t="str">
        <f t="shared" ca="1" si="193"/>
        <v>Pension Assets</v>
      </c>
      <c r="J303" s="58" t="str">
        <f t="shared" ca="1" si="193"/>
        <v>Pension Assets</v>
      </c>
      <c r="K303" s="58" t="str">
        <f t="shared" ca="1" si="193"/>
        <v>Pension Assets</v>
      </c>
      <c r="L303" s="58" t="str">
        <f t="shared" ca="1" si="193"/>
        <v>Pension Assets</v>
      </c>
      <c r="M303" s="58">
        <f t="shared" si="193"/>
        <v>0</v>
      </c>
      <c r="N303" s="58">
        <f t="shared" si="193"/>
        <v>0</v>
      </c>
      <c r="O303" s="58">
        <f t="shared" si="193"/>
        <v>0</v>
      </c>
      <c r="P303" s="58">
        <f t="shared" si="193"/>
        <v>0</v>
      </c>
      <c r="Q303" s="58">
        <f t="shared" si="193"/>
        <v>0</v>
      </c>
      <c r="R303" s="58">
        <f t="shared" si="193"/>
        <v>0</v>
      </c>
      <c r="S303" s="58">
        <f t="shared" si="193"/>
        <v>0</v>
      </c>
      <c r="T303" s="58">
        <f t="shared" si="193"/>
        <v>0</v>
      </c>
      <c r="U303" s="58">
        <f t="shared" si="193"/>
        <v>0</v>
      </c>
      <c r="V303" s="58" t="str">
        <f t="shared" si="193"/>
        <v>…</v>
      </c>
      <c r="W303" s="58" t="str">
        <f t="shared" si="193"/>
        <v>…</v>
      </c>
      <c r="X303" s="58" t="str">
        <f t="shared" si="193"/>
        <v>…</v>
      </c>
      <c r="Y303" s="58" t="str">
        <f t="shared" si="193"/>
        <v>…</v>
      </c>
      <c r="Z303" s="58"/>
      <c r="AA303" s="58"/>
      <c r="AB303" s="20"/>
      <c r="AC303" s="20"/>
      <c r="AD303" s="5"/>
      <c r="AE303" s="5"/>
      <c r="AF303" s="5"/>
      <c r="AG303" s="5"/>
      <c r="AH303" s="5"/>
      <c r="AI303" s="20"/>
      <c r="AJ303" s="20"/>
      <c r="AK303" s="20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8"/>
      <c r="AZ303" s="5"/>
      <c r="BA303" s="5"/>
      <c r="BB303" s="5"/>
      <c r="BD303" s="5"/>
      <c r="BE303" s="5"/>
      <c r="BF303" s="5"/>
      <c r="BG303" s="5"/>
      <c r="BH303" s="5"/>
      <c r="BI303" s="5"/>
      <c r="BJ303" s="24"/>
      <c r="BK303" s="22"/>
      <c r="BL303" s="23"/>
      <c r="BM303" s="22"/>
      <c r="BN303" s="22"/>
      <c r="BO303" s="22"/>
      <c r="BP303" s="22"/>
      <c r="BQ303" s="22"/>
      <c r="BR303" s="24"/>
      <c r="BS303" s="5"/>
    </row>
    <row r="304" spans="1:71" s="33" customFormat="1" hidden="1" outlineLevel="1">
      <c r="A304" s="5"/>
      <c r="B304" s="5"/>
      <c r="C304" s="40" t="s">
        <v>209</v>
      </c>
      <c r="D304" s="47" t="str">
        <f t="shared" ref="D304:Y304" ca="1" si="194">IF(D$8="A",D423,IF(D$8="L",C304,"…"))</f>
        <v>Other Non-Operating Assets</v>
      </c>
      <c r="E304" s="47" t="str">
        <f t="shared" ca="1" si="194"/>
        <v>Other Non-Operating Assets</v>
      </c>
      <c r="F304" s="47" t="str">
        <f t="shared" ca="1" si="194"/>
        <v>Other Non-Operating Assets</v>
      </c>
      <c r="G304" s="47" t="str">
        <f t="shared" ca="1" si="194"/>
        <v>Other Non-Operating Assets</v>
      </c>
      <c r="H304" s="47" t="str">
        <f t="shared" ca="1" si="194"/>
        <v>Other Non-Operating Assets</v>
      </c>
      <c r="I304" s="47" t="str">
        <f t="shared" ca="1" si="194"/>
        <v>Other Non-Operating Assets</v>
      </c>
      <c r="J304" s="58" t="str">
        <f t="shared" ca="1" si="194"/>
        <v>Other Non-Operating Assets</v>
      </c>
      <c r="K304" s="58" t="str">
        <f t="shared" ca="1" si="194"/>
        <v>Other Non-Operating Assets</v>
      </c>
      <c r="L304" s="58" t="str">
        <f t="shared" ca="1" si="194"/>
        <v>Other Non-Operating Assets</v>
      </c>
      <c r="M304" s="58">
        <f t="shared" si="194"/>
        <v>0</v>
      </c>
      <c r="N304" s="58">
        <f t="shared" si="194"/>
        <v>0</v>
      </c>
      <c r="O304" s="58">
        <f t="shared" si="194"/>
        <v>0</v>
      </c>
      <c r="P304" s="58">
        <f t="shared" si="194"/>
        <v>0</v>
      </c>
      <c r="Q304" s="58">
        <f t="shared" si="194"/>
        <v>0</v>
      </c>
      <c r="R304" s="58">
        <f t="shared" si="194"/>
        <v>0</v>
      </c>
      <c r="S304" s="58">
        <f t="shared" si="194"/>
        <v>0</v>
      </c>
      <c r="T304" s="58">
        <f t="shared" si="194"/>
        <v>0</v>
      </c>
      <c r="U304" s="58">
        <f t="shared" si="194"/>
        <v>0</v>
      </c>
      <c r="V304" s="58" t="str">
        <f t="shared" si="194"/>
        <v>…</v>
      </c>
      <c r="W304" s="58" t="str">
        <f t="shared" si="194"/>
        <v>…</v>
      </c>
      <c r="X304" s="58" t="str">
        <f t="shared" si="194"/>
        <v>…</v>
      </c>
      <c r="Y304" s="58" t="str">
        <f t="shared" si="194"/>
        <v>…</v>
      </c>
      <c r="Z304" s="58"/>
      <c r="AA304" s="58"/>
      <c r="AB304" s="20"/>
      <c r="AC304" s="20"/>
      <c r="AD304" s="5"/>
      <c r="AE304" s="5"/>
      <c r="AF304" s="5"/>
      <c r="AG304" s="5"/>
      <c r="AH304" s="5"/>
      <c r="AI304" s="20"/>
      <c r="AJ304" s="20"/>
      <c r="AK304" s="20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8"/>
      <c r="AZ304" s="5"/>
      <c r="BA304" s="5"/>
      <c r="BB304" s="5"/>
      <c r="BD304" s="5"/>
      <c r="BE304" s="5"/>
      <c r="BF304" s="5"/>
      <c r="BG304" s="5"/>
      <c r="BH304" s="5"/>
      <c r="BI304" s="5"/>
      <c r="BJ304" s="24"/>
      <c r="BK304" s="22"/>
      <c r="BL304" s="23"/>
      <c r="BM304" s="22"/>
      <c r="BN304" s="22"/>
      <c r="BO304" s="22"/>
      <c r="BP304" s="22"/>
      <c r="BQ304" s="22"/>
      <c r="BR304" s="24"/>
      <c r="BS304" s="5"/>
    </row>
    <row r="305" spans="1:72" s="33" customFormat="1" hidden="1" outlineLevel="1">
      <c r="A305" s="5"/>
      <c r="B305" s="5"/>
      <c r="C305" s="5"/>
      <c r="D305" s="20"/>
      <c r="E305" s="20"/>
      <c r="F305" s="20"/>
      <c r="G305" s="5"/>
      <c r="H305" s="5"/>
      <c r="I305" s="5"/>
      <c r="J305" s="5"/>
      <c r="K305" s="5"/>
      <c r="L305" s="5"/>
      <c r="M305" s="5"/>
      <c r="N305" s="5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5"/>
      <c r="AE305" s="5"/>
      <c r="AF305" s="5"/>
      <c r="AG305" s="5"/>
      <c r="AH305" s="5"/>
      <c r="AI305" s="20"/>
      <c r="AJ305" s="20"/>
      <c r="AK305" s="20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20"/>
      <c r="AZ305" s="5"/>
      <c r="BA305" s="5"/>
      <c r="BB305" s="5"/>
      <c r="BD305" s="5"/>
      <c r="BE305" s="5"/>
      <c r="BF305" s="5"/>
      <c r="BG305" s="5"/>
      <c r="BH305" s="5"/>
      <c r="BI305" s="5"/>
      <c r="BJ305" s="24"/>
      <c r="BK305" s="22"/>
      <c r="BL305" s="23"/>
      <c r="BM305" s="22"/>
      <c r="BN305" s="22"/>
      <c r="BO305" s="22"/>
      <c r="BP305" s="22"/>
      <c r="BQ305" s="22"/>
      <c r="BR305" s="24"/>
      <c r="BS305" s="5"/>
    </row>
    <row r="306" spans="1:72" hidden="1" outlineLevel="1"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Z306" s="5"/>
      <c r="BK306" s="23"/>
      <c r="BL306" s="23"/>
      <c r="BM306" s="23"/>
      <c r="BN306" s="23"/>
      <c r="BO306" s="23"/>
      <c r="BP306" s="23"/>
      <c r="BQ306" s="23"/>
      <c r="BR306" s="33"/>
    </row>
    <row r="307" spans="1:72" hidden="1" outlineLevel="1">
      <c r="C307" s="5" t="s">
        <v>335</v>
      </c>
      <c r="D307" s="47" t="str">
        <f t="shared" ref="D307:V307" ca="1" si="195">IF(D$8="A",D357,IF(D$8="L","…","…"))</f>
        <v>…</v>
      </c>
      <c r="E307" s="47" t="str">
        <f t="shared" ca="1" si="195"/>
        <v>…</v>
      </c>
      <c r="F307" s="47" t="str">
        <f t="shared" ca="1" si="195"/>
        <v>…</v>
      </c>
      <c r="G307" s="47" t="str">
        <f t="shared" ca="1" si="195"/>
        <v>…</v>
      </c>
      <c r="H307" s="47" t="str">
        <f t="shared" ca="1" si="195"/>
        <v>…</v>
      </c>
      <c r="I307" s="47" t="str">
        <f t="shared" ca="1" si="195"/>
        <v>…</v>
      </c>
      <c r="J307" s="58" t="str">
        <f t="shared" ca="1" si="195"/>
        <v>…</v>
      </c>
      <c r="K307" s="58" t="str">
        <f t="shared" ca="1" si="195"/>
        <v>…</v>
      </c>
      <c r="L307" s="58" t="str">
        <f t="shared" ca="1" si="195"/>
        <v>…</v>
      </c>
      <c r="M307" s="58">
        <f t="shared" si="195"/>
        <v>594.34199999999987</v>
      </c>
      <c r="N307" s="58">
        <f t="shared" si="195"/>
        <v>749.31600000000003</v>
      </c>
      <c r="O307" s="58">
        <f t="shared" si="195"/>
        <v>736.06299999999999</v>
      </c>
      <c r="P307" s="58">
        <f t="shared" si="195"/>
        <v>696.12100000000009</v>
      </c>
      <c r="Q307" s="58">
        <f t="shared" si="195"/>
        <v>638.10899999999992</v>
      </c>
      <c r="R307" s="58">
        <f t="shared" si="195"/>
        <v>672.72799999999995</v>
      </c>
      <c r="S307" s="58">
        <f t="shared" si="195"/>
        <v>733.43600000000004</v>
      </c>
      <c r="T307" s="58">
        <f t="shared" si="195"/>
        <v>731.84199999999998</v>
      </c>
      <c r="U307" s="58">
        <f t="shared" si="195"/>
        <v>947.26200000000006</v>
      </c>
      <c r="V307" s="58" t="str">
        <f t="shared" si="195"/>
        <v>…</v>
      </c>
      <c r="W307" s="58" t="str">
        <f>IF(W$8="A",W357,IF(W$8="L","…","…"))</f>
        <v>…</v>
      </c>
      <c r="X307" s="58" t="str">
        <f>IF(X$8="A",X357,IF(X$8="L","…","…"))</f>
        <v>…</v>
      </c>
      <c r="Y307" s="58" t="str">
        <f>IF(Y$8="A",Y357,IF(Y$8="L","…","…"))</f>
        <v>…</v>
      </c>
      <c r="Z307" s="58"/>
      <c r="AA307" s="58"/>
      <c r="AB307" s="5"/>
      <c r="AC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8"/>
      <c r="AZ307" s="5"/>
    </row>
    <row r="308" spans="1:72" hidden="1" outlineLevel="1">
      <c r="C308" s="44" t="s">
        <v>336</v>
      </c>
      <c r="D308" s="47" t="str">
        <f t="shared" ref="D308:V308" ca="1" si="196">IF(D$8="A",D348,IF(D$8="L","…","…"))</f>
        <v>…</v>
      </c>
      <c r="E308" s="47" t="str">
        <f t="shared" ca="1" si="196"/>
        <v>…</v>
      </c>
      <c r="F308" s="47" t="str">
        <f t="shared" ca="1" si="196"/>
        <v>…</v>
      </c>
      <c r="G308" s="47" t="str">
        <f t="shared" ca="1" si="196"/>
        <v>…</v>
      </c>
      <c r="H308" s="47" t="str">
        <f t="shared" ca="1" si="196"/>
        <v>…</v>
      </c>
      <c r="I308" s="47" t="str">
        <f t="shared" ca="1" si="196"/>
        <v>…</v>
      </c>
      <c r="J308" s="58" t="str">
        <f t="shared" ca="1" si="196"/>
        <v>…</v>
      </c>
      <c r="K308" s="58" t="str">
        <f t="shared" ca="1" si="196"/>
        <v>…</v>
      </c>
      <c r="L308" s="58" t="str">
        <f t="shared" ca="1" si="196"/>
        <v>…</v>
      </c>
      <c r="M308" s="58">
        <f t="shared" si="196"/>
        <v>891.12699999999995</v>
      </c>
      <c r="N308" s="58">
        <f t="shared" si="196"/>
        <v>1240.636</v>
      </c>
      <c r="O308" s="58">
        <f t="shared" si="196"/>
        <v>1655.472</v>
      </c>
      <c r="P308" s="58">
        <f t="shared" si="196"/>
        <v>1095.9970000000001</v>
      </c>
      <c r="Q308" s="58">
        <f t="shared" si="196"/>
        <v>944.14</v>
      </c>
      <c r="R308" s="58">
        <f t="shared" si="196"/>
        <v>1025.1369999999999</v>
      </c>
      <c r="S308" s="58">
        <f t="shared" si="196"/>
        <v>1154.759</v>
      </c>
      <c r="T308" s="58">
        <f t="shared" si="196"/>
        <v>1621.07</v>
      </c>
      <c r="U308" s="58">
        <f t="shared" si="196"/>
        <v>1463.3810000000001</v>
      </c>
      <c r="V308" s="58" t="str">
        <f t="shared" si="196"/>
        <v>…</v>
      </c>
      <c r="W308" s="58" t="str">
        <f>IF(W$8="A",W348,IF(W$8="L","…","…"))</f>
        <v>…</v>
      </c>
      <c r="X308" s="58" t="str">
        <f>IF(X$8="A",X348,IF(X$8="L","…","…"))</f>
        <v>…</v>
      </c>
      <c r="Y308" s="58" t="str">
        <f>IF(Y$8="A",Y348,IF(Y$8="L","…","…"))</f>
        <v>…</v>
      </c>
      <c r="Z308" s="58"/>
      <c r="AA308" s="58"/>
      <c r="AB308" s="5"/>
      <c r="AC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8"/>
      <c r="AZ308" s="5"/>
    </row>
    <row r="309" spans="1:72" hidden="1" outlineLevel="1">
      <c r="C309" s="44" t="s">
        <v>334</v>
      </c>
      <c r="D309" s="47" t="str">
        <f t="shared" ref="D309:V309" ca="1" si="197">IF(D$8="A",D351,IF(D$8="L","…","…"))</f>
        <v>…</v>
      </c>
      <c r="E309" s="47" t="str">
        <f t="shared" ca="1" si="197"/>
        <v>…</v>
      </c>
      <c r="F309" s="47" t="str">
        <f t="shared" ca="1" si="197"/>
        <v>…</v>
      </c>
      <c r="G309" s="47" t="str">
        <f t="shared" ca="1" si="197"/>
        <v>…</v>
      </c>
      <c r="H309" s="47" t="str">
        <f t="shared" ca="1" si="197"/>
        <v>…</v>
      </c>
      <c r="I309" s="47" t="str">
        <f t="shared" ca="1" si="197"/>
        <v>…</v>
      </c>
      <c r="J309" s="58" t="str">
        <f t="shared" ca="1" si="197"/>
        <v>…</v>
      </c>
      <c r="K309" s="58" t="str">
        <f t="shared" ca="1" si="197"/>
        <v>…</v>
      </c>
      <c r="L309" s="58" t="str">
        <f t="shared" ca="1" si="197"/>
        <v>…</v>
      </c>
      <c r="M309" s="58">
        <f t="shared" si="197"/>
        <v>296.78500000000003</v>
      </c>
      <c r="N309" s="58">
        <f t="shared" si="197"/>
        <v>491.32</v>
      </c>
      <c r="O309" s="58">
        <f t="shared" si="197"/>
        <v>919.40899999999999</v>
      </c>
      <c r="P309" s="58">
        <f t="shared" si="197"/>
        <v>399.87599999999998</v>
      </c>
      <c r="Q309" s="58">
        <f t="shared" si="197"/>
        <v>306.03100000000001</v>
      </c>
      <c r="R309" s="58">
        <f t="shared" si="197"/>
        <v>352.40899999999999</v>
      </c>
      <c r="S309" s="58">
        <f t="shared" si="197"/>
        <v>421.32299999999998</v>
      </c>
      <c r="T309" s="58">
        <f t="shared" si="197"/>
        <v>889.22799999999995</v>
      </c>
      <c r="U309" s="58">
        <f t="shared" si="197"/>
        <v>516.11900000000003</v>
      </c>
      <c r="V309" s="58" t="str">
        <f t="shared" si="197"/>
        <v>…</v>
      </c>
      <c r="W309" s="58" t="str">
        <f>IF(W$8="A",W351,IF(W$8="L","…","…"))</f>
        <v>…</v>
      </c>
      <c r="X309" s="58" t="str">
        <f>IF(X$8="A",X351,IF(X$8="L","…","…"))</f>
        <v>…</v>
      </c>
      <c r="Y309" s="58" t="str">
        <f>IF(Y$8="A",Y351,IF(Y$8="L","…","…"))</f>
        <v>…</v>
      </c>
      <c r="Z309" s="58"/>
      <c r="AA309" s="58"/>
      <c r="AB309" s="5"/>
      <c r="AC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8"/>
      <c r="AZ309" s="5"/>
    </row>
    <row r="310" spans="1:72" hidden="1" outlineLevel="1"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</row>
    <row r="311" spans="1:72" hidden="1" outlineLevel="1"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</row>
    <row r="312" spans="1:72" collapsed="1"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Z312" s="5"/>
      <c r="BK312" s="22"/>
      <c r="BL312" s="23"/>
      <c r="BM312" s="22"/>
      <c r="BN312" s="22"/>
      <c r="BO312" s="22"/>
      <c r="BP312" s="22"/>
      <c r="BQ312" s="22"/>
      <c r="BR312" s="24"/>
    </row>
    <row r="313" spans="1:72" ht="13.15">
      <c r="C313" s="12" t="s">
        <v>301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22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J313" s="24"/>
      <c r="BK313" s="22"/>
      <c r="BL313" s="23"/>
      <c r="BM313" s="22"/>
      <c r="BN313" s="22"/>
      <c r="BO313" s="22"/>
      <c r="BP313" s="22"/>
      <c r="BQ313" s="22"/>
      <c r="BR313" s="24"/>
      <c r="BT313" s="33"/>
    </row>
    <row r="314" spans="1:72" ht="13.15"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14"/>
      <c r="AC314" s="14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J314" s="24"/>
      <c r="BK314" s="22"/>
      <c r="BL314" s="23"/>
      <c r="BM314" s="22"/>
      <c r="BN314" s="22"/>
      <c r="BO314" s="22"/>
      <c r="BP314" s="22"/>
      <c r="BQ314" s="22"/>
      <c r="BR314" s="24"/>
      <c r="BT314" s="33"/>
    </row>
    <row r="315" spans="1:72" ht="13.15">
      <c r="C315" s="9" t="s">
        <v>299</v>
      </c>
      <c r="D315" s="25" t="str">
        <f t="shared" ref="D315:J315" si="198">IF(ISNUMBER(D316),D316,IF(ISNUMBER(D317),D317,IF(ISNUMBER(D318),D318,"…")))</f>
        <v>…</v>
      </c>
      <c r="E315" s="25" t="str">
        <f t="shared" si="198"/>
        <v>…</v>
      </c>
      <c r="F315" s="25" t="str">
        <f t="shared" si="198"/>
        <v>…</v>
      </c>
      <c r="G315" s="25" t="str">
        <f t="shared" si="198"/>
        <v>…</v>
      </c>
      <c r="H315" s="25" t="str">
        <f t="shared" si="198"/>
        <v>…</v>
      </c>
      <c r="I315" s="25" t="str">
        <f t="shared" si="198"/>
        <v>…</v>
      </c>
      <c r="J315" s="25" t="str">
        <f t="shared" si="198"/>
        <v>…</v>
      </c>
      <c r="K315" s="25" t="str">
        <f>IF(ISNUMBER(K316),K316,IF(ISNUMBER(K317),K317,IF(ISNUMBER(K318),K318,"…")))</f>
        <v>…</v>
      </c>
      <c r="L315" s="25">
        <f t="shared" ref="L315:Y315" si="199">IF(ISNUMBER(L316),L316,IF(ISNUMBER(L317),L317,IF(ISNUMBER(L318),L318,"…")))</f>
        <v>2225.2069999999999</v>
      </c>
      <c r="M315" s="25">
        <f t="shared" si="199"/>
        <v>2335.27</v>
      </c>
      <c r="N315" s="25">
        <f t="shared" si="199"/>
        <v>2762.36</v>
      </c>
      <c r="O315" s="25">
        <f t="shared" si="199"/>
        <v>2854</v>
      </c>
      <c r="P315" s="25">
        <f t="shared" si="199"/>
        <v>3105</v>
      </c>
      <c r="Q315" s="25">
        <f t="shared" si="199"/>
        <v>3417</v>
      </c>
      <c r="R315" s="25">
        <f t="shared" si="199"/>
        <v>3420</v>
      </c>
      <c r="S315" s="25">
        <f t="shared" si="199"/>
        <v>3766</v>
      </c>
      <c r="T315" s="25">
        <f t="shared" si="199"/>
        <v>3460</v>
      </c>
      <c r="U315" s="25">
        <f t="shared" si="199"/>
        <v>4271</v>
      </c>
      <c r="V315" s="25" t="str">
        <f t="shared" si="199"/>
        <v>…</v>
      </c>
      <c r="W315" s="25" t="str">
        <f t="shared" si="199"/>
        <v>…</v>
      </c>
      <c r="X315" s="25" t="str">
        <f t="shared" si="199"/>
        <v>…</v>
      </c>
      <c r="Y315" s="25" t="str">
        <f t="shared" si="199"/>
        <v>…</v>
      </c>
      <c r="Z315" s="25"/>
      <c r="AA315" s="25"/>
      <c r="AB315" s="25"/>
      <c r="AC315" s="2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25"/>
      <c r="AZ315" s="5"/>
      <c r="BJ315" s="24"/>
      <c r="BK315" s="22"/>
      <c r="BL315" s="23"/>
      <c r="BM315" s="22"/>
      <c r="BN315" s="22"/>
      <c r="BO315" s="22"/>
      <c r="BP315" s="22"/>
      <c r="BQ315" s="22"/>
      <c r="BR315" s="24"/>
      <c r="BT315" s="33"/>
    </row>
    <row r="316" spans="1:72" hidden="1" outlineLevel="1">
      <c r="B316" s="5" t="s">
        <v>145</v>
      </c>
      <c r="C316" s="38" t="s">
        <v>154</v>
      </c>
      <c r="D316" s="16" t="s">
        <v>289</v>
      </c>
      <c r="E316" s="16" t="s">
        <v>289</v>
      </c>
      <c r="F316" s="16" t="s">
        <v>289</v>
      </c>
      <c r="G316" s="16" t="s">
        <v>289</v>
      </c>
      <c r="H316" s="16" t="s">
        <v>289</v>
      </c>
      <c r="I316" s="16" t="s">
        <v>289</v>
      </c>
      <c r="J316" s="16" t="s">
        <v>289</v>
      </c>
      <c r="K316" s="16" t="s">
        <v>289</v>
      </c>
      <c r="L316" s="16" t="s">
        <v>289</v>
      </c>
      <c r="M316" s="16" t="s">
        <v>289</v>
      </c>
      <c r="N316" s="16" t="s">
        <v>289</v>
      </c>
      <c r="O316" s="16">
        <v>2854</v>
      </c>
      <c r="P316" s="16">
        <v>3105</v>
      </c>
      <c r="Q316" s="16">
        <v>3417</v>
      </c>
      <c r="R316" s="16">
        <v>3420</v>
      </c>
      <c r="S316" s="16">
        <v>3766</v>
      </c>
      <c r="T316" s="16">
        <v>3460</v>
      </c>
      <c r="U316" s="16">
        <v>4271</v>
      </c>
      <c r="V316" s="16" t="s">
        <v>289</v>
      </c>
      <c r="W316" s="16"/>
      <c r="X316" s="16"/>
      <c r="Y316" s="16"/>
      <c r="Z316" s="16"/>
      <c r="AA316" s="16"/>
      <c r="AB316" s="25"/>
      <c r="AC316" s="2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16"/>
      <c r="AZ316" s="5"/>
      <c r="BJ316" s="24"/>
      <c r="BK316" s="22"/>
      <c r="BL316" s="23"/>
      <c r="BM316" s="22"/>
      <c r="BN316" s="22"/>
      <c r="BO316" s="22"/>
      <c r="BP316" s="22"/>
      <c r="BQ316" s="22"/>
      <c r="BR316" s="24"/>
      <c r="BT316" s="33"/>
    </row>
    <row r="317" spans="1:72" hidden="1" outlineLevel="1">
      <c r="B317" s="5" t="s">
        <v>9</v>
      </c>
      <c r="C317" s="38" t="s">
        <v>161</v>
      </c>
      <c r="D317" s="16" t="s">
        <v>289</v>
      </c>
      <c r="E317" s="16" t="s">
        <v>289</v>
      </c>
      <c r="F317" s="16" t="s">
        <v>289</v>
      </c>
      <c r="G317" s="16" t="s">
        <v>289</v>
      </c>
      <c r="H317" s="16" t="s">
        <v>289</v>
      </c>
      <c r="I317" s="16" t="s">
        <v>289</v>
      </c>
      <c r="J317" s="16" t="s">
        <v>289</v>
      </c>
      <c r="K317" s="16" t="s">
        <v>289</v>
      </c>
      <c r="L317" s="16">
        <v>2225.2069999999999</v>
      </c>
      <c r="M317" s="16">
        <v>2335.27</v>
      </c>
      <c r="N317" s="16">
        <v>2762.36</v>
      </c>
      <c r="O317" s="16">
        <v>2854.3690000000001</v>
      </c>
      <c r="P317" s="16">
        <v>3105.0839999999998</v>
      </c>
      <c r="Q317" s="16">
        <v>3416.89</v>
      </c>
      <c r="R317" s="16">
        <v>3420.3209999999999</v>
      </c>
      <c r="S317" s="16">
        <v>3766.6149999999998</v>
      </c>
      <c r="T317" s="16">
        <v>3459.79</v>
      </c>
      <c r="U317" s="16">
        <v>4270.8940000000002</v>
      </c>
      <c r="V317" s="16" t="s">
        <v>289</v>
      </c>
      <c r="W317" s="16"/>
      <c r="X317" s="16"/>
      <c r="Y317" s="16"/>
      <c r="Z317" s="16"/>
      <c r="AA317" s="16"/>
      <c r="AB317" s="25"/>
      <c r="AC317" s="2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16"/>
      <c r="AZ317" s="5"/>
      <c r="BJ317" s="24"/>
      <c r="BK317" s="22"/>
      <c r="BL317" s="23"/>
      <c r="BM317" s="22"/>
      <c r="BN317" s="22"/>
      <c r="BO317" s="22"/>
      <c r="BP317" s="22"/>
      <c r="BQ317" s="22"/>
      <c r="BR317" s="24"/>
      <c r="BT317" s="33"/>
    </row>
    <row r="318" spans="1:72" hidden="1" outlineLevel="1">
      <c r="B318" s="5" t="s">
        <v>146</v>
      </c>
      <c r="C318" s="38" t="s">
        <v>163</v>
      </c>
      <c r="D318" s="16" t="s">
        <v>289</v>
      </c>
      <c r="E318" s="16" t="s">
        <v>289</v>
      </c>
      <c r="F318" s="16" t="s">
        <v>289</v>
      </c>
      <c r="G318" s="16" t="s">
        <v>289</v>
      </c>
      <c r="H318" s="16" t="s">
        <v>289</v>
      </c>
      <c r="I318" s="16" t="s">
        <v>289</v>
      </c>
      <c r="J318" s="16" t="s">
        <v>289</v>
      </c>
      <c r="K318" s="16" t="s">
        <v>289</v>
      </c>
      <c r="L318" s="16">
        <v>2225.2069999999999</v>
      </c>
      <c r="M318" s="16">
        <v>2335.27</v>
      </c>
      <c r="N318" s="16">
        <v>2762.36</v>
      </c>
      <c r="O318" s="16">
        <v>2854.3690000000001</v>
      </c>
      <c r="P318" s="16">
        <v>3105.0839999999998</v>
      </c>
      <c r="Q318" s="16">
        <v>3416.89</v>
      </c>
      <c r="R318" s="16">
        <v>3420.3209999999999</v>
      </c>
      <c r="S318" s="16">
        <v>3766.6149999999998</v>
      </c>
      <c r="T318" s="16">
        <v>3459.79</v>
      </c>
      <c r="U318" s="16">
        <v>4270.8940000000002</v>
      </c>
      <c r="V318" s="16" t="s">
        <v>289</v>
      </c>
      <c r="W318" s="16"/>
      <c r="X318" s="16"/>
      <c r="Y318" s="16"/>
      <c r="Z318" s="16"/>
      <c r="AA318" s="16"/>
      <c r="AB318" s="25"/>
      <c r="AC318" s="2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16"/>
      <c r="AZ318" s="5"/>
      <c r="BJ318" s="24"/>
      <c r="BK318" s="22"/>
      <c r="BL318" s="23"/>
      <c r="BM318" s="22"/>
      <c r="BN318" s="22"/>
      <c r="BO318" s="22"/>
      <c r="BP318" s="22"/>
      <c r="BQ318" s="22"/>
      <c r="BR318" s="24"/>
      <c r="BT318" s="33"/>
    </row>
    <row r="319" spans="1:72" ht="13.15" hidden="1" outlineLevel="1">
      <c r="C319" s="9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25"/>
      <c r="AZ319" s="5"/>
      <c r="BJ319" s="24"/>
      <c r="BK319" s="22"/>
      <c r="BL319" s="23"/>
      <c r="BM319" s="22"/>
      <c r="BN319" s="22"/>
      <c r="BO319" s="22"/>
      <c r="BP319" s="22"/>
      <c r="BQ319" s="22"/>
      <c r="BR319" s="24"/>
      <c r="BT319" s="33"/>
    </row>
    <row r="320" spans="1:72" ht="13.15" collapsed="1">
      <c r="C320" s="9" t="s">
        <v>297</v>
      </c>
      <c r="D320" s="25" t="str">
        <f t="shared" ref="D320:J320" si="200">IF(ISNUMBER(D321),D321,IF(ISNUMBER(D322),D322,IF(ISNUMBER(D323),D323,"…")))</f>
        <v>…</v>
      </c>
      <c r="E320" s="25" t="str">
        <f t="shared" si="200"/>
        <v>…</v>
      </c>
      <c r="F320" s="25" t="str">
        <f t="shared" si="200"/>
        <v>…</v>
      </c>
      <c r="G320" s="25" t="str">
        <f t="shared" si="200"/>
        <v>…</v>
      </c>
      <c r="H320" s="25" t="str">
        <f t="shared" si="200"/>
        <v>…</v>
      </c>
      <c r="I320" s="25" t="str">
        <f t="shared" si="200"/>
        <v>…</v>
      </c>
      <c r="J320" s="25" t="str">
        <f t="shared" si="200"/>
        <v>…</v>
      </c>
      <c r="K320" s="25" t="str">
        <f>IF(ISNUMBER(K321),K321,IF(ISNUMBER(K322),K322,IF(ISNUMBER(K323),K323,"…")))</f>
        <v>…</v>
      </c>
      <c r="L320" s="25">
        <f t="shared" ref="L320:Y320" si="201">IF(ISNUMBER(L321),L321,IF(ISNUMBER(L322),L322,IF(ISNUMBER(L323),L323,"…")))</f>
        <v>335.49700000000001</v>
      </c>
      <c r="M320" s="25">
        <f t="shared" si="201"/>
        <v>363.54899999999998</v>
      </c>
      <c r="N320" s="25">
        <f t="shared" si="201"/>
        <v>389.46800000000002</v>
      </c>
      <c r="O320" s="25">
        <f t="shared" si="201"/>
        <v>444.32</v>
      </c>
      <c r="P320" s="25">
        <f t="shared" si="201"/>
        <v>595.08199999999999</v>
      </c>
      <c r="Q320" s="25">
        <f t="shared" si="201"/>
        <v>775.41600000000005</v>
      </c>
      <c r="R320" s="25">
        <f t="shared" si="201"/>
        <v>826.50699999999995</v>
      </c>
      <c r="S320" s="25">
        <f t="shared" si="201"/>
        <v>917.44600000000003</v>
      </c>
      <c r="T320" s="25">
        <f t="shared" si="201"/>
        <v>716.12699999999995</v>
      </c>
      <c r="U320" s="25">
        <f t="shared" si="201"/>
        <v>1075.4880000000001</v>
      </c>
      <c r="V320" s="25" t="str">
        <f t="shared" si="201"/>
        <v>…</v>
      </c>
      <c r="W320" s="25" t="str">
        <f t="shared" si="201"/>
        <v>…</v>
      </c>
      <c r="X320" s="25" t="str">
        <f t="shared" si="201"/>
        <v>…</v>
      </c>
      <c r="Y320" s="25" t="str">
        <f t="shared" si="201"/>
        <v>…</v>
      </c>
      <c r="Z320" s="25"/>
      <c r="AA320" s="25"/>
      <c r="AB320" s="25"/>
      <c r="AC320" s="2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25"/>
      <c r="AZ320" s="5"/>
      <c r="BJ320" s="24"/>
      <c r="BK320" s="22"/>
      <c r="BL320" s="23"/>
      <c r="BM320" s="22"/>
      <c r="BN320" s="22"/>
      <c r="BO320" s="22"/>
      <c r="BP320" s="22"/>
      <c r="BQ320" s="22"/>
      <c r="BR320" s="24"/>
      <c r="BT320" s="33"/>
    </row>
    <row r="321" spans="2:70" hidden="1" outlineLevel="1">
      <c r="B321" s="5" t="s">
        <v>6</v>
      </c>
      <c r="C321" s="5" t="s">
        <v>6</v>
      </c>
      <c r="D321" s="16" t="s">
        <v>289</v>
      </c>
      <c r="E321" s="16" t="s">
        <v>289</v>
      </c>
      <c r="F321" s="16" t="s">
        <v>289</v>
      </c>
      <c r="G321" s="16" t="s">
        <v>289</v>
      </c>
      <c r="H321" s="16" t="s">
        <v>289</v>
      </c>
      <c r="I321" s="16" t="s">
        <v>289</v>
      </c>
      <c r="J321" s="16" t="s">
        <v>289</v>
      </c>
      <c r="K321" s="16" t="s">
        <v>289</v>
      </c>
      <c r="L321" s="16">
        <v>335.49700000000001</v>
      </c>
      <c r="M321" s="16">
        <v>363.54899999999998</v>
      </c>
      <c r="N321" s="16">
        <v>389.46800000000002</v>
      </c>
      <c r="O321" s="16">
        <v>444.32</v>
      </c>
      <c r="P321" s="16">
        <v>595.08199999999999</v>
      </c>
      <c r="Q321" s="16">
        <v>775.41600000000005</v>
      </c>
      <c r="R321" s="16">
        <v>826.50699999999995</v>
      </c>
      <c r="S321" s="16">
        <v>917.44600000000003</v>
      </c>
      <c r="T321" s="16">
        <v>716.12699999999995</v>
      </c>
      <c r="U321" s="16">
        <v>1075.4880000000001</v>
      </c>
      <c r="V321" s="16" t="s">
        <v>289</v>
      </c>
      <c r="W321" s="16"/>
      <c r="X321" s="16"/>
      <c r="Y321" s="16"/>
      <c r="Z321" s="16"/>
      <c r="AA321" s="16"/>
      <c r="AB321" s="25"/>
      <c r="AC321" s="2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16"/>
      <c r="AZ321" s="5"/>
      <c r="BJ321" s="24"/>
      <c r="BK321" s="22"/>
      <c r="BL321" s="23"/>
      <c r="BM321" s="22"/>
      <c r="BN321" s="22"/>
      <c r="BO321" s="22"/>
      <c r="BP321" s="22"/>
      <c r="BQ321" s="22"/>
      <c r="BR321" s="24"/>
    </row>
    <row r="322" spans="2:70" hidden="1" outlineLevel="1">
      <c r="B322" s="5" t="s">
        <v>149</v>
      </c>
      <c r="C322" s="5" t="s">
        <v>150</v>
      </c>
      <c r="D322" s="16" t="s">
        <v>289</v>
      </c>
      <c r="E322" s="16" t="s">
        <v>289</v>
      </c>
      <c r="F322" s="16" t="s">
        <v>289</v>
      </c>
      <c r="G322" s="16" t="s">
        <v>289</v>
      </c>
      <c r="H322" s="16" t="s">
        <v>289</v>
      </c>
      <c r="I322" s="16" t="s">
        <v>289</v>
      </c>
      <c r="J322" s="16" t="s">
        <v>289</v>
      </c>
      <c r="K322" s="16" t="s">
        <v>289</v>
      </c>
      <c r="L322" s="16">
        <v>335.49700000000001</v>
      </c>
      <c r="M322" s="16">
        <v>363.54899999999998</v>
      </c>
      <c r="N322" s="16">
        <v>389.46800000000002</v>
      </c>
      <c r="O322" s="16">
        <v>444.32</v>
      </c>
      <c r="P322" s="16">
        <v>595.08199999999999</v>
      </c>
      <c r="Q322" s="16">
        <v>775.41600000000005</v>
      </c>
      <c r="R322" s="16">
        <v>826.50699999999995</v>
      </c>
      <c r="S322" s="16">
        <v>917.44600000000003</v>
      </c>
      <c r="T322" s="16">
        <v>716.12699999999995</v>
      </c>
      <c r="U322" s="16">
        <v>1075.4880000000001</v>
      </c>
      <c r="V322" s="16" t="s">
        <v>289</v>
      </c>
      <c r="W322" s="16"/>
      <c r="X322" s="16"/>
      <c r="Y322" s="16"/>
      <c r="Z322" s="16"/>
      <c r="AA322" s="16"/>
      <c r="AB322" s="25"/>
      <c r="AC322" s="25"/>
      <c r="AD322" s="24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16"/>
      <c r="AZ322" s="5"/>
      <c r="BJ322" s="24"/>
      <c r="BK322" s="22"/>
      <c r="BL322" s="23"/>
      <c r="BM322" s="22"/>
      <c r="BN322" s="22"/>
      <c r="BO322" s="22"/>
      <c r="BP322" s="22"/>
      <c r="BQ322" s="22"/>
      <c r="BR322" s="24"/>
    </row>
    <row r="323" spans="2:70" hidden="1" outlineLevel="1">
      <c r="C323" s="5" t="s">
        <v>300</v>
      </c>
      <c r="D323" s="25" t="s">
        <v>127</v>
      </c>
      <c r="E323" s="25" t="s">
        <v>127</v>
      </c>
      <c r="F323" s="25" t="s">
        <v>127</v>
      </c>
      <c r="G323" s="25" t="s">
        <v>127</v>
      </c>
      <c r="H323" s="25" t="s">
        <v>127</v>
      </c>
      <c r="I323" s="25" t="s">
        <v>127</v>
      </c>
      <c r="J323" s="25" t="s">
        <v>127</v>
      </c>
      <c r="K323" s="25" t="s">
        <v>127</v>
      </c>
      <c r="L323" s="25" t="s">
        <v>127</v>
      </c>
      <c r="M323" s="25" t="s">
        <v>127</v>
      </c>
      <c r="N323" s="25" t="s">
        <v>127</v>
      </c>
      <c r="O323" s="25" t="s">
        <v>127</v>
      </c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4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25"/>
      <c r="AZ323" s="5"/>
      <c r="BK323" s="22"/>
      <c r="BL323" s="23"/>
      <c r="BM323" s="22"/>
      <c r="BN323" s="22"/>
      <c r="BO323" s="22"/>
      <c r="BP323" s="22"/>
      <c r="BQ323" s="22"/>
      <c r="BR323" s="24"/>
    </row>
    <row r="324" spans="2:70" ht="13.15" hidden="1" outlineLevel="1">
      <c r="C324" s="9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4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25"/>
      <c r="AZ324" s="5"/>
      <c r="BK324" s="22"/>
      <c r="BL324" s="23"/>
      <c r="BM324" s="22"/>
      <c r="BN324" s="22"/>
      <c r="BO324" s="22"/>
      <c r="BP324" s="22"/>
      <c r="BQ324" s="22"/>
      <c r="BR324" s="24"/>
    </row>
    <row r="325" spans="2:70" ht="13.15" collapsed="1">
      <c r="C325" s="9" t="s">
        <v>293</v>
      </c>
      <c r="D325" s="14" t="str">
        <f t="shared" ref="D325:V325" si="202">IF(ISNUMBER(D326),D326,IF(ISNUMBER(D328),D328,"…"))</f>
        <v>…</v>
      </c>
      <c r="E325" s="14" t="str">
        <f t="shared" si="202"/>
        <v>…</v>
      </c>
      <c r="F325" s="14" t="str">
        <f t="shared" si="202"/>
        <v>…</v>
      </c>
      <c r="G325" s="14" t="str">
        <f t="shared" si="202"/>
        <v>…</v>
      </c>
      <c r="H325" s="14" t="str">
        <f t="shared" si="202"/>
        <v>…</v>
      </c>
      <c r="I325" s="14" t="str">
        <f t="shared" si="202"/>
        <v>…</v>
      </c>
      <c r="J325" s="14" t="str">
        <f t="shared" si="202"/>
        <v>…</v>
      </c>
      <c r="K325" s="14" t="str">
        <f t="shared" si="202"/>
        <v>…</v>
      </c>
      <c r="L325" s="14">
        <f t="shared" si="202"/>
        <v>573.03700000000003</v>
      </c>
      <c r="M325" s="14">
        <f t="shared" si="202"/>
        <v>633.79899999999998</v>
      </c>
      <c r="N325" s="14">
        <f t="shared" si="202"/>
        <v>678.45</v>
      </c>
      <c r="O325" s="14">
        <f t="shared" si="202"/>
        <v>719.077</v>
      </c>
      <c r="P325" s="14">
        <f t="shared" si="202"/>
        <v>842.79899999999998</v>
      </c>
      <c r="Q325" s="14">
        <f t="shared" si="202"/>
        <v>1036.0219999999999</v>
      </c>
      <c r="R325" s="14">
        <f t="shared" si="202"/>
        <v>1115.2550000000001</v>
      </c>
      <c r="S325" s="14">
        <f t="shared" si="202"/>
        <v>1269.3920000000001</v>
      </c>
      <c r="T325" s="14">
        <f t="shared" si="202"/>
        <v>1142.7639999999999</v>
      </c>
      <c r="U325" s="14">
        <f t="shared" si="202"/>
        <v>1531.4770000000001</v>
      </c>
      <c r="V325" s="14" t="str">
        <f t="shared" si="202"/>
        <v>…</v>
      </c>
      <c r="W325" s="14">
        <f>IF(ISNUMBER(W326),W326,IF(ISNUMBER(W328),W328,"…"))</f>
        <v>3607</v>
      </c>
      <c r="X325" s="14">
        <f>IF(ISNUMBER(X326),X326,IF(ISNUMBER(X328),X328,"…"))</f>
        <v>3607</v>
      </c>
      <c r="Y325" s="14">
        <f>IF(ISNUMBER(Y326),Y326,IF(ISNUMBER(Y328),Y328,"…"))</f>
        <v>3607</v>
      </c>
      <c r="Z325" s="14"/>
      <c r="AA325" s="14"/>
      <c r="AB325" s="25"/>
      <c r="AC325" s="25"/>
      <c r="AD325" s="24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14"/>
      <c r="AZ325" s="5"/>
      <c r="BK325" s="22"/>
      <c r="BL325" s="23"/>
      <c r="BM325" s="22"/>
      <c r="BN325" s="22"/>
      <c r="BO325" s="22"/>
      <c r="BP325" s="22"/>
      <c r="BQ325" s="22"/>
      <c r="BR325" s="24"/>
    </row>
    <row r="326" spans="2:70" hidden="1" outlineLevel="1">
      <c r="C326" s="5" t="s">
        <v>153</v>
      </c>
      <c r="D326" s="25" t="str">
        <f t="shared" ref="D326:Y326" si="203">IFERROR(D327/1,"…")</f>
        <v>…</v>
      </c>
      <c r="E326" s="25" t="str">
        <f t="shared" si="203"/>
        <v>…</v>
      </c>
      <c r="F326" s="25" t="str">
        <f t="shared" si="203"/>
        <v>…</v>
      </c>
      <c r="G326" s="25" t="str">
        <f t="shared" si="203"/>
        <v>…</v>
      </c>
      <c r="H326" s="25" t="str">
        <f t="shared" si="203"/>
        <v>…</v>
      </c>
      <c r="I326" s="25" t="str">
        <f t="shared" si="203"/>
        <v>…</v>
      </c>
      <c r="J326" s="25" t="str">
        <f t="shared" si="203"/>
        <v>…</v>
      </c>
      <c r="K326" s="25" t="str">
        <f t="shared" si="203"/>
        <v>…</v>
      </c>
      <c r="L326" s="25">
        <f t="shared" si="203"/>
        <v>573.03700000000003</v>
      </c>
      <c r="M326" s="25">
        <f t="shared" si="203"/>
        <v>633.79899999999998</v>
      </c>
      <c r="N326" s="25">
        <f t="shared" si="203"/>
        <v>678.45</v>
      </c>
      <c r="O326" s="25">
        <f t="shared" si="203"/>
        <v>719.077</v>
      </c>
      <c r="P326" s="25">
        <f t="shared" si="203"/>
        <v>842.79899999999998</v>
      </c>
      <c r="Q326" s="25">
        <f t="shared" si="203"/>
        <v>1036.0219999999999</v>
      </c>
      <c r="R326" s="25">
        <f t="shared" si="203"/>
        <v>1115.2550000000001</v>
      </c>
      <c r="S326" s="25">
        <f t="shared" si="203"/>
        <v>1269.3920000000001</v>
      </c>
      <c r="T326" s="25">
        <f t="shared" si="203"/>
        <v>1142.7639999999999</v>
      </c>
      <c r="U326" s="25">
        <f t="shared" si="203"/>
        <v>1531.4770000000001</v>
      </c>
      <c r="V326" s="25" t="str">
        <f t="shared" si="203"/>
        <v>…</v>
      </c>
      <c r="W326" s="25">
        <f t="shared" si="203"/>
        <v>3607</v>
      </c>
      <c r="X326" s="25">
        <f t="shared" si="203"/>
        <v>3607</v>
      </c>
      <c r="Y326" s="25">
        <f t="shared" si="203"/>
        <v>3607</v>
      </c>
      <c r="Z326" s="25"/>
      <c r="AA326" s="25"/>
      <c r="AB326" s="25"/>
      <c r="AC326" s="25"/>
      <c r="AD326" s="24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25"/>
      <c r="AZ326" s="5"/>
      <c r="BK326" s="22"/>
      <c r="BL326" s="23"/>
      <c r="BM326" s="22"/>
      <c r="BN326" s="22"/>
      <c r="BO326" s="22"/>
      <c r="BP326" s="22"/>
      <c r="BQ326" s="22"/>
      <c r="BR326" s="24"/>
    </row>
    <row r="327" spans="2:70" hidden="1" outlineLevel="1">
      <c r="B327" s="5" t="s">
        <v>7</v>
      </c>
      <c r="C327" s="38" t="s">
        <v>154</v>
      </c>
      <c r="D327" s="16" t="s">
        <v>289</v>
      </c>
      <c r="E327" s="16" t="s">
        <v>289</v>
      </c>
      <c r="F327" s="16" t="s">
        <v>289</v>
      </c>
      <c r="G327" s="16" t="s">
        <v>289</v>
      </c>
      <c r="H327" s="16" t="s">
        <v>289</v>
      </c>
      <c r="I327" s="16" t="s">
        <v>289</v>
      </c>
      <c r="J327" s="16" t="s">
        <v>289</v>
      </c>
      <c r="K327" s="16" t="s">
        <v>289</v>
      </c>
      <c r="L327" s="16">
        <v>573.03700000000003</v>
      </c>
      <c r="M327" s="16">
        <v>633.79899999999998</v>
      </c>
      <c r="N327" s="16">
        <v>678.45</v>
      </c>
      <c r="O327" s="16">
        <v>719.077</v>
      </c>
      <c r="P327" s="16">
        <v>842.79899999999998</v>
      </c>
      <c r="Q327" s="16">
        <v>1036.0219999999999</v>
      </c>
      <c r="R327" s="16">
        <v>1115.2550000000001</v>
      </c>
      <c r="S327" s="16">
        <v>1269.3920000000001</v>
      </c>
      <c r="T327" s="16">
        <v>1142.7639999999999</v>
      </c>
      <c r="U327" s="16">
        <v>1531.4770000000001</v>
      </c>
      <c r="V327" s="16" t="s">
        <v>289</v>
      </c>
      <c r="W327" s="16">
        <v>3607</v>
      </c>
      <c r="X327" s="16">
        <v>3607</v>
      </c>
      <c r="Y327" s="16">
        <v>3607</v>
      </c>
      <c r="Z327" s="16"/>
      <c r="AA327" s="16"/>
      <c r="AB327" s="25"/>
      <c r="AC327" s="25"/>
      <c r="AD327" s="24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16"/>
      <c r="AZ327" s="5"/>
      <c r="BK327" s="22"/>
      <c r="BL327" s="23"/>
      <c r="BM327" s="22"/>
      <c r="BN327" s="22"/>
      <c r="BO327" s="22"/>
      <c r="BP327" s="22"/>
      <c r="BQ327" s="22"/>
      <c r="BR327" s="24"/>
    </row>
    <row r="328" spans="2:70" hidden="1" outlineLevel="1">
      <c r="C328" s="5" t="s">
        <v>155</v>
      </c>
      <c r="D328" s="25" t="str">
        <f t="shared" ref="D328:Y328" si="204">IFERROR(D329/1,"…")</f>
        <v>…</v>
      </c>
      <c r="E328" s="25" t="str">
        <f t="shared" si="204"/>
        <v>…</v>
      </c>
      <c r="F328" s="25" t="str">
        <f t="shared" si="204"/>
        <v>…</v>
      </c>
      <c r="G328" s="25" t="str">
        <f t="shared" si="204"/>
        <v>…</v>
      </c>
      <c r="H328" s="25" t="str">
        <f t="shared" si="204"/>
        <v>…</v>
      </c>
      <c r="I328" s="25" t="str">
        <f t="shared" si="204"/>
        <v>…</v>
      </c>
      <c r="J328" s="25" t="str">
        <f t="shared" si="204"/>
        <v>…</v>
      </c>
      <c r="K328" s="25" t="str">
        <f t="shared" si="204"/>
        <v>…</v>
      </c>
      <c r="L328" s="25">
        <f t="shared" si="204"/>
        <v>573.03700000000003</v>
      </c>
      <c r="M328" s="25">
        <f t="shared" si="204"/>
        <v>633.79899999999998</v>
      </c>
      <c r="N328" s="25">
        <f t="shared" si="204"/>
        <v>692.73500000000001</v>
      </c>
      <c r="O328" s="25">
        <f t="shared" si="204"/>
        <v>721.90200000000004</v>
      </c>
      <c r="P328" s="25">
        <f t="shared" si="204"/>
        <v>874.07500000000005</v>
      </c>
      <c r="Q328" s="25">
        <f t="shared" si="204"/>
        <v>1031</v>
      </c>
      <c r="R328" s="25">
        <f t="shared" si="204"/>
        <v>1113.307</v>
      </c>
      <c r="S328" s="25">
        <f t="shared" si="204"/>
        <v>1266.2940000000001</v>
      </c>
      <c r="T328" s="25">
        <f t="shared" si="204"/>
        <v>913.24099999999999</v>
      </c>
      <c r="U328" s="25">
        <f t="shared" si="204"/>
        <v>1524.5809999999999</v>
      </c>
      <c r="V328" s="25" t="str">
        <f t="shared" si="204"/>
        <v>…</v>
      </c>
      <c r="W328" s="25">
        <f t="shared" si="204"/>
        <v>3957</v>
      </c>
      <c r="X328" s="25">
        <f t="shared" si="204"/>
        <v>3957</v>
      </c>
      <c r="Y328" s="25">
        <f t="shared" si="204"/>
        <v>3957</v>
      </c>
      <c r="Z328" s="25"/>
      <c r="AA328" s="25"/>
      <c r="AB328" s="25"/>
      <c r="AC328" s="25"/>
      <c r="AD328" s="24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25"/>
      <c r="AZ328" s="5"/>
      <c r="BK328" s="22"/>
      <c r="BL328" s="23"/>
      <c r="BM328" s="22"/>
      <c r="BN328" s="22"/>
      <c r="BO328" s="22"/>
      <c r="BP328" s="22"/>
      <c r="BQ328" s="22"/>
      <c r="BR328" s="24"/>
    </row>
    <row r="329" spans="2:70" hidden="1" outlineLevel="1">
      <c r="B329" s="5" t="s">
        <v>2190</v>
      </c>
      <c r="C329" s="38" t="s">
        <v>161</v>
      </c>
      <c r="D329" s="25" t="s">
        <v>289</v>
      </c>
      <c r="E329" s="25" t="s">
        <v>289</v>
      </c>
      <c r="F329" s="25" t="s">
        <v>289</v>
      </c>
      <c r="G329" s="25" t="s">
        <v>289</v>
      </c>
      <c r="H329" s="25" t="s">
        <v>289</v>
      </c>
      <c r="I329" s="25" t="s">
        <v>289</v>
      </c>
      <c r="J329" s="25" t="s">
        <v>289</v>
      </c>
      <c r="K329" s="25" t="s">
        <v>289</v>
      </c>
      <c r="L329" s="25">
        <v>573.03700000000003</v>
      </c>
      <c r="M329" s="25">
        <v>633.79899999999998</v>
      </c>
      <c r="N329" s="25">
        <v>692.73500000000001</v>
      </c>
      <c r="O329" s="25">
        <v>721.90200000000004</v>
      </c>
      <c r="P329" s="25">
        <v>874.07500000000005</v>
      </c>
      <c r="Q329" s="25">
        <v>1031</v>
      </c>
      <c r="R329" s="25">
        <v>1113.307</v>
      </c>
      <c r="S329" s="25">
        <v>1266.2940000000001</v>
      </c>
      <c r="T329" s="25">
        <v>913.24099999999999</v>
      </c>
      <c r="U329" s="25">
        <v>1524.5809999999999</v>
      </c>
      <c r="V329" s="25" t="s">
        <v>289</v>
      </c>
      <c r="W329" s="25">
        <v>3957</v>
      </c>
      <c r="X329" s="25">
        <v>3957</v>
      </c>
      <c r="Y329" s="25">
        <v>3957</v>
      </c>
      <c r="Z329" s="25"/>
      <c r="AA329" s="25"/>
      <c r="AB329" s="25"/>
      <c r="AC329" s="25"/>
      <c r="AD329" s="24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25"/>
      <c r="AZ329" s="5"/>
      <c r="BK329" s="22"/>
      <c r="BL329" s="23"/>
      <c r="BM329" s="22"/>
      <c r="BN329" s="22"/>
      <c r="BO329" s="22"/>
      <c r="BP329" s="22"/>
      <c r="BQ329" s="22"/>
      <c r="BR329" s="24"/>
    </row>
    <row r="330" spans="2:70" ht="13.15" hidden="1" outlineLevel="1">
      <c r="C330" s="12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4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25"/>
      <c r="AZ330" s="5"/>
      <c r="BK330" s="22"/>
      <c r="BL330" s="23"/>
      <c r="BM330" s="22"/>
      <c r="BN330" s="22"/>
      <c r="BO330" s="22"/>
      <c r="BP330" s="22"/>
      <c r="BQ330" s="22"/>
      <c r="BR330" s="24"/>
    </row>
    <row r="331" spans="2:70" ht="13.15" collapsed="1">
      <c r="B331" s="38"/>
      <c r="C331" s="9" t="s">
        <v>291</v>
      </c>
      <c r="D331" s="14" t="str">
        <f t="shared" ref="D331:Y331" si="205">IF(ISNUMBER(D332),D332,IF(ISNUMBER(D338),D338,"…"))</f>
        <v>…</v>
      </c>
      <c r="E331" s="14" t="str">
        <f t="shared" si="205"/>
        <v>…</v>
      </c>
      <c r="F331" s="14" t="str">
        <f t="shared" si="205"/>
        <v>…</v>
      </c>
      <c r="G331" s="14" t="str">
        <f t="shared" si="205"/>
        <v>…</v>
      </c>
      <c r="H331" s="14" t="str">
        <f t="shared" si="205"/>
        <v>…</v>
      </c>
      <c r="I331" s="14" t="str">
        <f>IF(ISNUMBER(I332),I332,IF(ISNUMBER(I338),I338,"…"))</f>
        <v>…</v>
      </c>
      <c r="J331" s="14" t="str">
        <f t="shared" si="205"/>
        <v>…</v>
      </c>
      <c r="K331" s="14" t="str">
        <f t="shared" si="205"/>
        <v>…</v>
      </c>
      <c r="L331" s="14" t="str">
        <f t="shared" si="205"/>
        <v>…</v>
      </c>
      <c r="M331" s="14">
        <f t="shared" si="205"/>
        <v>137.279</v>
      </c>
      <c r="N331" s="14">
        <f t="shared" si="205"/>
        <v>149.953</v>
      </c>
      <c r="O331" s="14">
        <f t="shared" si="205"/>
        <v>274.75700000000001</v>
      </c>
      <c r="P331" s="14">
        <f t="shared" si="205"/>
        <v>247.71700000000001</v>
      </c>
      <c r="Q331" s="14">
        <f t="shared" si="205"/>
        <v>143.48400000000001</v>
      </c>
      <c r="R331" s="14">
        <f t="shared" si="205"/>
        <v>156.38399999999999</v>
      </c>
      <c r="S331" s="14">
        <f t="shared" si="205"/>
        <v>191.482</v>
      </c>
      <c r="T331" s="14">
        <f t="shared" si="205"/>
        <v>217.952</v>
      </c>
      <c r="U331" s="14">
        <f t="shared" si="205"/>
        <v>230.09700000000001</v>
      </c>
      <c r="V331" s="14" t="str">
        <f t="shared" si="205"/>
        <v>…</v>
      </c>
      <c r="W331" s="14" t="str">
        <f t="shared" si="205"/>
        <v>…</v>
      </c>
      <c r="X331" s="14" t="str">
        <f t="shared" si="205"/>
        <v>…</v>
      </c>
      <c r="Y331" s="14" t="str">
        <f t="shared" si="205"/>
        <v>…</v>
      </c>
      <c r="Z331" s="14"/>
      <c r="AA331" s="14"/>
      <c r="AB331" s="14"/>
      <c r="AC331" s="14"/>
      <c r="AD331" s="24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14"/>
      <c r="AZ331" s="5"/>
      <c r="BK331" s="22"/>
      <c r="BL331" s="23"/>
      <c r="BM331" s="22"/>
      <c r="BN331" s="22"/>
      <c r="BO331" s="22"/>
      <c r="BP331" s="22"/>
      <c r="BQ331" s="22"/>
      <c r="BR331" s="24"/>
    </row>
    <row r="332" spans="2:70" hidden="1" outlineLevel="1">
      <c r="B332" s="38"/>
      <c r="C332" s="5" t="s">
        <v>158</v>
      </c>
      <c r="D332" s="25" t="str">
        <f t="shared" ref="D332:Y332" si="206">IF(ISNUMBER(D333),D333,IF(ISNUMBER(D334),D334,IF(ISNUMBER(D335),D335,IF(ISNUMBER(D336),D336,"…"))))</f>
        <v>…</v>
      </c>
      <c r="E332" s="25" t="str">
        <f t="shared" si="206"/>
        <v>…</v>
      </c>
      <c r="F332" s="25" t="str">
        <f t="shared" si="206"/>
        <v>…</v>
      </c>
      <c r="G332" s="25" t="str">
        <f t="shared" si="206"/>
        <v>…</v>
      </c>
      <c r="H332" s="25" t="str">
        <f t="shared" si="206"/>
        <v>…</v>
      </c>
      <c r="I332" s="25" t="str">
        <f t="shared" si="206"/>
        <v>…</v>
      </c>
      <c r="J332" s="25" t="str">
        <f t="shared" si="206"/>
        <v>…</v>
      </c>
      <c r="K332" s="25" t="str">
        <f t="shared" si="206"/>
        <v>…</v>
      </c>
      <c r="L332" s="25" t="str">
        <f t="shared" si="206"/>
        <v>…</v>
      </c>
      <c r="M332" s="25">
        <f t="shared" si="206"/>
        <v>137.279</v>
      </c>
      <c r="N332" s="25">
        <f t="shared" si="206"/>
        <v>149.953</v>
      </c>
      <c r="O332" s="25">
        <f t="shared" si="206"/>
        <v>274.75700000000001</v>
      </c>
      <c r="P332" s="25">
        <f t="shared" si="206"/>
        <v>247.71700000000001</v>
      </c>
      <c r="Q332" s="25">
        <f t="shared" si="206"/>
        <v>143.48400000000001</v>
      </c>
      <c r="R332" s="25">
        <f t="shared" si="206"/>
        <v>156.38399999999999</v>
      </c>
      <c r="S332" s="25">
        <f t="shared" si="206"/>
        <v>191.482</v>
      </c>
      <c r="T332" s="25">
        <f t="shared" si="206"/>
        <v>217.952</v>
      </c>
      <c r="U332" s="25">
        <f t="shared" si="206"/>
        <v>230.09700000000001</v>
      </c>
      <c r="V332" s="25" t="str">
        <f t="shared" si="206"/>
        <v>…</v>
      </c>
      <c r="W332" s="25" t="str">
        <f t="shared" si="206"/>
        <v>…</v>
      </c>
      <c r="X332" s="25" t="str">
        <f t="shared" si="206"/>
        <v>…</v>
      </c>
      <c r="Y332" s="25" t="str">
        <f t="shared" si="206"/>
        <v>…</v>
      </c>
      <c r="Z332" s="25"/>
      <c r="AA332" s="25"/>
      <c r="AB332" s="25"/>
      <c r="AC332" s="25"/>
      <c r="AD332" s="24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25"/>
      <c r="AZ332" s="5"/>
      <c r="BK332" s="22"/>
      <c r="BL332" s="23"/>
      <c r="BM332" s="22"/>
      <c r="BN332" s="22"/>
      <c r="BO332" s="22"/>
      <c r="BP332" s="22"/>
      <c r="BQ332" s="22"/>
      <c r="BR332" s="24"/>
    </row>
    <row r="333" spans="2:70" hidden="1" outlineLevel="1">
      <c r="B333" s="38" t="s">
        <v>1577</v>
      </c>
      <c r="C333" s="38" t="s">
        <v>1577</v>
      </c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25" t="s">
        <v>289</v>
      </c>
      <c r="Q333" s="25" t="s">
        <v>289</v>
      </c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4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25"/>
      <c r="AZ333" s="5"/>
      <c r="BK333" s="22"/>
      <c r="BL333" s="23"/>
      <c r="BM333" s="22"/>
      <c r="BN333" s="22"/>
      <c r="BO333" s="22"/>
      <c r="BP333" s="22"/>
      <c r="BQ333" s="22"/>
      <c r="BR333" s="24"/>
    </row>
    <row r="334" spans="2:70" hidden="1" outlineLevel="1">
      <c r="B334" s="5" t="s">
        <v>159</v>
      </c>
      <c r="C334" s="38" t="s">
        <v>154</v>
      </c>
      <c r="D334" s="16" t="s">
        <v>289</v>
      </c>
      <c r="E334" s="16" t="s">
        <v>289</v>
      </c>
      <c r="F334" s="16" t="s">
        <v>289</v>
      </c>
      <c r="G334" s="16" t="s">
        <v>289</v>
      </c>
      <c r="H334" s="16" t="s">
        <v>289</v>
      </c>
      <c r="I334" s="16" t="s">
        <v>289</v>
      </c>
      <c r="J334" s="16" t="s">
        <v>289</v>
      </c>
      <c r="K334" s="16" t="s">
        <v>289</v>
      </c>
      <c r="L334" s="16" t="s">
        <v>289</v>
      </c>
      <c r="M334" s="16">
        <v>137.279</v>
      </c>
      <c r="N334" s="16">
        <v>149.953</v>
      </c>
      <c r="O334" s="16">
        <v>274.75700000000001</v>
      </c>
      <c r="P334" s="16">
        <v>247.71700000000001</v>
      </c>
      <c r="Q334" s="16">
        <v>143.48400000000001</v>
      </c>
      <c r="R334" s="16">
        <v>156.38399999999999</v>
      </c>
      <c r="S334" s="16">
        <v>191.482</v>
      </c>
      <c r="T334" s="16">
        <v>217.952</v>
      </c>
      <c r="U334" s="16">
        <v>230.09700000000001</v>
      </c>
      <c r="V334" s="16" t="s">
        <v>289</v>
      </c>
      <c r="W334" s="16"/>
      <c r="X334" s="16"/>
      <c r="Y334" s="16"/>
      <c r="Z334" s="16"/>
      <c r="AA334" s="16"/>
      <c r="AB334" s="25"/>
      <c r="AC334" s="25"/>
      <c r="AD334" s="24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16"/>
      <c r="AZ334" s="5"/>
      <c r="BK334" s="22"/>
      <c r="BL334" s="23"/>
      <c r="BM334" s="22"/>
      <c r="BN334" s="22"/>
      <c r="BO334" s="22"/>
      <c r="BP334" s="22"/>
      <c r="BQ334" s="22"/>
      <c r="BR334" s="24"/>
    </row>
    <row r="335" spans="2:70" hidden="1" outlineLevel="1">
      <c r="B335" s="5" t="s">
        <v>160</v>
      </c>
      <c r="C335" s="38" t="s">
        <v>161</v>
      </c>
      <c r="D335" s="16" t="s">
        <v>289</v>
      </c>
      <c r="E335" s="16" t="s">
        <v>289</v>
      </c>
      <c r="F335" s="16" t="s">
        <v>289</v>
      </c>
      <c r="G335" s="16" t="s">
        <v>289</v>
      </c>
      <c r="H335" s="16" t="s">
        <v>289</v>
      </c>
      <c r="I335" s="16" t="s">
        <v>289</v>
      </c>
      <c r="J335" s="16" t="s">
        <v>289</v>
      </c>
      <c r="K335" s="16" t="s">
        <v>289</v>
      </c>
      <c r="L335" s="16" t="s">
        <v>289</v>
      </c>
      <c r="M335" s="16" t="s">
        <v>289</v>
      </c>
      <c r="N335" s="16" t="s">
        <v>289</v>
      </c>
      <c r="O335" s="16" t="s">
        <v>289</v>
      </c>
      <c r="P335" s="16" t="s">
        <v>289</v>
      </c>
      <c r="Q335" s="16" t="s">
        <v>289</v>
      </c>
      <c r="R335" s="16" t="s">
        <v>289</v>
      </c>
      <c r="S335" s="16" t="s">
        <v>289</v>
      </c>
      <c r="T335" s="16" t="s">
        <v>289</v>
      </c>
      <c r="U335" s="16" t="s">
        <v>289</v>
      </c>
      <c r="V335" s="16" t="s">
        <v>289</v>
      </c>
      <c r="W335" s="16"/>
      <c r="X335" s="16"/>
      <c r="Y335" s="16"/>
      <c r="Z335" s="16"/>
      <c r="AA335" s="16"/>
      <c r="AB335" s="25"/>
      <c r="AC335" s="25"/>
      <c r="AD335" s="24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16"/>
      <c r="AZ335" s="5"/>
      <c r="BK335" s="25"/>
      <c r="BL335" s="25"/>
      <c r="BM335" s="25"/>
      <c r="BN335" s="25"/>
      <c r="BO335" s="25"/>
      <c r="BP335" s="25"/>
      <c r="BQ335" s="25"/>
      <c r="BR335" s="27"/>
    </row>
    <row r="336" spans="2:70" hidden="1" outlineLevel="1">
      <c r="B336" s="5" t="s">
        <v>162</v>
      </c>
      <c r="C336" s="38" t="s">
        <v>163</v>
      </c>
      <c r="D336" s="16" t="s">
        <v>289</v>
      </c>
      <c r="E336" s="16" t="s">
        <v>289</v>
      </c>
      <c r="F336" s="16" t="s">
        <v>289</v>
      </c>
      <c r="G336" s="16" t="s">
        <v>289</v>
      </c>
      <c r="H336" s="16" t="s">
        <v>289</v>
      </c>
      <c r="I336" s="16" t="s">
        <v>289</v>
      </c>
      <c r="J336" s="16" t="s">
        <v>289</v>
      </c>
      <c r="K336" s="16" t="s">
        <v>289</v>
      </c>
      <c r="L336" s="16" t="s">
        <v>289</v>
      </c>
      <c r="M336" s="16" t="s">
        <v>289</v>
      </c>
      <c r="N336" s="16" t="s">
        <v>289</v>
      </c>
      <c r="O336" s="16" t="s">
        <v>289</v>
      </c>
      <c r="P336" s="16" t="s">
        <v>289</v>
      </c>
      <c r="Q336" s="16" t="s">
        <v>289</v>
      </c>
      <c r="R336" s="16" t="s">
        <v>289</v>
      </c>
      <c r="S336" s="16" t="s">
        <v>289</v>
      </c>
      <c r="T336" s="16" t="s">
        <v>289</v>
      </c>
      <c r="U336" s="16" t="s">
        <v>289</v>
      </c>
      <c r="V336" s="16" t="s">
        <v>289</v>
      </c>
      <c r="W336" s="16"/>
      <c r="X336" s="16"/>
      <c r="Y336" s="16"/>
      <c r="Z336" s="16"/>
      <c r="AA336" s="16"/>
      <c r="AB336" s="25"/>
      <c r="AC336" s="2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16"/>
      <c r="AZ336" s="5"/>
      <c r="BK336" s="25"/>
      <c r="BL336" s="25"/>
      <c r="BM336" s="25"/>
      <c r="BN336" s="25"/>
      <c r="BO336" s="25"/>
      <c r="BP336" s="25"/>
      <c r="BQ336" s="25"/>
      <c r="BR336" s="27"/>
    </row>
    <row r="337" spans="1:72" s="33" customFormat="1" hidden="1" outlineLevel="1">
      <c r="A337" s="5"/>
      <c r="B337" s="5" t="s">
        <v>164</v>
      </c>
      <c r="C337" s="38" t="s">
        <v>165</v>
      </c>
      <c r="D337" s="16" t="s">
        <v>289</v>
      </c>
      <c r="E337" s="16" t="s">
        <v>289</v>
      </c>
      <c r="F337" s="16" t="s">
        <v>289</v>
      </c>
      <c r="G337" s="16" t="s">
        <v>289</v>
      </c>
      <c r="H337" s="16" t="s">
        <v>289</v>
      </c>
      <c r="I337" s="16" t="s">
        <v>289</v>
      </c>
      <c r="J337" s="16" t="s">
        <v>289</v>
      </c>
      <c r="K337" s="16" t="s">
        <v>289</v>
      </c>
      <c r="L337" s="16" t="s">
        <v>289</v>
      </c>
      <c r="M337" s="16" t="s">
        <v>289</v>
      </c>
      <c r="N337" s="16" t="s">
        <v>289</v>
      </c>
      <c r="O337" s="16" t="s">
        <v>289</v>
      </c>
      <c r="P337" s="16" t="s">
        <v>289</v>
      </c>
      <c r="Q337" s="16" t="s">
        <v>289</v>
      </c>
      <c r="R337" s="16" t="s">
        <v>289</v>
      </c>
      <c r="S337" s="16" t="s">
        <v>289</v>
      </c>
      <c r="T337" s="16" t="s">
        <v>289</v>
      </c>
      <c r="U337" s="16" t="s">
        <v>289</v>
      </c>
      <c r="V337" s="16" t="s">
        <v>289</v>
      </c>
      <c r="W337" s="16"/>
      <c r="X337" s="16"/>
      <c r="Y337" s="16"/>
      <c r="Z337" s="16"/>
      <c r="AA337" s="16"/>
      <c r="AB337" s="25"/>
      <c r="AC337" s="2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16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25"/>
      <c r="BL337" s="25"/>
      <c r="BM337" s="25"/>
      <c r="BN337" s="25"/>
      <c r="BO337" s="25"/>
      <c r="BP337" s="25"/>
      <c r="BQ337" s="25"/>
      <c r="BR337" s="27"/>
      <c r="BS337" s="5"/>
      <c r="BT337" s="5"/>
    </row>
    <row r="338" spans="1:72" s="33" customFormat="1" hidden="1" outlineLevel="1">
      <c r="A338" s="5"/>
      <c r="B338" s="5"/>
      <c r="C338" s="5" t="s">
        <v>166</v>
      </c>
      <c r="D338" s="25" t="str">
        <f t="shared" ref="D338:Y338" si="207">IF(D11="no","…",IFERROR(D339-D211,"…"))</f>
        <v>…</v>
      </c>
      <c r="E338" s="25" t="str">
        <f t="shared" si="207"/>
        <v>…</v>
      </c>
      <c r="F338" s="25" t="str">
        <f t="shared" si="207"/>
        <v>…</v>
      </c>
      <c r="G338" s="25" t="str">
        <f t="shared" si="207"/>
        <v>…</v>
      </c>
      <c r="H338" s="25" t="str">
        <f t="shared" si="207"/>
        <v>…</v>
      </c>
      <c r="I338" s="25" t="str">
        <f t="shared" si="207"/>
        <v>…</v>
      </c>
      <c r="J338" s="25" t="str">
        <f t="shared" si="207"/>
        <v>…</v>
      </c>
      <c r="K338" s="25" t="str">
        <f t="shared" si="207"/>
        <v>…</v>
      </c>
      <c r="L338" s="25" t="str">
        <f t="shared" si="207"/>
        <v>…</v>
      </c>
      <c r="M338" s="25" t="str">
        <f t="shared" si="207"/>
        <v>…</v>
      </c>
      <c r="N338" s="25" t="str">
        <f t="shared" si="207"/>
        <v>…</v>
      </c>
      <c r="O338" s="25" t="str">
        <f t="shared" si="207"/>
        <v>…</v>
      </c>
      <c r="P338" s="25">
        <f t="shared" si="207"/>
        <v>247.71700000000001</v>
      </c>
      <c r="Q338" s="25">
        <f t="shared" si="207"/>
        <v>143.48399999999998</v>
      </c>
      <c r="R338" s="25">
        <f t="shared" si="207"/>
        <v>156.38399999999999</v>
      </c>
      <c r="S338" s="25">
        <f t="shared" si="207"/>
        <v>191.48200000000003</v>
      </c>
      <c r="T338" s="25">
        <f t="shared" si="207"/>
        <v>217.952</v>
      </c>
      <c r="U338" s="25">
        <f t="shared" si="207"/>
        <v>230.09699999999998</v>
      </c>
      <c r="V338" s="25" t="str">
        <f t="shared" si="207"/>
        <v>…</v>
      </c>
      <c r="W338" s="25" t="str">
        <f t="shared" si="207"/>
        <v>…</v>
      </c>
      <c r="X338" s="25" t="str">
        <f t="shared" si="207"/>
        <v>…</v>
      </c>
      <c r="Y338" s="25" t="str">
        <f t="shared" si="207"/>
        <v>…</v>
      </c>
      <c r="Z338" s="25"/>
      <c r="AA338" s="25"/>
      <c r="AB338" s="25"/>
      <c r="AC338" s="2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2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22"/>
      <c r="BL338" s="23"/>
      <c r="BM338" s="22"/>
      <c r="BN338" s="22"/>
      <c r="BO338" s="22"/>
      <c r="BP338" s="22"/>
      <c r="BQ338" s="22"/>
      <c r="BR338" s="24"/>
      <c r="BS338" s="5"/>
      <c r="BT338" s="5"/>
    </row>
    <row r="339" spans="1:72" s="33" customFormat="1" ht="13.15" hidden="1" outlineLevel="1">
      <c r="A339" s="5"/>
      <c r="B339" s="5"/>
      <c r="C339" s="5" t="s">
        <v>167</v>
      </c>
      <c r="D339" s="25" t="str">
        <f t="shared" ref="D339:T339" si="208">IF(ISNUMBER(D340),D340,IF(ISNUMBER(D341),D341,IF(ISNUMBER(D342),D342,"…")))</f>
        <v>…</v>
      </c>
      <c r="E339" s="25" t="str">
        <f t="shared" si="208"/>
        <v>…</v>
      </c>
      <c r="F339" s="25" t="str">
        <f t="shared" si="208"/>
        <v>…</v>
      </c>
      <c r="G339" s="25" t="str">
        <f t="shared" si="208"/>
        <v>…</v>
      </c>
      <c r="H339" s="25" t="str">
        <f t="shared" si="208"/>
        <v>…</v>
      </c>
      <c r="I339" s="25" t="str">
        <f t="shared" si="208"/>
        <v>…</v>
      </c>
      <c r="J339" s="25" t="str">
        <f t="shared" si="208"/>
        <v>…</v>
      </c>
      <c r="K339" s="25" t="str">
        <f t="shared" si="208"/>
        <v>…</v>
      </c>
      <c r="L339" s="25">
        <f t="shared" si="208"/>
        <v>237.54</v>
      </c>
      <c r="M339" s="25">
        <f t="shared" si="208"/>
        <v>270.25</v>
      </c>
      <c r="N339" s="25">
        <f t="shared" si="208"/>
        <v>288.98200000000003</v>
      </c>
      <c r="O339" s="25">
        <f t="shared" si="208"/>
        <v>274.75700000000001</v>
      </c>
      <c r="P339" s="25">
        <f t="shared" si="208"/>
        <v>247.71700000000001</v>
      </c>
      <c r="Q339" s="25">
        <f t="shared" si="208"/>
        <v>260.60599999999999</v>
      </c>
      <c r="R339" s="25">
        <f t="shared" si="208"/>
        <v>288.74799999999999</v>
      </c>
      <c r="S339" s="25">
        <f t="shared" si="208"/>
        <v>351.94600000000003</v>
      </c>
      <c r="T339" s="25">
        <f t="shared" si="208"/>
        <v>426.637</v>
      </c>
      <c r="U339" s="25">
        <f>IF(ISNUMBER(U340),U340,IF(ISNUMBER(U341),U341,IF(ISNUMBER(U342),U342,"…")))</f>
        <v>455.98899999999998</v>
      </c>
      <c r="V339" s="25" t="str">
        <f>IF(ISNUMBER(V340),V340,IF(ISNUMBER(V341),V341,IF(ISNUMBER(V342),V342,"…")))</f>
        <v>…</v>
      </c>
      <c r="W339" s="25" t="str">
        <f>IF(ISNUMBER(W340),W340,IF(ISNUMBER(W341),W341,IF(ISNUMBER(W342),W342,"…")))</f>
        <v>…</v>
      </c>
      <c r="X339" s="25" t="str">
        <f>IF(ISNUMBER(X340),X340,IF(ISNUMBER(X341),X341,IF(ISNUMBER(X342),X342,"…")))</f>
        <v>…</v>
      </c>
      <c r="Y339" s="25" t="str">
        <f>IF(ISNUMBER(Y340),Y340,IF(ISNUMBER(Y341),Y341,IF(ISNUMBER(Y342),Y342,"…")))</f>
        <v>…</v>
      </c>
      <c r="Z339" s="25"/>
      <c r="AA339" s="25"/>
      <c r="AB339" s="5"/>
      <c r="AC339" s="5"/>
      <c r="AD339" s="5"/>
      <c r="AE339" s="5" t="s">
        <v>1576</v>
      </c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2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14"/>
      <c r="BL339" s="14"/>
      <c r="BM339" s="14"/>
      <c r="BN339" s="14"/>
      <c r="BO339" s="14"/>
      <c r="BP339" s="14"/>
      <c r="BQ339" s="14"/>
      <c r="BR339" s="17"/>
      <c r="BS339" s="5"/>
      <c r="BT339" s="5"/>
    </row>
    <row r="340" spans="1:72" s="33" customFormat="1" hidden="1" outlineLevel="1">
      <c r="A340" s="5"/>
      <c r="B340" s="5" t="s">
        <v>168</v>
      </c>
      <c r="C340" s="38" t="s">
        <v>154</v>
      </c>
      <c r="D340" s="16" t="s">
        <v>289</v>
      </c>
      <c r="E340" s="16" t="s">
        <v>289</v>
      </c>
      <c r="F340" s="16" t="s">
        <v>289</v>
      </c>
      <c r="G340" s="16" t="s">
        <v>289</v>
      </c>
      <c r="H340" s="16" t="s">
        <v>289</v>
      </c>
      <c r="I340" s="16" t="s">
        <v>289</v>
      </c>
      <c r="J340" s="16" t="s">
        <v>289</v>
      </c>
      <c r="K340" s="16" t="s">
        <v>289</v>
      </c>
      <c r="L340" s="16" t="s">
        <v>289</v>
      </c>
      <c r="M340" s="16" t="s">
        <v>289</v>
      </c>
      <c r="N340" s="16" t="s">
        <v>289</v>
      </c>
      <c r="O340" s="16" t="s">
        <v>289</v>
      </c>
      <c r="P340" s="16" t="s">
        <v>289</v>
      </c>
      <c r="Q340" s="16" t="s">
        <v>289</v>
      </c>
      <c r="R340" s="16" t="s">
        <v>289</v>
      </c>
      <c r="S340" s="16" t="s">
        <v>289</v>
      </c>
      <c r="T340" s="16" t="s">
        <v>289</v>
      </c>
      <c r="U340" s="16" t="s">
        <v>289</v>
      </c>
      <c r="V340" s="16" t="s">
        <v>289</v>
      </c>
      <c r="W340" s="16"/>
      <c r="X340" s="16"/>
      <c r="Y340" s="16"/>
      <c r="Z340" s="16"/>
      <c r="AA340" s="16"/>
      <c r="AB340" s="25"/>
      <c r="AC340" s="2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16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22"/>
      <c r="BL340" s="23"/>
      <c r="BM340" s="22"/>
      <c r="BN340" s="22"/>
      <c r="BO340" s="22"/>
      <c r="BP340" s="22"/>
      <c r="BQ340" s="22"/>
      <c r="BR340" s="24"/>
      <c r="BS340" s="5"/>
      <c r="BT340" s="5"/>
    </row>
    <row r="341" spans="1:72" s="33" customFormat="1" hidden="1" outlineLevel="1">
      <c r="A341" s="5"/>
      <c r="B341" s="5" t="s">
        <v>170</v>
      </c>
      <c r="C341" s="38" t="s">
        <v>161</v>
      </c>
      <c r="D341" s="16" t="s">
        <v>289</v>
      </c>
      <c r="E341" s="16" t="s">
        <v>289</v>
      </c>
      <c r="F341" s="16" t="s">
        <v>289</v>
      </c>
      <c r="G341" s="16" t="s">
        <v>289</v>
      </c>
      <c r="H341" s="16" t="s">
        <v>289</v>
      </c>
      <c r="I341" s="16" t="s">
        <v>289</v>
      </c>
      <c r="J341" s="16" t="s">
        <v>289</v>
      </c>
      <c r="K341" s="16" t="s">
        <v>289</v>
      </c>
      <c r="L341" s="16">
        <v>237.54</v>
      </c>
      <c r="M341" s="16">
        <v>270.25</v>
      </c>
      <c r="N341" s="16">
        <v>288.98200000000003</v>
      </c>
      <c r="O341" s="16">
        <v>274.75700000000001</v>
      </c>
      <c r="P341" s="16">
        <v>247.71700000000001</v>
      </c>
      <c r="Q341" s="16">
        <v>260.60599999999999</v>
      </c>
      <c r="R341" s="16">
        <v>288.74799999999999</v>
      </c>
      <c r="S341" s="16">
        <v>351.94600000000003</v>
      </c>
      <c r="T341" s="16">
        <v>426.637</v>
      </c>
      <c r="U341" s="16">
        <v>455.98899999999998</v>
      </c>
      <c r="V341" s="16" t="s">
        <v>289</v>
      </c>
      <c r="W341" s="16"/>
      <c r="X341" s="16"/>
      <c r="Y341" s="16"/>
      <c r="Z341" s="16"/>
      <c r="AA341" s="16"/>
      <c r="AB341" s="25"/>
      <c r="AC341" s="2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16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25"/>
      <c r="BL341" s="25"/>
      <c r="BM341" s="25"/>
      <c r="BN341" s="25"/>
      <c r="BO341" s="25"/>
      <c r="BP341" s="25"/>
      <c r="BQ341" s="25"/>
      <c r="BR341" s="27"/>
      <c r="BS341" s="5"/>
      <c r="BT341" s="5"/>
    </row>
    <row r="342" spans="1:72" s="33" customFormat="1" hidden="1" outlineLevel="1">
      <c r="A342" s="5"/>
      <c r="B342" s="5" t="s">
        <v>169</v>
      </c>
      <c r="C342" s="38" t="s">
        <v>163</v>
      </c>
      <c r="D342" s="16" t="s">
        <v>289</v>
      </c>
      <c r="E342" s="16" t="s">
        <v>289</v>
      </c>
      <c r="F342" s="16" t="s">
        <v>289</v>
      </c>
      <c r="G342" s="16" t="s">
        <v>289</v>
      </c>
      <c r="H342" s="16" t="s">
        <v>289</v>
      </c>
      <c r="I342" s="16" t="s">
        <v>289</v>
      </c>
      <c r="J342" s="16" t="s">
        <v>289</v>
      </c>
      <c r="K342" s="16" t="s">
        <v>289</v>
      </c>
      <c r="L342" s="16" t="s">
        <v>289</v>
      </c>
      <c r="M342" s="16" t="s">
        <v>289</v>
      </c>
      <c r="N342" s="16" t="s">
        <v>289</v>
      </c>
      <c r="O342" s="16" t="s">
        <v>289</v>
      </c>
      <c r="P342" s="16" t="s">
        <v>289</v>
      </c>
      <c r="Q342" s="16">
        <v>260.60599999999999</v>
      </c>
      <c r="R342" s="16">
        <v>288.74799999999999</v>
      </c>
      <c r="S342" s="16">
        <v>351.94600000000003</v>
      </c>
      <c r="T342" s="16">
        <v>426.637</v>
      </c>
      <c r="U342" s="16">
        <v>455.98899999999998</v>
      </c>
      <c r="V342" s="16" t="s">
        <v>289</v>
      </c>
      <c r="W342" s="16"/>
      <c r="X342" s="16"/>
      <c r="Y342" s="16"/>
      <c r="Z342" s="16"/>
      <c r="AA342" s="16"/>
      <c r="AB342" s="25"/>
      <c r="AC342" s="2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16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25"/>
      <c r="BL342" s="25"/>
      <c r="BM342" s="25"/>
      <c r="BN342" s="25"/>
      <c r="BO342" s="25"/>
      <c r="BP342" s="25"/>
      <c r="BQ342" s="25"/>
      <c r="BR342" s="27"/>
      <c r="BS342" s="5"/>
      <c r="BT342" s="5"/>
    </row>
    <row r="343" spans="1:72" s="33" customFormat="1" hidden="1" outlineLevel="1">
      <c r="A343" s="5"/>
      <c r="B343" s="5"/>
      <c r="C343" s="38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2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25"/>
      <c r="BL343" s="25"/>
      <c r="BM343" s="25"/>
      <c r="BN343" s="25"/>
      <c r="BO343" s="25"/>
      <c r="BP343" s="25"/>
      <c r="BQ343" s="25"/>
      <c r="BR343" s="27"/>
      <c r="BS343" s="5"/>
      <c r="BT343" s="5"/>
    </row>
    <row r="344" spans="1:72" s="33" customFormat="1" collapsed="1">
      <c r="A344" s="5"/>
      <c r="B344" s="5"/>
      <c r="C344" s="38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2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25"/>
      <c r="BL344" s="25"/>
      <c r="BM344" s="25"/>
      <c r="BN344" s="25"/>
      <c r="BO344" s="25"/>
      <c r="BP344" s="25"/>
      <c r="BQ344" s="25"/>
      <c r="BR344" s="27"/>
      <c r="BS344" s="5"/>
      <c r="BT344" s="5"/>
    </row>
    <row r="345" spans="1:72" s="33" customFormat="1">
      <c r="A345" s="5"/>
      <c r="B345" s="5"/>
      <c r="C345" s="38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2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25"/>
      <c r="BL345" s="25"/>
      <c r="BM345" s="25"/>
      <c r="BN345" s="25"/>
      <c r="BO345" s="25"/>
      <c r="BP345" s="25"/>
      <c r="BQ345" s="25"/>
      <c r="BR345" s="27"/>
      <c r="BS345" s="5"/>
      <c r="BT345" s="5"/>
    </row>
    <row r="346" spans="1:72" s="33" customFormat="1" ht="13.15">
      <c r="A346" s="5"/>
      <c r="B346" s="5"/>
      <c r="C346" s="12" t="s">
        <v>2489</v>
      </c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2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25"/>
      <c r="BL346" s="25"/>
      <c r="BM346" s="25"/>
      <c r="BN346" s="25"/>
      <c r="BO346" s="25"/>
      <c r="BP346" s="25"/>
      <c r="BQ346" s="25"/>
      <c r="BR346" s="27"/>
      <c r="BS346" s="5"/>
      <c r="BT346" s="5"/>
    </row>
    <row r="347" spans="1:72" s="33" customFormat="1" ht="13.15">
      <c r="A347" s="5"/>
      <c r="B347" s="5"/>
      <c r="C347" s="9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24"/>
      <c r="AE347" s="5"/>
      <c r="AF347" s="5"/>
      <c r="AG347" s="5"/>
      <c r="AY347" s="14"/>
      <c r="BD347" s="5"/>
      <c r="BE347" s="5"/>
      <c r="BF347" s="5"/>
      <c r="BG347" s="5"/>
      <c r="BH347" s="5"/>
      <c r="BI347" s="5"/>
      <c r="BJ347" s="24"/>
      <c r="BK347" s="22"/>
      <c r="BL347" s="23"/>
      <c r="BM347" s="22"/>
      <c r="BN347" s="22"/>
      <c r="BO347" s="22"/>
      <c r="BP347" s="22"/>
      <c r="BQ347" s="22"/>
      <c r="BR347" s="24"/>
      <c r="BS347" s="5"/>
    </row>
    <row r="348" spans="1:72" s="33" customFormat="1" ht="13.15">
      <c r="A348" s="5"/>
      <c r="B348" s="5"/>
      <c r="C348" s="9" t="s">
        <v>212</v>
      </c>
      <c r="D348" s="14" t="str">
        <f t="shared" ref="D348:Y348" si="209">IF(ISNUMBER(D349),D349,IF(ISNUMBER(D350),D350,"…"))</f>
        <v>…</v>
      </c>
      <c r="E348" s="14" t="str">
        <f t="shared" si="209"/>
        <v>…</v>
      </c>
      <c r="F348" s="14" t="str">
        <f t="shared" si="209"/>
        <v>…</v>
      </c>
      <c r="G348" s="14" t="str">
        <f t="shared" si="209"/>
        <v>…</v>
      </c>
      <c r="H348" s="14" t="str">
        <f t="shared" si="209"/>
        <v>…</v>
      </c>
      <c r="I348" s="14" t="str">
        <f t="shared" si="209"/>
        <v>…</v>
      </c>
      <c r="J348" s="14" t="str">
        <f t="shared" si="209"/>
        <v>…</v>
      </c>
      <c r="K348" s="14" t="str">
        <f t="shared" si="209"/>
        <v>…</v>
      </c>
      <c r="L348" s="14" t="str">
        <f t="shared" si="209"/>
        <v>…</v>
      </c>
      <c r="M348" s="14">
        <f t="shared" si="209"/>
        <v>891.12699999999995</v>
      </c>
      <c r="N348" s="14">
        <f t="shared" si="209"/>
        <v>1240.636</v>
      </c>
      <c r="O348" s="14">
        <f t="shared" si="209"/>
        <v>1655.472</v>
      </c>
      <c r="P348" s="14">
        <f t="shared" si="209"/>
        <v>1095.9970000000001</v>
      </c>
      <c r="Q348" s="14">
        <f t="shared" si="209"/>
        <v>944.14</v>
      </c>
      <c r="R348" s="14">
        <f t="shared" si="209"/>
        <v>1025.1369999999999</v>
      </c>
      <c r="S348" s="14">
        <f t="shared" si="209"/>
        <v>1154.759</v>
      </c>
      <c r="T348" s="14">
        <f t="shared" si="209"/>
        <v>1621.07</v>
      </c>
      <c r="U348" s="14">
        <f t="shared" si="209"/>
        <v>1463.3810000000001</v>
      </c>
      <c r="V348" s="14" t="str">
        <f t="shared" si="209"/>
        <v>…</v>
      </c>
      <c r="W348" s="14" t="str">
        <f t="shared" si="209"/>
        <v>…</v>
      </c>
      <c r="X348" s="14" t="str">
        <f t="shared" si="209"/>
        <v>…</v>
      </c>
      <c r="Y348" s="14" t="str">
        <f t="shared" si="209"/>
        <v>…</v>
      </c>
      <c r="Z348" s="14"/>
      <c r="AA348" s="14"/>
      <c r="AB348" s="14"/>
      <c r="AC348" s="14"/>
      <c r="AD348" s="5"/>
      <c r="AE348" s="5"/>
      <c r="AF348" s="5"/>
      <c r="AG348" s="5"/>
      <c r="AY348" s="14"/>
      <c r="BD348" s="5"/>
      <c r="BE348" s="5"/>
      <c r="BF348" s="5"/>
      <c r="BG348" s="5"/>
      <c r="BH348" s="5"/>
      <c r="BI348" s="5"/>
      <c r="BJ348" s="24"/>
      <c r="BK348" s="22"/>
      <c r="BL348" s="23"/>
      <c r="BM348" s="22"/>
      <c r="BN348" s="22"/>
      <c r="BO348" s="22"/>
      <c r="BP348" s="22"/>
      <c r="BQ348" s="22"/>
      <c r="BR348" s="24"/>
      <c r="BS348" s="5"/>
    </row>
    <row r="349" spans="1:72" s="33" customFormat="1" hidden="1" outlineLevel="1">
      <c r="A349" s="5"/>
      <c r="B349" s="5" t="s">
        <v>213</v>
      </c>
      <c r="C349" s="38" t="s">
        <v>154</v>
      </c>
      <c r="D349" s="16" t="s">
        <v>289</v>
      </c>
      <c r="E349" s="16" t="s">
        <v>289</v>
      </c>
      <c r="F349" s="16" t="s">
        <v>289</v>
      </c>
      <c r="G349" s="16" t="s">
        <v>289</v>
      </c>
      <c r="H349" s="16" t="s">
        <v>289</v>
      </c>
      <c r="I349" s="16" t="s">
        <v>289</v>
      </c>
      <c r="J349" s="16" t="s">
        <v>289</v>
      </c>
      <c r="K349" s="16" t="s">
        <v>289</v>
      </c>
      <c r="L349" s="16" t="s">
        <v>289</v>
      </c>
      <c r="M349" s="16">
        <v>891.12699999999995</v>
      </c>
      <c r="N349" s="16">
        <v>1240.636</v>
      </c>
      <c r="O349" s="16">
        <v>1655.472</v>
      </c>
      <c r="P349" s="16">
        <v>1095.9970000000001</v>
      </c>
      <c r="Q349" s="16">
        <v>944.14</v>
      </c>
      <c r="R349" s="16">
        <v>1025.1369999999999</v>
      </c>
      <c r="S349" s="16">
        <v>1154.759</v>
      </c>
      <c r="T349" s="16">
        <v>1621.07</v>
      </c>
      <c r="U349" s="16">
        <v>1463.3810000000001</v>
      </c>
      <c r="V349" s="16" t="s">
        <v>289</v>
      </c>
      <c r="W349" s="16"/>
      <c r="X349" s="16"/>
      <c r="Y349" s="16"/>
      <c r="Z349" s="16"/>
      <c r="AA349" s="16"/>
      <c r="AB349" s="25"/>
      <c r="AC349" s="25"/>
      <c r="AD349" s="5"/>
      <c r="AE349" s="5"/>
      <c r="AF349" s="5"/>
      <c r="AG349" s="5"/>
      <c r="AY349" s="16"/>
      <c r="BD349" s="5"/>
      <c r="BE349" s="5"/>
      <c r="BF349" s="5"/>
      <c r="BG349" s="5"/>
      <c r="BH349" s="5"/>
      <c r="BI349" s="5"/>
      <c r="BJ349" s="24"/>
      <c r="BK349" s="22"/>
      <c r="BL349" s="23"/>
      <c r="BM349" s="22"/>
      <c r="BN349" s="22"/>
      <c r="BO349" s="22"/>
      <c r="BP349" s="22"/>
      <c r="BQ349" s="22"/>
      <c r="BR349" s="24"/>
      <c r="BS349" s="5"/>
    </row>
    <row r="350" spans="1:72" s="33" customFormat="1" hidden="1" outlineLevel="1">
      <c r="A350" s="5"/>
      <c r="B350" s="5" t="s">
        <v>214</v>
      </c>
      <c r="C350" s="38" t="s">
        <v>161</v>
      </c>
      <c r="D350" s="16" t="s">
        <v>289</v>
      </c>
      <c r="E350" s="16" t="s">
        <v>289</v>
      </c>
      <c r="F350" s="16" t="s">
        <v>289</v>
      </c>
      <c r="G350" s="16" t="s">
        <v>289</v>
      </c>
      <c r="H350" s="16" t="s">
        <v>289</v>
      </c>
      <c r="I350" s="16" t="s">
        <v>289</v>
      </c>
      <c r="J350" s="16" t="s">
        <v>289</v>
      </c>
      <c r="K350" s="16" t="s">
        <v>289</v>
      </c>
      <c r="L350" s="16" t="s">
        <v>289</v>
      </c>
      <c r="M350" s="16" t="s">
        <v>289</v>
      </c>
      <c r="N350" s="16" t="s">
        <v>289</v>
      </c>
      <c r="O350" s="16" t="s">
        <v>289</v>
      </c>
      <c r="P350" s="16" t="s">
        <v>289</v>
      </c>
      <c r="Q350" s="16" t="s">
        <v>289</v>
      </c>
      <c r="R350" s="16" t="s">
        <v>289</v>
      </c>
      <c r="S350" s="16" t="s">
        <v>289</v>
      </c>
      <c r="T350" s="16" t="s">
        <v>289</v>
      </c>
      <c r="U350" s="16" t="s">
        <v>289</v>
      </c>
      <c r="V350" s="16" t="s">
        <v>289</v>
      </c>
      <c r="W350" s="16"/>
      <c r="X350" s="16"/>
      <c r="Y350" s="16"/>
      <c r="Z350" s="16"/>
      <c r="AA350" s="16"/>
      <c r="AB350" s="25"/>
      <c r="AC350" s="25"/>
      <c r="AD350" s="5"/>
      <c r="AE350" s="5"/>
      <c r="AF350" s="5"/>
      <c r="AG350" s="5"/>
      <c r="AY350" s="16"/>
      <c r="BD350" s="5"/>
      <c r="BE350" s="5"/>
      <c r="BF350" s="5"/>
      <c r="BG350" s="5"/>
      <c r="BH350" s="5"/>
      <c r="BI350" s="5"/>
      <c r="BJ350" s="24"/>
      <c r="BK350" s="22"/>
      <c r="BL350" s="23"/>
      <c r="BM350" s="22"/>
      <c r="BN350" s="22"/>
      <c r="BO350" s="22"/>
      <c r="BP350" s="22"/>
      <c r="BQ350" s="22"/>
      <c r="BR350" s="24"/>
      <c r="BS350" s="5"/>
    </row>
    <row r="351" spans="1:72" s="33" customFormat="1" ht="13.15" collapsed="1">
      <c r="A351" s="5"/>
      <c r="B351" s="5"/>
      <c r="C351" s="9" t="s">
        <v>215</v>
      </c>
      <c r="D351" s="14" t="str">
        <f t="shared" ref="D351:Y351" si="210">IF(ISNUMBER(D352),D352,IF(ISNUMBER(D354/D353),D354+D353,"…"))</f>
        <v>…</v>
      </c>
      <c r="E351" s="14" t="str">
        <f t="shared" si="210"/>
        <v>…</v>
      </c>
      <c r="F351" s="14" t="str">
        <f t="shared" si="210"/>
        <v>…</v>
      </c>
      <c r="G351" s="14" t="str">
        <f t="shared" si="210"/>
        <v>…</v>
      </c>
      <c r="H351" s="14" t="str">
        <f t="shared" si="210"/>
        <v>…</v>
      </c>
      <c r="I351" s="14" t="str">
        <f t="shared" si="210"/>
        <v>…</v>
      </c>
      <c r="J351" s="14" t="str">
        <f t="shared" si="210"/>
        <v>…</v>
      </c>
      <c r="K351" s="14" t="str">
        <f t="shared" si="210"/>
        <v>…</v>
      </c>
      <c r="L351" s="14" t="str">
        <f t="shared" si="210"/>
        <v>…</v>
      </c>
      <c r="M351" s="14">
        <f t="shared" si="210"/>
        <v>296.78500000000003</v>
      </c>
      <c r="N351" s="14">
        <f t="shared" si="210"/>
        <v>491.32</v>
      </c>
      <c r="O351" s="14">
        <f t="shared" si="210"/>
        <v>919.40899999999999</v>
      </c>
      <c r="P351" s="14">
        <f t="shared" si="210"/>
        <v>399.87599999999998</v>
      </c>
      <c r="Q351" s="14">
        <f t="shared" si="210"/>
        <v>306.03100000000001</v>
      </c>
      <c r="R351" s="14">
        <f t="shared" si="210"/>
        <v>352.40899999999999</v>
      </c>
      <c r="S351" s="14">
        <f t="shared" si="210"/>
        <v>421.32299999999998</v>
      </c>
      <c r="T351" s="14">
        <f t="shared" si="210"/>
        <v>889.22799999999995</v>
      </c>
      <c r="U351" s="14">
        <f t="shared" si="210"/>
        <v>516.11900000000003</v>
      </c>
      <c r="V351" s="14" t="str">
        <f t="shared" si="210"/>
        <v>…</v>
      </c>
      <c r="W351" s="14" t="str">
        <f t="shared" si="210"/>
        <v>…</v>
      </c>
      <c r="X351" s="14" t="str">
        <f t="shared" si="210"/>
        <v>…</v>
      </c>
      <c r="Y351" s="14" t="str">
        <f t="shared" si="210"/>
        <v>…</v>
      </c>
      <c r="Z351" s="14"/>
      <c r="AA351" s="14"/>
      <c r="AB351" s="14"/>
      <c r="AC351" s="14"/>
      <c r="AD351" s="5"/>
      <c r="AE351" s="5"/>
      <c r="AF351" s="5"/>
      <c r="AG351" s="5"/>
      <c r="AY351" s="14"/>
      <c r="BD351" s="5"/>
      <c r="BE351" s="5"/>
      <c r="BF351" s="5"/>
      <c r="BG351" s="5"/>
      <c r="BH351" s="5"/>
      <c r="BI351" s="5"/>
      <c r="BJ351" s="24"/>
      <c r="BK351" s="22"/>
      <c r="BL351" s="23"/>
      <c r="BM351" s="22"/>
      <c r="BN351" s="22"/>
      <c r="BO351" s="22"/>
      <c r="BP351" s="22"/>
      <c r="BQ351" s="22"/>
      <c r="BR351" s="24"/>
      <c r="BS351" s="5"/>
    </row>
    <row r="352" spans="1:72" s="33" customFormat="1" hidden="1" outlineLevel="1">
      <c r="A352" s="5"/>
      <c r="B352" s="5" t="s">
        <v>216</v>
      </c>
      <c r="C352" s="38" t="s">
        <v>154</v>
      </c>
      <c r="D352" s="16" t="s">
        <v>289</v>
      </c>
      <c r="E352" s="16" t="s">
        <v>289</v>
      </c>
      <c r="F352" s="16" t="s">
        <v>289</v>
      </c>
      <c r="G352" s="16" t="s">
        <v>289</v>
      </c>
      <c r="H352" s="16" t="s">
        <v>289</v>
      </c>
      <c r="I352" s="16" t="s">
        <v>289</v>
      </c>
      <c r="J352" s="16" t="s">
        <v>289</v>
      </c>
      <c r="K352" s="16" t="s">
        <v>289</v>
      </c>
      <c r="L352" s="16" t="s">
        <v>289</v>
      </c>
      <c r="M352" s="16">
        <v>296.78500000000003</v>
      </c>
      <c r="N352" s="16">
        <v>491.32</v>
      </c>
      <c r="O352" s="16">
        <v>919.40899999999999</v>
      </c>
      <c r="P352" s="16">
        <v>399.87599999999998</v>
      </c>
      <c r="Q352" s="16">
        <v>306.03100000000001</v>
      </c>
      <c r="R352" s="16">
        <v>352.40899999999999</v>
      </c>
      <c r="S352" s="16">
        <v>421.32299999999998</v>
      </c>
      <c r="T352" s="16">
        <v>889.22799999999995</v>
      </c>
      <c r="U352" s="16">
        <v>516.11900000000003</v>
      </c>
      <c r="V352" s="16" t="s">
        <v>289</v>
      </c>
      <c r="W352" s="16"/>
      <c r="X352" s="16"/>
      <c r="Y352" s="16"/>
      <c r="Z352" s="16"/>
      <c r="AA352" s="16"/>
      <c r="AB352" s="25"/>
      <c r="AC352" s="25"/>
      <c r="AD352" s="5"/>
      <c r="AE352" s="5"/>
      <c r="AF352" s="5"/>
      <c r="AG352" s="5"/>
      <c r="AY352" s="16"/>
      <c r="BD352" s="5"/>
      <c r="BE352" s="5"/>
      <c r="BF352" s="5"/>
      <c r="BG352" s="5"/>
      <c r="BH352" s="5"/>
      <c r="BI352" s="5"/>
      <c r="BJ352" s="24"/>
      <c r="BK352" s="22"/>
      <c r="BL352" s="23"/>
      <c r="BM352" s="22"/>
      <c r="BN352" s="22"/>
      <c r="BO352" s="22"/>
      <c r="BP352" s="22"/>
      <c r="BQ352" s="22"/>
      <c r="BR352" s="24"/>
      <c r="BS352" s="5"/>
    </row>
    <row r="353" spans="1:71" s="33" customFormat="1" hidden="1" outlineLevel="1">
      <c r="A353" s="5"/>
      <c r="B353" s="5" t="s">
        <v>217</v>
      </c>
      <c r="C353" s="38" t="s">
        <v>161</v>
      </c>
      <c r="D353" s="16" t="s">
        <v>289</v>
      </c>
      <c r="E353" s="16" t="s">
        <v>289</v>
      </c>
      <c r="F353" s="16" t="s">
        <v>289</v>
      </c>
      <c r="G353" s="16" t="s">
        <v>289</v>
      </c>
      <c r="H353" s="16" t="s">
        <v>289</v>
      </c>
      <c r="I353" s="16" t="s">
        <v>289</v>
      </c>
      <c r="J353" s="16" t="s">
        <v>289</v>
      </c>
      <c r="K353" s="16" t="s">
        <v>289</v>
      </c>
      <c r="L353" s="16" t="s">
        <v>289</v>
      </c>
      <c r="M353" s="16" t="s">
        <v>289</v>
      </c>
      <c r="N353" s="16" t="s">
        <v>289</v>
      </c>
      <c r="O353" s="16" t="s">
        <v>289</v>
      </c>
      <c r="P353" s="16" t="s">
        <v>289</v>
      </c>
      <c r="Q353" s="16" t="s">
        <v>289</v>
      </c>
      <c r="R353" s="16" t="s">
        <v>289</v>
      </c>
      <c r="S353" s="16" t="s">
        <v>289</v>
      </c>
      <c r="T353" s="16" t="s">
        <v>289</v>
      </c>
      <c r="U353" s="16" t="s">
        <v>289</v>
      </c>
      <c r="V353" s="16" t="s">
        <v>289</v>
      </c>
      <c r="W353" s="16"/>
      <c r="X353" s="16"/>
      <c r="Y353" s="16"/>
      <c r="Z353" s="16"/>
      <c r="AA353" s="16"/>
      <c r="AB353" s="25"/>
      <c r="AC353" s="25"/>
      <c r="AD353" s="5"/>
      <c r="AE353" s="5"/>
      <c r="AF353" s="5"/>
      <c r="AG353" s="5"/>
      <c r="AY353" s="16"/>
      <c r="BD353" s="5"/>
      <c r="BE353" s="5"/>
      <c r="BF353" s="5"/>
      <c r="BG353" s="5"/>
      <c r="BH353" s="5"/>
      <c r="BI353" s="5"/>
      <c r="BJ353" s="24"/>
      <c r="BK353" s="22"/>
      <c r="BL353" s="23"/>
      <c r="BM353" s="22"/>
      <c r="BN353" s="22"/>
      <c r="BO353" s="22"/>
      <c r="BP353" s="22"/>
      <c r="BQ353" s="22"/>
      <c r="BR353" s="24"/>
      <c r="BS353" s="5"/>
    </row>
    <row r="354" spans="1:71" s="33" customFormat="1" hidden="1" outlineLevel="1">
      <c r="A354" s="5"/>
      <c r="B354" s="5" t="s">
        <v>218</v>
      </c>
      <c r="C354" s="38" t="s">
        <v>161</v>
      </c>
      <c r="D354" s="16" t="s">
        <v>289</v>
      </c>
      <c r="E354" s="16" t="s">
        <v>289</v>
      </c>
      <c r="F354" s="16" t="s">
        <v>289</v>
      </c>
      <c r="G354" s="16" t="s">
        <v>289</v>
      </c>
      <c r="H354" s="16" t="s">
        <v>289</v>
      </c>
      <c r="I354" s="16" t="s">
        <v>289</v>
      </c>
      <c r="J354" s="16" t="s">
        <v>289</v>
      </c>
      <c r="K354" s="16" t="s">
        <v>289</v>
      </c>
      <c r="L354" s="16" t="s">
        <v>289</v>
      </c>
      <c r="M354" s="16" t="s">
        <v>289</v>
      </c>
      <c r="N354" s="16" t="s">
        <v>289</v>
      </c>
      <c r="O354" s="16" t="s">
        <v>289</v>
      </c>
      <c r="P354" s="16" t="s">
        <v>289</v>
      </c>
      <c r="Q354" s="16" t="s">
        <v>289</v>
      </c>
      <c r="R354" s="16" t="s">
        <v>289</v>
      </c>
      <c r="S354" s="16" t="s">
        <v>289</v>
      </c>
      <c r="T354" s="16" t="s">
        <v>289</v>
      </c>
      <c r="U354" s="16" t="s">
        <v>289</v>
      </c>
      <c r="V354" s="16" t="s">
        <v>289</v>
      </c>
      <c r="W354" s="16"/>
      <c r="X354" s="16"/>
      <c r="Y354" s="16"/>
      <c r="Z354" s="16"/>
      <c r="AA354" s="16"/>
      <c r="AB354" s="25"/>
      <c r="AC354" s="25"/>
      <c r="AD354" s="24"/>
      <c r="AE354" s="5"/>
      <c r="AF354" s="5"/>
      <c r="AG354" s="5"/>
      <c r="AY354" s="16"/>
      <c r="BD354" s="5"/>
      <c r="BE354" s="5"/>
      <c r="BF354" s="5"/>
      <c r="BG354" s="5"/>
      <c r="BH354" s="5"/>
      <c r="BI354" s="5"/>
      <c r="BJ354" s="24"/>
      <c r="BK354" s="22"/>
      <c r="BL354" s="23"/>
      <c r="BM354" s="22"/>
      <c r="BN354" s="22"/>
      <c r="BO354" s="22"/>
      <c r="BP354" s="22"/>
      <c r="BQ354" s="22"/>
      <c r="BR354" s="24"/>
      <c r="BS354" s="5"/>
    </row>
    <row r="355" spans="1:71" s="33" customFormat="1" hidden="1" outlineLevel="1">
      <c r="A355" s="5"/>
      <c r="B355" s="5" t="s">
        <v>219</v>
      </c>
      <c r="C355" s="38" t="s">
        <v>163</v>
      </c>
      <c r="D355" s="16" t="s">
        <v>289</v>
      </c>
      <c r="E355" s="16" t="s">
        <v>289</v>
      </c>
      <c r="F355" s="16" t="s">
        <v>289</v>
      </c>
      <c r="G355" s="16" t="s">
        <v>289</v>
      </c>
      <c r="H355" s="16" t="s">
        <v>289</v>
      </c>
      <c r="I355" s="16" t="s">
        <v>289</v>
      </c>
      <c r="J355" s="16" t="s">
        <v>289</v>
      </c>
      <c r="K355" s="16" t="s">
        <v>289</v>
      </c>
      <c r="L355" s="16" t="s">
        <v>289</v>
      </c>
      <c r="M355" s="16">
        <v>296.78500000000003</v>
      </c>
      <c r="N355" s="16">
        <v>491.32</v>
      </c>
      <c r="O355" s="16">
        <v>919.40899999999999</v>
      </c>
      <c r="P355" s="16">
        <v>399.87599999999998</v>
      </c>
      <c r="Q355" s="16">
        <v>306.03100000000001</v>
      </c>
      <c r="R355" s="16">
        <v>352.40899999999999</v>
      </c>
      <c r="S355" s="16">
        <v>421.32299999999998</v>
      </c>
      <c r="T355" s="16">
        <v>889.22799999999995</v>
      </c>
      <c r="U355" s="16">
        <v>516.11900000000003</v>
      </c>
      <c r="V355" s="16" t="s">
        <v>289</v>
      </c>
      <c r="W355" s="16"/>
      <c r="X355" s="16"/>
      <c r="Y355" s="16"/>
      <c r="Z355" s="16"/>
      <c r="AA355" s="16"/>
      <c r="AB355" s="25"/>
      <c r="AC355" s="25"/>
      <c r="AD355" s="24"/>
      <c r="AE355" s="5"/>
      <c r="AF355" s="5"/>
      <c r="AG355" s="5"/>
      <c r="AY355" s="16"/>
      <c r="BD355" s="5"/>
      <c r="BE355" s="5"/>
      <c r="BF355" s="5"/>
      <c r="BG355" s="5"/>
      <c r="BH355" s="5"/>
      <c r="BI355" s="5"/>
      <c r="BJ355" s="24"/>
      <c r="BK355" s="22"/>
      <c r="BL355" s="23"/>
      <c r="BM355" s="22"/>
      <c r="BN355" s="22"/>
      <c r="BO355" s="22"/>
      <c r="BP355" s="22"/>
      <c r="BQ355" s="22"/>
      <c r="BR355" s="24"/>
      <c r="BS355" s="5"/>
    </row>
    <row r="356" spans="1:71" s="33" customFormat="1" hidden="1" outlineLevel="1">
      <c r="A356" s="5"/>
      <c r="B356" s="5"/>
      <c r="C356" s="38" t="s">
        <v>127</v>
      </c>
      <c r="D356" s="25" t="s">
        <v>127</v>
      </c>
      <c r="E356" s="25" t="s">
        <v>127</v>
      </c>
      <c r="F356" s="25" t="s">
        <v>127</v>
      </c>
      <c r="G356" s="25" t="s">
        <v>127</v>
      </c>
      <c r="H356" s="25" t="s">
        <v>127</v>
      </c>
      <c r="I356" s="25" t="s">
        <v>127</v>
      </c>
      <c r="J356" s="25" t="s">
        <v>127</v>
      </c>
      <c r="K356" s="25" t="s">
        <v>127</v>
      </c>
      <c r="L356" s="25" t="s">
        <v>127</v>
      </c>
      <c r="M356" s="25" t="s">
        <v>127</v>
      </c>
      <c r="N356" s="25" t="s">
        <v>127</v>
      </c>
      <c r="O356" s="25" t="s">
        <v>127</v>
      </c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4"/>
      <c r="AE356" s="5"/>
      <c r="AF356" s="5"/>
      <c r="AG356" s="5"/>
      <c r="AY356" s="25"/>
      <c r="BD356" s="5"/>
      <c r="BE356" s="5"/>
      <c r="BF356" s="5"/>
      <c r="BG356" s="5"/>
      <c r="BH356" s="5"/>
      <c r="BI356" s="5"/>
      <c r="BJ356" s="24"/>
      <c r="BK356" s="22"/>
      <c r="BL356" s="23"/>
      <c r="BM356" s="22"/>
      <c r="BN356" s="22"/>
      <c r="BO356" s="22"/>
      <c r="BP356" s="22"/>
      <c r="BQ356" s="22"/>
      <c r="BR356" s="24"/>
      <c r="BS356" s="5"/>
    </row>
    <row r="357" spans="1:71" s="33" customFormat="1" ht="13.15" collapsed="1">
      <c r="A357" s="5"/>
      <c r="B357" s="5"/>
      <c r="C357" s="9" t="s">
        <v>205</v>
      </c>
      <c r="D357" s="14">
        <f>IFERROR(SUM(D348)-SUM(D351),"…")</f>
        <v>0</v>
      </c>
      <c r="E357" s="14">
        <f t="shared" ref="E357:Q357" si="211">IFERROR(SUM(E348)-SUM(E351),"…")</f>
        <v>0</v>
      </c>
      <c r="F357" s="14">
        <f t="shared" si="211"/>
        <v>0</v>
      </c>
      <c r="G357" s="14">
        <f t="shared" si="211"/>
        <v>0</v>
      </c>
      <c r="H357" s="14">
        <f t="shared" si="211"/>
        <v>0</v>
      </c>
      <c r="I357" s="14">
        <f t="shared" si="211"/>
        <v>0</v>
      </c>
      <c r="J357" s="14">
        <f t="shared" si="211"/>
        <v>0</v>
      </c>
      <c r="K357" s="14">
        <f t="shared" si="211"/>
        <v>0</v>
      </c>
      <c r="L357" s="14">
        <f t="shared" si="211"/>
        <v>0</v>
      </c>
      <c r="M357" s="14">
        <f t="shared" si="211"/>
        <v>594.34199999999987</v>
      </c>
      <c r="N357" s="14">
        <f t="shared" si="211"/>
        <v>749.31600000000003</v>
      </c>
      <c r="O357" s="14">
        <f t="shared" si="211"/>
        <v>736.06299999999999</v>
      </c>
      <c r="P357" s="14">
        <f t="shared" si="211"/>
        <v>696.12100000000009</v>
      </c>
      <c r="Q357" s="14">
        <f t="shared" si="211"/>
        <v>638.10899999999992</v>
      </c>
      <c r="R357" s="14">
        <f t="shared" ref="R357:Y357" si="212">IFERROR(SUM(R348)-SUM(R351),"…")</f>
        <v>672.72799999999995</v>
      </c>
      <c r="S357" s="14">
        <f t="shared" si="212"/>
        <v>733.43600000000004</v>
      </c>
      <c r="T357" s="14">
        <f t="shared" si="212"/>
        <v>731.84199999999998</v>
      </c>
      <c r="U357" s="14">
        <f t="shared" si="212"/>
        <v>947.26200000000006</v>
      </c>
      <c r="V357" s="14">
        <f t="shared" si="212"/>
        <v>0</v>
      </c>
      <c r="W357" s="14">
        <f t="shared" si="212"/>
        <v>0</v>
      </c>
      <c r="X357" s="14">
        <f t="shared" si="212"/>
        <v>0</v>
      </c>
      <c r="Y357" s="14">
        <f t="shared" si="212"/>
        <v>0</v>
      </c>
      <c r="Z357" s="14"/>
      <c r="AA357" s="14"/>
      <c r="AB357" s="14"/>
      <c r="AC357" s="14"/>
      <c r="AD357" s="24"/>
      <c r="AE357" s="5"/>
      <c r="AF357" s="5"/>
      <c r="AG357" s="5"/>
      <c r="AY357" s="14"/>
      <c r="BD357" s="5"/>
      <c r="BE357" s="5"/>
      <c r="BF357" s="5"/>
      <c r="BG357" s="5"/>
      <c r="BH357" s="5"/>
      <c r="BI357" s="5"/>
      <c r="BJ357" s="24"/>
      <c r="BK357" s="22"/>
      <c r="BL357" s="23"/>
      <c r="BM357" s="22"/>
      <c r="BN357" s="22"/>
      <c r="BO357" s="22"/>
      <c r="BP357" s="22"/>
      <c r="BQ357" s="22"/>
      <c r="BR357" s="24"/>
      <c r="BS357" s="5"/>
    </row>
    <row r="358" spans="1:71" s="33" customFormat="1" ht="13.15">
      <c r="A358" s="5"/>
      <c r="B358" s="5"/>
      <c r="C358" s="9" t="s">
        <v>220</v>
      </c>
      <c r="D358" s="14" t="str">
        <f t="shared" ref="D358:Y358" si="213">IF(ISNUMBER(D359),D359,IF(ISNUMBER(D360),D360,"…"))</f>
        <v>…</v>
      </c>
      <c r="E358" s="14" t="str">
        <f t="shared" si="213"/>
        <v>…</v>
      </c>
      <c r="F358" s="14" t="str">
        <f t="shared" si="213"/>
        <v>…</v>
      </c>
      <c r="G358" s="14" t="str">
        <f t="shared" si="213"/>
        <v>…</v>
      </c>
      <c r="H358" s="14" t="str">
        <f t="shared" si="213"/>
        <v>…</v>
      </c>
      <c r="I358" s="14" t="str">
        <f t="shared" si="213"/>
        <v>…</v>
      </c>
      <c r="J358" s="14" t="str">
        <f t="shared" si="213"/>
        <v>…</v>
      </c>
      <c r="K358" s="14" t="str">
        <f t="shared" si="213"/>
        <v>…</v>
      </c>
      <c r="L358" s="14" t="str">
        <f t="shared" si="213"/>
        <v>…</v>
      </c>
      <c r="M358" s="14">
        <f t="shared" si="213"/>
        <v>3895.4749999999999</v>
      </c>
      <c r="N358" s="14">
        <f t="shared" si="213"/>
        <v>4641.4269999999997</v>
      </c>
      <c r="O358" s="14">
        <f t="shared" si="213"/>
        <v>3875.3989999999999</v>
      </c>
      <c r="P358" s="14">
        <f t="shared" si="213"/>
        <v>3849.6039999999998</v>
      </c>
      <c r="Q358" s="14">
        <f t="shared" si="213"/>
        <v>4141.1040000000003</v>
      </c>
      <c r="R358" s="14">
        <f t="shared" si="213"/>
        <v>4851.7330000000002</v>
      </c>
      <c r="S358" s="14">
        <f t="shared" si="213"/>
        <v>5446.3720000000003</v>
      </c>
      <c r="T358" s="14">
        <f t="shared" si="213"/>
        <v>6262.0469999999996</v>
      </c>
      <c r="U358" s="14">
        <f t="shared" si="213"/>
        <v>6863.5050000000001</v>
      </c>
      <c r="V358" s="14" t="str">
        <f t="shared" si="213"/>
        <v>…</v>
      </c>
      <c r="W358" s="14" t="str">
        <f t="shared" si="213"/>
        <v>…</v>
      </c>
      <c r="X358" s="14" t="str">
        <f t="shared" si="213"/>
        <v>…</v>
      </c>
      <c r="Y358" s="14" t="str">
        <f t="shared" si="213"/>
        <v>…</v>
      </c>
      <c r="Z358" s="14"/>
      <c r="AA358" s="14"/>
      <c r="AB358" s="14"/>
      <c r="AC358" s="14"/>
      <c r="AD358" s="5"/>
      <c r="AE358" s="5"/>
      <c r="AF358" s="5"/>
      <c r="AG358" s="5"/>
      <c r="AY358" s="14"/>
      <c r="BD358" s="5"/>
      <c r="BE358" s="5"/>
      <c r="BF358" s="5"/>
      <c r="BG358" s="5"/>
      <c r="BH358" s="5"/>
      <c r="BI358" s="5"/>
      <c r="BJ358" s="24"/>
      <c r="BK358" s="22"/>
      <c r="BL358" s="23"/>
      <c r="BM358" s="22"/>
      <c r="BN358" s="22"/>
      <c r="BO358" s="22"/>
      <c r="BP358" s="22"/>
      <c r="BQ358" s="22"/>
      <c r="BR358" s="24"/>
      <c r="BS358" s="5"/>
    </row>
    <row r="359" spans="1:71" s="33" customFormat="1" hidden="1" outlineLevel="1">
      <c r="A359" s="5"/>
      <c r="B359" s="5" t="s">
        <v>221</v>
      </c>
      <c r="C359" s="38" t="s">
        <v>154</v>
      </c>
      <c r="D359" s="16" t="s">
        <v>289</v>
      </c>
      <c r="E359" s="16" t="s">
        <v>289</v>
      </c>
      <c r="F359" s="16" t="s">
        <v>289</v>
      </c>
      <c r="G359" s="16" t="s">
        <v>289</v>
      </c>
      <c r="H359" s="16" t="s">
        <v>289</v>
      </c>
      <c r="I359" s="16" t="s">
        <v>289</v>
      </c>
      <c r="J359" s="16" t="s">
        <v>289</v>
      </c>
      <c r="K359" s="16" t="s">
        <v>289</v>
      </c>
      <c r="L359" s="16" t="s">
        <v>289</v>
      </c>
      <c r="M359" s="16">
        <v>3895.4749999999999</v>
      </c>
      <c r="N359" s="16">
        <v>4641.4269999999997</v>
      </c>
      <c r="O359" s="16">
        <v>3875.3989999999999</v>
      </c>
      <c r="P359" s="16">
        <v>3849.6039999999998</v>
      </c>
      <c r="Q359" s="16">
        <v>4141.1040000000003</v>
      </c>
      <c r="R359" s="16">
        <v>4851.7330000000002</v>
      </c>
      <c r="S359" s="16">
        <v>5446.3720000000003</v>
      </c>
      <c r="T359" s="16">
        <v>6262.0469999999996</v>
      </c>
      <c r="U359" s="16">
        <v>6863.5050000000001</v>
      </c>
      <c r="V359" s="16" t="s">
        <v>289</v>
      </c>
      <c r="W359" s="16"/>
      <c r="X359" s="16"/>
      <c r="Y359" s="16"/>
      <c r="Z359" s="16"/>
      <c r="AA359" s="16"/>
      <c r="AB359" s="25"/>
      <c r="AC359" s="25"/>
      <c r="AD359" s="5"/>
      <c r="AE359" s="5"/>
      <c r="AF359" s="5"/>
      <c r="AG359" s="5"/>
      <c r="AY359" s="16"/>
      <c r="BD359" s="5"/>
      <c r="BE359" s="5"/>
      <c r="BF359" s="5"/>
      <c r="BG359" s="5"/>
      <c r="BH359" s="5"/>
      <c r="BI359" s="5"/>
      <c r="BJ359" s="24"/>
      <c r="BK359" s="22"/>
      <c r="BL359" s="23"/>
      <c r="BM359" s="22"/>
      <c r="BN359" s="22"/>
      <c r="BO359" s="22"/>
      <c r="BP359" s="22"/>
      <c r="BQ359" s="22"/>
      <c r="BR359" s="24"/>
      <c r="BS359" s="5"/>
    </row>
    <row r="360" spans="1:71" s="33" customFormat="1" hidden="1" outlineLevel="1">
      <c r="A360" s="5"/>
      <c r="B360" s="5" t="s">
        <v>222</v>
      </c>
      <c r="C360" s="38" t="s">
        <v>161</v>
      </c>
      <c r="D360" s="16" t="s">
        <v>289</v>
      </c>
      <c r="E360" s="16" t="s">
        <v>289</v>
      </c>
      <c r="F360" s="16" t="s">
        <v>289</v>
      </c>
      <c r="G360" s="16" t="s">
        <v>289</v>
      </c>
      <c r="H360" s="16" t="s">
        <v>289</v>
      </c>
      <c r="I360" s="16" t="s">
        <v>289</v>
      </c>
      <c r="J360" s="16" t="s">
        <v>289</v>
      </c>
      <c r="K360" s="16" t="s">
        <v>289</v>
      </c>
      <c r="L360" s="16" t="s">
        <v>289</v>
      </c>
      <c r="M360" s="16">
        <v>3895.4749999999999</v>
      </c>
      <c r="N360" s="16">
        <v>4641.4269999999997</v>
      </c>
      <c r="O360" s="16">
        <v>3875.3989999999999</v>
      </c>
      <c r="P360" s="16">
        <v>3849.6039999999998</v>
      </c>
      <c r="Q360" s="16">
        <v>4141.1040000000003</v>
      </c>
      <c r="R360" s="16">
        <v>4851.7330000000002</v>
      </c>
      <c r="S360" s="16">
        <v>5446.3720000000003</v>
      </c>
      <c r="T360" s="16">
        <v>6262.0469999999996</v>
      </c>
      <c r="U360" s="16">
        <v>6863.5050000000001</v>
      </c>
      <c r="V360" s="16" t="s">
        <v>289</v>
      </c>
      <c r="W360" s="16"/>
      <c r="X360" s="16"/>
      <c r="Y360" s="16"/>
      <c r="Z360" s="16"/>
      <c r="AA360" s="16"/>
      <c r="AB360" s="25"/>
      <c r="AC360" s="25"/>
      <c r="AD360" s="5"/>
      <c r="AE360" s="5"/>
      <c r="AF360" s="5"/>
      <c r="AG360" s="5"/>
      <c r="AY360" s="16"/>
      <c r="BD360" s="5"/>
      <c r="BE360" s="5"/>
      <c r="BF360" s="5"/>
      <c r="BG360" s="5"/>
      <c r="BH360" s="5"/>
      <c r="BI360" s="5"/>
      <c r="BJ360" s="24"/>
      <c r="BK360" s="22"/>
      <c r="BL360" s="23"/>
      <c r="BM360" s="22"/>
      <c r="BN360" s="22"/>
      <c r="BO360" s="22"/>
      <c r="BP360" s="22"/>
      <c r="BQ360" s="22"/>
      <c r="BR360" s="24"/>
      <c r="BS360" s="5"/>
    </row>
    <row r="361" spans="1:71" s="33" customFormat="1" hidden="1" outlineLevel="1">
      <c r="A361" s="5"/>
      <c r="B361" s="5"/>
      <c r="C361" s="38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5"/>
      <c r="AE361" s="5"/>
      <c r="AF361" s="5"/>
      <c r="AG361" s="5"/>
      <c r="AY361" s="25"/>
      <c r="BD361" s="5"/>
      <c r="BE361" s="5"/>
      <c r="BF361" s="5"/>
      <c r="BG361" s="5"/>
      <c r="BH361" s="5"/>
      <c r="BI361" s="5"/>
      <c r="BJ361" s="24"/>
      <c r="BK361" s="22"/>
      <c r="BL361" s="23"/>
      <c r="BM361" s="22"/>
      <c r="BN361" s="22"/>
      <c r="BO361" s="22"/>
      <c r="BP361" s="22"/>
      <c r="BQ361" s="22"/>
      <c r="BR361" s="24"/>
      <c r="BS361" s="5"/>
    </row>
    <row r="362" spans="1:71" s="33" customFormat="1" ht="13.15" collapsed="1">
      <c r="A362" s="5"/>
      <c r="B362" s="5"/>
      <c r="C362" s="9" t="s">
        <v>223</v>
      </c>
      <c r="D362" s="14" t="str">
        <f t="shared" ref="D362:Y362" si="214">IF(D11="no","…",SUM(D363)-SUM(D394)-SUM(D428))</f>
        <v>…</v>
      </c>
      <c r="E362" s="14" t="str">
        <f t="shared" si="214"/>
        <v>…</v>
      </c>
      <c r="F362" s="14" t="str">
        <f t="shared" si="214"/>
        <v>…</v>
      </c>
      <c r="G362" s="14" t="str">
        <f t="shared" si="214"/>
        <v>…</v>
      </c>
      <c r="H362" s="14" t="str">
        <f t="shared" si="214"/>
        <v>…</v>
      </c>
      <c r="I362" s="14" t="str">
        <f t="shared" si="214"/>
        <v>…</v>
      </c>
      <c r="J362" s="14" t="str">
        <f t="shared" si="214"/>
        <v>…</v>
      </c>
      <c r="K362" s="14" t="str">
        <f t="shared" si="214"/>
        <v>…</v>
      </c>
      <c r="L362" s="14" t="str">
        <f t="shared" si="214"/>
        <v>…</v>
      </c>
      <c r="M362" s="14">
        <f t="shared" si="214"/>
        <v>2105.076</v>
      </c>
      <c r="N362" s="14">
        <f t="shared" si="214"/>
        <v>2710.3770000000004</v>
      </c>
      <c r="O362" s="14">
        <f t="shared" si="214"/>
        <v>1837.0700000000002</v>
      </c>
      <c r="P362" s="14">
        <f t="shared" si="214"/>
        <v>1429.6689999999999</v>
      </c>
      <c r="Q362" s="14">
        <f t="shared" si="214"/>
        <v>1433.3710000000001</v>
      </c>
      <c r="R362" s="14">
        <f t="shared" si="214"/>
        <v>1683.662</v>
      </c>
      <c r="S362" s="14">
        <f t="shared" si="214"/>
        <v>1743.2550000000001</v>
      </c>
      <c r="T362" s="14">
        <f t="shared" si="214"/>
        <v>1713.4769999999999</v>
      </c>
      <c r="U362" s="14">
        <f t="shared" si="214"/>
        <v>2019.5730000000001</v>
      </c>
      <c r="V362" s="14" t="str">
        <f t="shared" si="214"/>
        <v>…</v>
      </c>
      <c r="W362" s="14" t="str">
        <f t="shared" si="214"/>
        <v>…</v>
      </c>
      <c r="X362" s="14" t="str">
        <f t="shared" si="214"/>
        <v>…</v>
      </c>
      <c r="Y362" s="14" t="str">
        <f t="shared" si="214"/>
        <v>…</v>
      </c>
      <c r="Z362" s="14"/>
      <c r="AA362" s="14"/>
      <c r="AB362" s="14"/>
      <c r="AC362" s="14"/>
      <c r="AD362" s="5"/>
      <c r="AE362" s="5"/>
      <c r="AF362" s="5"/>
      <c r="AG362" s="5"/>
      <c r="AY362" s="14"/>
      <c r="BD362" s="5"/>
      <c r="BE362" s="5"/>
      <c r="BF362" s="5"/>
      <c r="BG362" s="5"/>
      <c r="BH362" s="5"/>
      <c r="BI362" s="5"/>
      <c r="BJ362" s="24"/>
      <c r="BK362" s="22"/>
      <c r="BL362" s="23"/>
      <c r="BM362" s="22"/>
      <c r="BN362" s="22"/>
      <c r="BO362" s="22"/>
      <c r="BP362" s="22"/>
      <c r="BQ362" s="22"/>
      <c r="BR362" s="24"/>
      <c r="BS362" s="5"/>
    </row>
    <row r="363" spans="1:71" s="33" customFormat="1" ht="13.15">
      <c r="A363" s="5"/>
      <c r="B363" s="5"/>
      <c r="C363" s="9" t="s">
        <v>318</v>
      </c>
      <c r="D363" s="14" t="str">
        <f t="shared" ref="D363:T363" si="215">IF(ISNUMBER(D364),D364,IF(ISNUMBER(D365),D365,"…"))</f>
        <v>…</v>
      </c>
      <c r="E363" s="14" t="str">
        <f t="shared" si="215"/>
        <v>…</v>
      </c>
      <c r="F363" s="14" t="str">
        <f t="shared" si="215"/>
        <v>…</v>
      </c>
      <c r="G363" s="14" t="str">
        <f t="shared" si="215"/>
        <v>…</v>
      </c>
      <c r="H363" s="14" t="str">
        <f t="shared" si="215"/>
        <v>…</v>
      </c>
      <c r="I363" s="14" t="str">
        <f t="shared" si="215"/>
        <v>…</v>
      </c>
      <c r="J363" s="14" t="str">
        <f t="shared" si="215"/>
        <v>…</v>
      </c>
      <c r="K363" s="14" t="str">
        <f t="shared" si="215"/>
        <v>…</v>
      </c>
      <c r="L363" s="14" t="str">
        <f t="shared" si="215"/>
        <v>…</v>
      </c>
      <c r="M363" s="14">
        <f t="shared" si="215"/>
        <v>2218.8620000000001</v>
      </c>
      <c r="N363" s="14">
        <f t="shared" si="215"/>
        <v>2844.6550000000002</v>
      </c>
      <c r="O363" s="14">
        <f t="shared" si="215"/>
        <v>2019.8230000000001</v>
      </c>
      <c r="P363" s="14">
        <f t="shared" si="215"/>
        <v>1887.453</v>
      </c>
      <c r="Q363" s="14">
        <f t="shared" si="215"/>
        <v>2081.0770000000002</v>
      </c>
      <c r="R363" s="14">
        <f t="shared" si="215"/>
        <v>2477.326</v>
      </c>
      <c r="S363" s="14">
        <f t="shared" si="215"/>
        <v>2641.201</v>
      </c>
      <c r="T363" s="14">
        <f t="shared" si="215"/>
        <v>3075.8829999999998</v>
      </c>
      <c r="U363" s="14">
        <f>IF(ISNUMBER(U364),U364,IF(ISNUMBER(U365),U365,"…"))</f>
        <v>3363.7190000000001</v>
      </c>
      <c r="V363" s="14" t="str">
        <f>IF(ISNUMBER(V364),V364,IF(ISNUMBER(V365),V365,"…"))</f>
        <v>…</v>
      </c>
      <c r="W363" s="14" t="str">
        <f>IF(ISNUMBER(W364),W364,IF(ISNUMBER(W365),W365,"…"))</f>
        <v>…</v>
      </c>
      <c r="X363" s="14" t="str">
        <f>IF(ISNUMBER(X364),X364,IF(ISNUMBER(X365),X365,"…"))</f>
        <v>…</v>
      </c>
      <c r="Y363" s="14" t="str">
        <f>IF(ISNUMBER(Y364),Y364,IF(ISNUMBER(Y365),Y365,"…"))</f>
        <v>…</v>
      </c>
      <c r="Z363" s="14"/>
      <c r="AA363" s="14"/>
      <c r="AB363" s="14"/>
      <c r="AC363" s="14"/>
      <c r="AD363" s="5"/>
      <c r="AE363" s="5"/>
      <c r="AF363" s="5"/>
      <c r="AG363" s="5"/>
      <c r="AY363" s="14"/>
      <c r="BD363" s="5"/>
      <c r="BE363" s="5"/>
      <c r="BF363" s="5"/>
      <c r="BG363" s="5"/>
      <c r="BH363" s="5"/>
      <c r="BI363" s="5"/>
      <c r="BJ363" s="24"/>
      <c r="BK363" s="22"/>
      <c r="BL363" s="23"/>
      <c r="BM363" s="22"/>
      <c r="BN363" s="22"/>
      <c r="BO363" s="22"/>
      <c r="BP363" s="22"/>
      <c r="BQ363" s="22"/>
      <c r="BR363" s="24"/>
      <c r="BS363" s="5"/>
    </row>
    <row r="364" spans="1:71" s="33" customFormat="1" hidden="1" outlineLevel="1">
      <c r="A364" s="5"/>
      <c r="B364" s="5" t="s">
        <v>224</v>
      </c>
      <c r="C364" s="38" t="s">
        <v>154</v>
      </c>
      <c r="D364" s="16" t="s">
        <v>289</v>
      </c>
      <c r="E364" s="16" t="s">
        <v>289</v>
      </c>
      <c r="F364" s="16" t="s">
        <v>289</v>
      </c>
      <c r="G364" s="16" t="s">
        <v>289</v>
      </c>
      <c r="H364" s="16" t="s">
        <v>289</v>
      </c>
      <c r="I364" s="16" t="s">
        <v>289</v>
      </c>
      <c r="J364" s="16" t="s">
        <v>289</v>
      </c>
      <c r="K364" s="16" t="s">
        <v>289</v>
      </c>
      <c r="L364" s="16" t="s">
        <v>289</v>
      </c>
      <c r="M364" s="16">
        <v>2218.8620000000001</v>
      </c>
      <c r="N364" s="16">
        <v>2844.6550000000002</v>
      </c>
      <c r="O364" s="16">
        <v>2019.8230000000001</v>
      </c>
      <c r="P364" s="16">
        <v>1887.453</v>
      </c>
      <c r="Q364" s="16">
        <v>2081.0770000000002</v>
      </c>
      <c r="R364" s="16">
        <v>2477.326</v>
      </c>
      <c r="S364" s="16">
        <v>2641.201</v>
      </c>
      <c r="T364" s="16">
        <v>3075.8829999999998</v>
      </c>
      <c r="U364" s="16">
        <v>3363.7190000000001</v>
      </c>
      <c r="V364" s="16" t="s">
        <v>289</v>
      </c>
      <c r="W364" s="16"/>
      <c r="X364" s="16"/>
      <c r="Y364" s="16"/>
      <c r="Z364" s="16"/>
      <c r="AA364" s="16"/>
      <c r="AB364" s="25"/>
      <c r="AC364" s="25"/>
      <c r="AD364" s="5"/>
      <c r="AE364" s="5"/>
      <c r="AF364" s="5"/>
      <c r="AG364" s="5"/>
      <c r="AY364" s="16"/>
      <c r="BD364" s="5"/>
      <c r="BE364" s="5"/>
      <c r="BF364" s="5"/>
      <c r="BG364" s="5"/>
      <c r="BH364" s="5"/>
      <c r="BI364" s="5"/>
      <c r="BJ364" s="24"/>
      <c r="BK364" s="22"/>
      <c r="BL364" s="23"/>
      <c r="BM364" s="22"/>
      <c r="BN364" s="22"/>
      <c r="BO364" s="22"/>
      <c r="BP364" s="22"/>
      <c r="BQ364" s="22"/>
      <c r="BR364" s="24"/>
      <c r="BS364" s="5"/>
    </row>
    <row r="365" spans="1:71" s="33" customFormat="1" hidden="1" outlineLevel="1">
      <c r="A365" s="5"/>
      <c r="B365" s="5" t="s">
        <v>225</v>
      </c>
      <c r="C365" s="38" t="s">
        <v>161</v>
      </c>
      <c r="D365" s="16" t="s">
        <v>289</v>
      </c>
      <c r="E365" s="16" t="s">
        <v>289</v>
      </c>
      <c r="F365" s="16" t="s">
        <v>289</v>
      </c>
      <c r="G365" s="16" t="s">
        <v>289</v>
      </c>
      <c r="H365" s="16" t="s">
        <v>289</v>
      </c>
      <c r="I365" s="16" t="s">
        <v>289</v>
      </c>
      <c r="J365" s="16" t="s">
        <v>289</v>
      </c>
      <c r="K365" s="16" t="s">
        <v>289</v>
      </c>
      <c r="L365" s="16" t="s">
        <v>289</v>
      </c>
      <c r="M365" s="16">
        <v>2218.8620000000001</v>
      </c>
      <c r="N365" s="16">
        <v>2844.6550000000002</v>
      </c>
      <c r="O365" s="16">
        <v>2019.8230000000001</v>
      </c>
      <c r="P365" s="16">
        <v>1887.453</v>
      </c>
      <c r="Q365" s="16">
        <v>2081.0770000000002</v>
      </c>
      <c r="R365" s="16">
        <v>2477.326</v>
      </c>
      <c r="S365" s="16">
        <v>2641.201</v>
      </c>
      <c r="T365" s="16">
        <v>3075.8829999999998</v>
      </c>
      <c r="U365" s="16">
        <v>3363.7190000000001</v>
      </c>
      <c r="V365" s="16" t="s">
        <v>289</v>
      </c>
      <c r="W365" s="16"/>
      <c r="X365" s="16"/>
      <c r="Y365" s="16"/>
      <c r="Z365" s="16"/>
      <c r="AA365" s="16"/>
      <c r="AB365" s="25"/>
      <c r="AC365" s="25"/>
      <c r="AD365" s="5"/>
      <c r="AE365" s="5"/>
      <c r="AF365" s="5"/>
      <c r="AG365" s="5"/>
      <c r="AY365" s="16"/>
      <c r="BD365" s="5"/>
      <c r="BE365" s="5"/>
      <c r="BF365" s="5"/>
      <c r="BG365" s="5"/>
      <c r="BH365" s="5"/>
      <c r="BI365" s="5"/>
      <c r="BJ365" s="24"/>
      <c r="BK365" s="22"/>
      <c r="BL365" s="23"/>
      <c r="BM365" s="22"/>
      <c r="BN365" s="22"/>
      <c r="BO365" s="22"/>
      <c r="BP365" s="22"/>
      <c r="BQ365" s="22"/>
      <c r="BR365" s="24"/>
      <c r="BS365" s="5"/>
    </row>
    <row r="366" spans="1:71" s="33" customFormat="1" hidden="1" outlineLevel="1">
      <c r="A366" s="5"/>
      <c r="B366" s="5"/>
      <c r="C366" s="5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20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24"/>
      <c r="BK366" s="22"/>
      <c r="BL366" s="23"/>
      <c r="BM366" s="22"/>
      <c r="BN366" s="22"/>
      <c r="BO366" s="22"/>
      <c r="BP366" s="22"/>
      <c r="BQ366" s="22"/>
      <c r="BR366" s="24"/>
      <c r="BS366" s="5"/>
    </row>
    <row r="367" spans="1:71" s="33" customFormat="1" ht="13.15" collapsed="1">
      <c r="A367" s="5"/>
      <c r="B367" s="5"/>
      <c r="C367" s="9" t="s">
        <v>226</v>
      </c>
      <c r="D367" s="14" t="str">
        <f t="shared" ref="D367:Y367" si="216">IF(D11="no","…",IF(ISNUMBER(D368),D368,IF(ISNUMBER(D371),D371,"…")))</f>
        <v>…</v>
      </c>
      <c r="E367" s="14" t="str">
        <f t="shared" si="216"/>
        <v>…</v>
      </c>
      <c r="F367" s="14" t="str">
        <f t="shared" si="216"/>
        <v>…</v>
      </c>
      <c r="G367" s="14" t="str">
        <f t="shared" si="216"/>
        <v>…</v>
      </c>
      <c r="H367" s="14" t="str">
        <f t="shared" si="216"/>
        <v>…</v>
      </c>
      <c r="I367" s="14" t="str">
        <f t="shared" si="216"/>
        <v>…</v>
      </c>
      <c r="J367" s="14" t="str">
        <f t="shared" si="216"/>
        <v>…</v>
      </c>
      <c r="K367" s="14" t="str">
        <f t="shared" si="216"/>
        <v>…</v>
      </c>
      <c r="L367" s="14" t="str">
        <f t="shared" si="216"/>
        <v>…</v>
      </c>
      <c r="M367" s="14">
        <f t="shared" si="216"/>
        <v>567.81399999999996</v>
      </c>
      <c r="N367" s="14">
        <f t="shared" si="216"/>
        <v>585.18499999999995</v>
      </c>
      <c r="O367" s="14">
        <f t="shared" si="216"/>
        <v>626.13</v>
      </c>
      <c r="P367" s="14">
        <f t="shared" si="216"/>
        <v>669.28300000000002</v>
      </c>
      <c r="Q367" s="14">
        <f t="shared" si="216"/>
        <v>710.26</v>
      </c>
      <c r="R367" s="14">
        <f t="shared" si="216"/>
        <v>850.55</v>
      </c>
      <c r="S367" s="14">
        <f t="shared" si="216"/>
        <v>1069.652</v>
      </c>
      <c r="T367" s="14">
        <f t="shared" si="216"/>
        <v>1226.6300000000001</v>
      </c>
      <c r="U367" s="14">
        <f t="shared" si="216"/>
        <v>1353.165</v>
      </c>
      <c r="V367" s="14" t="str">
        <f t="shared" si="216"/>
        <v>…</v>
      </c>
      <c r="W367" s="14" t="str">
        <f t="shared" si="216"/>
        <v>…</v>
      </c>
      <c r="X367" s="14" t="str">
        <f t="shared" si="216"/>
        <v>…</v>
      </c>
      <c r="Y367" s="14" t="str">
        <f t="shared" si="216"/>
        <v>…</v>
      </c>
      <c r="Z367" s="14"/>
      <c r="AA367" s="14"/>
      <c r="AB367" s="14"/>
      <c r="AC367" s="14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14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24"/>
      <c r="BK367" s="22"/>
      <c r="BL367" s="23"/>
      <c r="BM367" s="22"/>
      <c r="BN367" s="22"/>
      <c r="BO367" s="22"/>
      <c r="BP367" s="22"/>
      <c r="BQ367" s="22"/>
      <c r="BR367" s="24"/>
      <c r="BS367" s="5"/>
    </row>
    <row r="368" spans="1:71" s="33" customFormat="1" ht="13.15" hidden="1" outlineLevel="1">
      <c r="A368" s="5"/>
      <c r="B368" s="5"/>
      <c r="C368" s="5" t="s">
        <v>227</v>
      </c>
      <c r="D368" s="25" t="str">
        <f t="shared" ref="D368:T368" si="217">IF(ISNUMBER(D369),D369,IF(ISNUMBER(D370),D370,"…"))</f>
        <v>…</v>
      </c>
      <c r="E368" s="25" t="str">
        <f t="shared" si="217"/>
        <v>…</v>
      </c>
      <c r="F368" s="25" t="str">
        <f t="shared" si="217"/>
        <v>…</v>
      </c>
      <c r="G368" s="25" t="str">
        <f t="shared" si="217"/>
        <v>…</v>
      </c>
      <c r="H368" s="25" t="str">
        <f t="shared" si="217"/>
        <v>…</v>
      </c>
      <c r="I368" s="25" t="str">
        <f t="shared" si="217"/>
        <v>…</v>
      </c>
      <c r="J368" s="25" t="str">
        <f t="shared" si="217"/>
        <v>…</v>
      </c>
      <c r="K368" s="25" t="str">
        <f t="shared" si="217"/>
        <v>…</v>
      </c>
      <c r="L368" s="25" t="str">
        <f>IF(ISNUMBER(L369),L369,IF(ISNUMBER(L370),L370,"…"))</f>
        <v>…</v>
      </c>
      <c r="M368" s="25">
        <f t="shared" si="217"/>
        <v>567.81399999999996</v>
      </c>
      <c r="N368" s="25">
        <f t="shared" si="217"/>
        <v>585.18499999999995</v>
      </c>
      <c r="O368" s="25">
        <f t="shared" si="217"/>
        <v>626.13</v>
      </c>
      <c r="P368" s="25">
        <f t="shared" si="217"/>
        <v>669.28300000000002</v>
      </c>
      <c r="Q368" s="25">
        <f t="shared" si="217"/>
        <v>710.26</v>
      </c>
      <c r="R368" s="25">
        <f t="shared" si="217"/>
        <v>850.55</v>
      </c>
      <c r="S368" s="25">
        <f t="shared" si="217"/>
        <v>1069.652</v>
      </c>
      <c r="T368" s="25">
        <f t="shared" si="217"/>
        <v>1226.6300000000001</v>
      </c>
      <c r="U368" s="25">
        <f>IF(ISNUMBER(U369),U369,IF(ISNUMBER(U370),U370,"…"))</f>
        <v>1353.165</v>
      </c>
      <c r="V368" s="25" t="str">
        <f>IF(ISNUMBER(V369),V369,IF(ISNUMBER(V370),V370,"…"))</f>
        <v>…</v>
      </c>
      <c r="W368" s="25" t="str">
        <f>IF(ISNUMBER(W369),W369,IF(ISNUMBER(W370),W370,"…"))</f>
        <v>…</v>
      </c>
      <c r="X368" s="25" t="str">
        <f>IF(ISNUMBER(X369),X369,IF(ISNUMBER(X370),X370,"…"))</f>
        <v>…</v>
      </c>
      <c r="Y368" s="25" t="str">
        <f>IF(ISNUMBER(Y369),Y369,IF(ISNUMBER(Y370),Y370,"…"))</f>
        <v>…</v>
      </c>
      <c r="Z368" s="25"/>
      <c r="AA368" s="25"/>
      <c r="AB368" s="14"/>
      <c r="AC368" s="14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2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24"/>
      <c r="BK368" s="22"/>
      <c r="BL368" s="23"/>
      <c r="BM368" s="22"/>
      <c r="BN368" s="22"/>
      <c r="BO368" s="22"/>
      <c r="BP368" s="22"/>
      <c r="BQ368" s="22"/>
      <c r="BR368" s="24"/>
      <c r="BS368" s="5"/>
    </row>
    <row r="369" spans="1:71" s="33" customFormat="1" hidden="1" outlineLevel="1">
      <c r="A369" s="5"/>
      <c r="B369" s="5" t="s">
        <v>228</v>
      </c>
      <c r="C369" s="38" t="s">
        <v>154</v>
      </c>
      <c r="D369" s="16" t="s">
        <v>289</v>
      </c>
      <c r="E369" s="16" t="s">
        <v>289</v>
      </c>
      <c r="F369" s="16" t="s">
        <v>289</v>
      </c>
      <c r="G369" s="16" t="s">
        <v>289</v>
      </c>
      <c r="H369" s="16" t="s">
        <v>289</v>
      </c>
      <c r="I369" s="16" t="s">
        <v>289</v>
      </c>
      <c r="J369" s="16" t="s">
        <v>289</v>
      </c>
      <c r="K369" s="16" t="s">
        <v>289</v>
      </c>
      <c r="L369" s="16" t="s">
        <v>289</v>
      </c>
      <c r="M369" s="16">
        <v>567.81399999999996</v>
      </c>
      <c r="N369" s="16">
        <v>585.18499999999995</v>
      </c>
      <c r="O369" s="16">
        <v>626.13</v>
      </c>
      <c r="P369" s="16">
        <v>669.28300000000002</v>
      </c>
      <c r="Q369" s="16">
        <v>710.26</v>
      </c>
      <c r="R369" s="16">
        <v>850.55</v>
      </c>
      <c r="S369" s="16">
        <v>1069.652</v>
      </c>
      <c r="T369" s="16">
        <v>1226.6300000000001</v>
      </c>
      <c r="U369" s="16">
        <v>1353.165</v>
      </c>
      <c r="V369" s="16" t="s">
        <v>289</v>
      </c>
      <c r="W369" s="16"/>
      <c r="X369" s="16"/>
      <c r="Y369" s="16"/>
      <c r="Z369" s="16"/>
      <c r="AA369" s="16"/>
      <c r="AB369" s="25"/>
      <c r="AC369" s="2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16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24"/>
      <c r="BK369" s="22"/>
      <c r="BL369" s="23"/>
      <c r="BM369" s="22"/>
      <c r="BN369" s="22"/>
      <c r="BO369" s="22"/>
      <c r="BP369" s="22"/>
      <c r="BQ369" s="22"/>
      <c r="BR369" s="24"/>
      <c r="BS369" s="5"/>
    </row>
    <row r="370" spans="1:71" s="33" customFormat="1" hidden="1" outlineLevel="1">
      <c r="A370" s="5"/>
      <c r="B370" s="5" t="s">
        <v>229</v>
      </c>
      <c r="C370" s="38" t="s">
        <v>161</v>
      </c>
      <c r="D370" s="16" t="s">
        <v>289</v>
      </c>
      <c r="E370" s="16" t="s">
        <v>289</v>
      </c>
      <c r="F370" s="16" t="s">
        <v>289</v>
      </c>
      <c r="G370" s="16" t="s">
        <v>289</v>
      </c>
      <c r="H370" s="16" t="s">
        <v>289</v>
      </c>
      <c r="I370" s="16" t="s">
        <v>289</v>
      </c>
      <c r="J370" s="16" t="s">
        <v>289</v>
      </c>
      <c r="K370" s="16" t="s">
        <v>289</v>
      </c>
      <c r="L370" s="16" t="s">
        <v>289</v>
      </c>
      <c r="M370" s="16" t="s">
        <v>289</v>
      </c>
      <c r="N370" s="16" t="s">
        <v>289</v>
      </c>
      <c r="O370" s="16" t="s">
        <v>289</v>
      </c>
      <c r="P370" s="16" t="s">
        <v>289</v>
      </c>
      <c r="Q370" s="16" t="s">
        <v>289</v>
      </c>
      <c r="R370" s="16" t="s">
        <v>289</v>
      </c>
      <c r="S370" s="16" t="s">
        <v>289</v>
      </c>
      <c r="T370" s="16" t="s">
        <v>289</v>
      </c>
      <c r="U370" s="16" t="s">
        <v>289</v>
      </c>
      <c r="V370" s="16" t="s">
        <v>289</v>
      </c>
      <c r="W370" s="16"/>
      <c r="X370" s="16"/>
      <c r="Y370" s="16"/>
      <c r="Z370" s="16"/>
      <c r="AA370" s="16"/>
      <c r="AB370" s="25"/>
      <c r="AC370" s="2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16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24"/>
      <c r="BK370" s="22"/>
      <c r="BL370" s="23"/>
      <c r="BM370" s="22"/>
      <c r="BN370" s="22"/>
      <c r="BO370" s="22"/>
      <c r="BP370" s="22"/>
      <c r="BQ370" s="22"/>
      <c r="BR370" s="24"/>
      <c r="BS370" s="5"/>
    </row>
    <row r="371" spans="1:71" s="33" customFormat="1" ht="13.15" hidden="1" outlineLevel="1">
      <c r="A371" s="5"/>
      <c r="B371" s="5"/>
      <c r="C371" s="5" t="s">
        <v>230</v>
      </c>
      <c r="D371" s="25" t="str">
        <f t="shared" ref="D371:Y371" si="218">IF(ISNUMBER(D372),D372,IF(ISNUMBER(D373),D373,"…"))</f>
        <v>…</v>
      </c>
      <c r="E371" s="25" t="str">
        <f t="shared" si="218"/>
        <v>…</v>
      </c>
      <c r="F371" s="25" t="str">
        <f t="shared" si="218"/>
        <v>…</v>
      </c>
      <c r="G371" s="25" t="str">
        <f t="shared" si="218"/>
        <v>…</v>
      </c>
      <c r="H371" s="25" t="str">
        <f t="shared" si="218"/>
        <v>…</v>
      </c>
      <c r="I371" s="25" t="str">
        <f t="shared" si="218"/>
        <v>…</v>
      </c>
      <c r="J371" s="25" t="str">
        <f t="shared" si="218"/>
        <v>…</v>
      </c>
      <c r="K371" s="25" t="str">
        <f t="shared" si="218"/>
        <v>…</v>
      </c>
      <c r="L371" s="25" t="str">
        <f t="shared" si="218"/>
        <v>…</v>
      </c>
      <c r="M371" s="25">
        <f t="shared" si="218"/>
        <v>567.81399999999996</v>
      </c>
      <c r="N371" s="25">
        <f t="shared" si="218"/>
        <v>585.18499999999995</v>
      </c>
      <c r="O371" s="25">
        <f t="shared" si="218"/>
        <v>626.13</v>
      </c>
      <c r="P371" s="25">
        <f t="shared" si="218"/>
        <v>669.28300000000002</v>
      </c>
      <c r="Q371" s="25">
        <f t="shared" si="218"/>
        <v>710.26</v>
      </c>
      <c r="R371" s="25">
        <f t="shared" si="218"/>
        <v>850.55</v>
      </c>
      <c r="S371" s="25">
        <f t="shared" si="218"/>
        <v>1069.652</v>
      </c>
      <c r="T371" s="25">
        <f t="shared" si="218"/>
        <v>1226.6300000000001</v>
      </c>
      <c r="U371" s="25">
        <f t="shared" si="218"/>
        <v>1353.165</v>
      </c>
      <c r="V371" s="25" t="str">
        <f t="shared" si="218"/>
        <v>…</v>
      </c>
      <c r="W371" s="25" t="str">
        <f t="shared" si="218"/>
        <v>…</v>
      </c>
      <c r="X371" s="25" t="str">
        <f t="shared" si="218"/>
        <v>…</v>
      </c>
      <c r="Y371" s="25" t="str">
        <f t="shared" si="218"/>
        <v>…</v>
      </c>
      <c r="Z371" s="25"/>
      <c r="AA371" s="25"/>
      <c r="AB371" s="14"/>
      <c r="AC371" s="14"/>
      <c r="AD371" s="24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2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24"/>
      <c r="BK371" s="22"/>
      <c r="BL371" s="23"/>
      <c r="BM371" s="22"/>
      <c r="BN371" s="22"/>
      <c r="BO371" s="22"/>
      <c r="BP371" s="22"/>
      <c r="BQ371" s="22"/>
      <c r="BR371" s="24"/>
      <c r="BS371" s="5"/>
    </row>
    <row r="372" spans="1:71" s="33" customFormat="1" hidden="1" outlineLevel="1" collapsed="1">
      <c r="A372" s="5"/>
      <c r="B372" s="5" t="s">
        <v>231</v>
      </c>
      <c r="C372" s="38" t="s">
        <v>154</v>
      </c>
      <c r="D372" s="16" t="s">
        <v>289</v>
      </c>
      <c r="E372" s="16" t="s">
        <v>289</v>
      </c>
      <c r="F372" s="16" t="s">
        <v>289</v>
      </c>
      <c r="G372" s="16" t="s">
        <v>289</v>
      </c>
      <c r="H372" s="16" t="s">
        <v>289</v>
      </c>
      <c r="I372" s="16" t="s">
        <v>289</v>
      </c>
      <c r="J372" s="16" t="s">
        <v>289</v>
      </c>
      <c r="K372" s="16" t="s">
        <v>289</v>
      </c>
      <c r="L372" s="16" t="s">
        <v>289</v>
      </c>
      <c r="M372" s="16">
        <v>567.81399999999996</v>
      </c>
      <c r="N372" s="16">
        <v>585.18499999999995</v>
      </c>
      <c r="O372" s="16">
        <v>626.13</v>
      </c>
      <c r="P372" s="16">
        <v>669.28300000000002</v>
      </c>
      <c r="Q372" s="16">
        <v>710.26</v>
      </c>
      <c r="R372" s="16">
        <v>850.55</v>
      </c>
      <c r="S372" s="16">
        <v>1069.652</v>
      </c>
      <c r="T372" s="16">
        <v>1226.6300000000001</v>
      </c>
      <c r="U372" s="16">
        <v>1353.165</v>
      </c>
      <c r="V372" s="16" t="s">
        <v>289</v>
      </c>
      <c r="W372" s="16"/>
      <c r="X372" s="16"/>
      <c r="Y372" s="16"/>
      <c r="Z372" s="16"/>
      <c r="AA372" s="16"/>
      <c r="AB372" s="25"/>
      <c r="AC372" s="25"/>
      <c r="AD372" s="24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16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24"/>
      <c r="BK372" s="22"/>
      <c r="BL372" s="23"/>
      <c r="BM372" s="22"/>
      <c r="BN372" s="22"/>
      <c r="BO372" s="22"/>
      <c r="BP372" s="22"/>
      <c r="BQ372" s="22"/>
      <c r="BR372" s="24"/>
      <c r="BS372" s="5"/>
    </row>
    <row r="373" spans="1:71" s="33" customFormat="1" hidden="1" outlineLevel="1">
      <c r="A373" s="5"/>
      <c r="B373" s="5" t="s">
        <v>232</v>
      </c>
      <c r="C373" s="38" t="s">
        <v>161</v>
      </c>
      <c r="D373" s="16" t="s">
        <v>289</v>
      </c>
      <c r="E373" s="16" t="s">
        <v>289</v>
      </c>
      <c r="F373" s="16" t="s">
        <v>289</v>
      </c>
      <c r="G373" s="16" t="s">
        <v>289</v>
      </c>
      <c r="H373" s="16" t="s">
        <v>289</v>
      </c>
      <c r="I373" s="16" t="s">
        <v>289</v>
      </c>
      <c r="J373" s="16" t="s">
        <v>289</v>
      </c>
      <c r="K373" s="16" t="s">
        <v>289</v>
      </c>
      <c r="L373" s="16" t="s">
        <v>289</v>
      </c>
      <c r="M373" s="16">
        <v>567.81399999999996</v>
      </c>
      <c r="N373" s="16">
        <v>585.18499999999995</v>
      </c>
      <c r="O373" s="16">
        <v>626.13</v>
      </c>
      <c r="P373" s="16">
        <v>669.28300000000002</v>
      </c>
      <c r="Q373" s="16">
        <v>710.26</v>
      </c>
      <c r="R373" s="16">
        <v>850.55</v>
      </c>
      <c r="S373" s="16">
        <v>1069.652</v>
      </c>
      <c r="T373" s="16">
        <v>1226.6300000000001</v>
      </c>
      <c r="U373" s="16">
        <v>1353.165</v>
      </c>
      <c r="V373" s="16" t="s">
        <v>289</v>
      </c>
      <c r="W373" s="16"/>
      <c r="X373" s="16"/>
      <c r="Y373" s="16"/>
      <c r="Z373" s="16"/>
      <c r="AA373" s="16"/>
      <c r="AB373" s="25"/>
      <c r="AC373" s="25"/>
      <c r="AD373" s="24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16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24"/>
      <c r="BK373" s="22"/>
      <c r="BL373" s="23"/>
      <c r="BM373" s="22"/>
      <c r="BN373" s="22"/>
      <c r="BO373" s="22"/>
      <c r="BP373" s="22"/>
      <c r="BQ373" s="22"/>
      <c r="BR373" s="24"/>
      <c r="BS373" s="5"/>
    </row>
    <row r="374" spans="1:71" s="33" customFormat="1" hidden="1" outlineLevel="1">
      <c r="A374" s="5"/>
      <c r="B374" s="5"/>
      <c r="C374" s="38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25"/>
      <c r="AC374" s="25"/>
      <c r="AD374" s="24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16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24"/>
      <c r="BK374" s="22"/>
      <c r="BL374" s="23"/>
      <c r="BM374" s="22"/>
      <c r="BN374" s="22"/>
      <c r="BO374" s="22"/>
      <c r="BP374" s="22"/>
      <c r="BQ374" s="22"/>
      <c r="BR374" s="24"/>
      <c r="BS374" s="5"/>
    </row>
    <row r="375" spans="1:71" s="33" customFormat="1" ht="13.15" collapsed="1">
      <c r="A375" s="5"/>
      <c r="B375" s="5"/>
      <c r="C375" s="9" t="s">
        <v>306</v>
      </c>
      <c r="D375" s="14" t="str">
        <f t="shared" ref="D375:Y375" si="219">IF(D11="no","…",IF(ISNUMBER(D385),D385,IF(ISNUMBER(D376),D376,IF(ISNUMBER(D378),D378,"…"))))</f>
        <v>…</v>
      </c>
      <c r="E375" s="14" t="str">
        <f t="shared" si="219"/>
        <v>…</v>
      </c>
      <c r="F375" s="14" t="str">
        <f t="shared" si="219"/>
        <v>…</v>
      </c>
      <c r="G375" s="14" t="str">
        <f t="shared" si="219"/>
        <v>…</v>
      </c>
      <c r="H375" s="14" t="str">
        <f t="shared" si="219"/>
        <v>…</v>
      </c>
      <c r="I375" s="14" t="str">
        <f t="shared" si="219"/>
        <v>…</v>
      </c>
      <c r="J375" s="14" t="str">
        <f t="shared" si="219"/>
        <v>…</v>
      </c>
      <c r="K375" s="14" t="str">
        <f t="shared" si="219"/>
        <v>…</v>
      </c>
      <c r="L375" s="14" t="str">
        <f t="shared" si="219"/>
        <v>…</v>
      </c>
      <c r="M375" s="14">
        <f t="shared" si="219"/>
        <v>242.16700000000003</v>
      </c>
      <c r="N375" s="14">
        <f t="shared" si="219"/>
        <v>265.26200000000006</v>
      </c>
      <c r="O375" s="14">
        <f t="shared" si="219"/>
        <v>307.81000000000006</v>
      </c>
      <c r="P375" s="14">
        <f t="shared" si="219"/>
        <v>354.39400000000001</v>
      </c>
      <c r="Q375" s="14">
        <f t="shared" si="219"/>
        <v>440.4559999999999</v>
      </c>
      <c r="R375" s="14">
        <f t="shared" si="219"/>
        <v>645.79700000000003</v>
      </c>
      <c r="S375" s="14">
        <f t="shared" si="219"/>
        <v>837.93799999999987</v>
      </c>
      <c r="T375" s="14">
        <f t="shared" si="219"/>
        <v>979.29</v>
      </c>
      <c r="U375" s="14">
        <f t="shared" si="219"/>
        <v>1138.173</v>
      </c>
      <c r="V375" s="14" t="str">
        <f t="shared" si="219"/>
        <v>…</v>
      </c>
      <c r="W375" s="14" t="str">
        <f t="shared" si="219"/>
        <v>…</v>
      </c>
      <c r="X375" s="14" t="str">
        <f t="shared" si="219"/>
        <v>…</v>
      </c>
      <c r="Y375" s="14" t="str">
        <f t="shared" si="219"/>
        <v>…</v>
      </c>
      <c r="Z375" s="14"/>
      <c r="AA375" s="14"/>
      <c r="AB375" s="14"/>
      <c r="AC375" s="14"/>
      <c r="AD375" s="24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14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24"/>
      <c r="BK375" s="22"/>
      <c r="BL375" s="23"/>
      <c r="BM375" s="22"/>
      <c r="BN375" s="22"/>
      <c r="BO375" s="22"/>
      <c r="BP375" s="22"/>
      <c r="BQ375" s="22"/>
      <c r="BR375" s="24"/>
      <c r="BS375" s="5"/>
    </row>
    <row r="376" spans="1:71" s="33" customFormat="1" ht="13.15" hidden="1" outlineLevel="1">
      <c r="A376" s="5"/>
      <c r="B376" s="5"/>
      <c r="C376" s="5" t="s">
        <v>233</v>
      </c>
      <c r="D376" s="25" t="str">
        <f>IF(ISNUMBER(D377),D377,"…")</f>
        <v>…</v>
      </c>
      <c r="E376" s="25" t="str">
        <f t="shared" ref="E376:Y376" si="220">IF(ISNUMBER(E377),E377,"…")</f>
        <v>…</v>
      </c>
      <c r="F376" s="25" t="str">
        <f t="shared" si="220"/>
        <v>…</v>
      </c>
      <c r="G376" s="25" t="str">
        <f t="shared" si="220"/>
        <v>…</v>
      </c>
      <c r="H376" s="25" t="str">
        <f t="shared" si="220"/>
        <v>…</v>
      </c>
      <c r="I376" s="25" t="str">
        <f t="shared" si="220"/>
        <v>…</v>
      </c>
      <c r="J376" s="25" t="str">
        <f t="shared" si="220"/>
        <v>…</v>
      </c>
      <c r="K376" s="25" t="str">
        <f t="shared" si="220"/>
        <v>…</v>
      </c>
      <c r="L376" s="25" t="str">
        <f t="shared" si="220"/>
        <v>…</v>
      </c>
      <c r="M376" s="25" t="str">
        <f t="shared" si="220"/>
        <v>…</v>
      </c>
      <c r="N376" s="25" t="str">
        <f t="shared" si="220"/>
        <v>…</v>
      </c>
      <c r="O376" s="25" t="str">
        <f t="shared" si="220"/>
        <v>…</v>
      </c>
      <c r="P376" s="25" t="str">
        <f t="shared" si="220"/>
        <v>…</v>
      </c>
      <c r="Q376" s="25" t="str">
        <f t="shared" si="220"/>
        <v>…</v>
      </c>
      <c r="R376" s="25" t="str">
        <f t="shared" si="220"/>
        <v>…</v>
      </c>
      <c r="S376" s="25" t="str">
        <f t="shared" si="220"/>
        <v>…</v>
      </c>
      <c r="T376" s="25" t="str">
        <f t="shared" si="220"/>
        <v>…</v>
      </c>
      <c r="U376" s="25" t="str">
        <f t="shared" si="220"/>
        <v>…</v>
      </c>
      <c r="V376" s="25" t="str">
        <f t="shared" si="220"/>
        <v>…</v>
      </c>
      <c r="W376" s="25" t="str">
        <f t="shared" si="220"/>
        <v>…</v>
      </c>
      <c r="X376" s="25" t="str">
        <f t="shared" si="220"/>
        <v>…</v>
      </c>
      <c r="Y376" s="25" t="str">
        <f t="shared" si="220"/>
        <v>…</v>
      </c>
      <c r="Z376" s="25"/>
      <c r="AA376" s="25"/>
      <c r="AB376" s="14"/>
      <c r="AC376" s="14"/>
      <c r="AD376" s="24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2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24"/>
      <c r="BK376" s="22"/>
      <c r="BL376" s="23"/>
      <c r="BM376" s="22"/>
      <c r="BN376" s="22"/>
      <c r="BO376" s="22"/>
      <c r="BP376" s="22"/>
      <c r="BQ376" s="22"/>
      <c r="BR376" s="24"/>
      <c r="BS376" s="5"/>
    </row>
    <row r="377" spans="1:71" s="33" customFormat="1" hidden="1" outlineLevel="1">
      <c r="A377" s="5"/>
      <c r="B377" s="5" t="s">
        <v>238</v>
      </c>
      <c r="C377" s="38" t="s">
        <v>154</v>
      </c>
      <c r="D377" s="16" t="s">
        <v>289</v>
      </c>
      <c r="E377" s="16" t="s">
        <v>289</v>
      </c>
      <c r="F377" s="16" t="s">
        <v>289</v>
      </c>
      <c r="G377" s="16" t="s">
        <v>289</v>
      </c>
      <c r="H377" s="16" t="s">
        <v>289</v>
      </c>
      <c r="I377" s="16" t="s">
        <v>289</v>
      </c>
      <c r="J377" s="16" t="s">
        <v>289</v>
      </c>
      <c r="K377" s="16" t="s">
        <v>289</v>
      </c>
      <c r="L377" s="16" t="s">
        <v>289</v>
      </c>
      <c r="M377" s="16" t="s">
        <v>289</v>
      </c>
      <c r="N377" s="16" t="s">
        <v>289</v>
      </c>
      <c r="O377" s="16" t="s">
        <v>289</v>
      </c>
      <c r="P377" s="16" t="s">
        <v>289</v>
      </c>
      <c r="Q377" s="16" t="s">
        <v>289</v>
      </c>
      <c r="R377" s="16" t="s">
        <v>289</v>
      </c>
      <c r="S377" s="16" t="s">
        <v>289</v>
      </c>
      <c r="T377" s="16" t="s">
        <v>289</v>
      </c>
      <c r="U377" s="16" t="s">
        <v>289</v>
      </c>
      <c r="V377" s="16" t="s">
        <v>289</v>
      </c>
      <c r="W377" s="16"/>
      <c r="X377" s="16"/>
      <c r="Y377" s="16"/>
      <c r="Z377" s="16"/>
      <c r="AA377" s="16"/>
      <c r="AB377" s="25"/>
      <c r="AC377" s="25"/>
      <c r="AD377" s="24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16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24"/>
      <c r="BK377" s="22"/>
      <c r="BL377" s="23"/>
      <c r="BM377" s="22"/>
      <c r="BN377" s="22"/>
      <c r="BO377" s="22"/>
      <c r="BP377" s="22"/>
      <c r="BQ377" s="22"/>
      <c r="BR377" s="24"/>
      <c r="BS377" s="5"/>
    </row>
    <row r="378" spans="1:71" s="33" customFormat="1" hidden="1" outlineLevel="1">
      <c r="A378" s="5"/>
      <c r="B378" s="5"/>
      <c r="C378" s="5" t="s">
        <v>235</v>
      </c>
      <c r="D378" s="25" t="str">
        <f>IFERROR(D379+SUM(D383),"…")</f>
        <v>…</v>
      </c>
      <c r="E378" s="25" t="str">
        <f t="shared" ref="E378:T378" si="221">IFERROR(E379+SUM(E383),"…")</f>
        <v>…</v>
      </c>
      <c r="F378" s="25" t="str">
        <f t="shared" si="221"/>
        <v>…</v>
      </c>
      <c r="G378" s="25" t="str">
        <f t="shared" si="221"/>
        <v>…</v>
      </c>
      <c r="H378" s="25" t="str">
        <f t="shared" si="221"/>
        <v>…</v>
      </c>
      <c r="I378" s="25" t="str">
        <f t="shared" si="221"/>
        <v>…</v>
      </c>
      <c r="J378" s="25" t="str">
        <f t="shared" si="221"/>
        <v>…</v>
      </c>
      <c r="K378" s="25" t="str">
        <f t="shared" si="221"/>
        <v>…</v>
      </c>
      <c r="L378" s="25" t="str">
        <f t="shared" si="221"/>
        <v>…</v>
      </c>
      <c r="M378" s="25">
        <f t="shared" si="221"/>
        <v>242.167</v>
      </c>
      <c r="N378" s="25">
        <f t="shared" si="221"/>
        <v>265.262</v>
      </c>
      <c r="O378" s="25">
        <f t="shared" si="221"/>
        <v>307.81</v>
      </c>
      <c r="P378" s="25">
        <f t="shared" si="221"/>
        <v>354.39400000000001</v>
      </c>
      <c r="Q378" s="25">
        <f t="shared" si="221"/>
        <v>440.45600000000002</v>
      </c>
      <c r="R378" s="25">
        <f t="shared" si="221"/>
        <v>645.79700000000003</v>
      </c>
      <c r="S378" s="25">
        <f t="shared" si="221"/>
        <v>837.93799999999999</v>
      </c>
      <c r="T378" s="25">
        <f t="shared" si="221"/>
        <v>979.29</v>
      </c>
      <c r="U378" s="25">
        <f>IFERROR(U379+SUM(U383),"…")</f>
        <v>1138.173</v>
      </c>
      <c r="V378" s="25" t="str">
        <f>IFERROR(V379+SUM(V383),"…")</f>
        <v>…</v>
      </c>
      <c r="W378" s="25" t="str">
        <f>IFERROR(W379+SUM(W383),"…")</f>
        <v>…</v>
      </c>
      <c r="X378" s="25" t="str">
        <f>IFERROR(X379+SUM(X383),"…")</f>
        <v>…</v>
      </c>
      <c r="Y378" s="25" t="str">
        <f>IFERROR(Y379+SUM(Y383),"…")</f>
        <v>…</v>
      </c>
      <c r="Z378" s="25"/>
      <c r="AA378" s="25"/>
      <c r="AD378" s="25" t="s">
        <v>307</v>
      </c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2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24"/>
      <c r="BK378" s="22"/>
      <c r="BL378" s="23"/>
      <c r="BM378" s="22"/>
      <c r="BN378" s="22"/>
      <c r="BO378" s="22"/>
      <c r="BP378" s="22"/>
      <c r="BQ378" s="22"/>
      <c r="BR378" s="24"/>
      <c r="BS378" s="5"/>
    </row>
    <row r="379" spans="1:71" s="33" customFormat="1" ht="13.15" hidden="1" outlineLevel="1">
      <c r="A379" s="5"/>
      <c r="B379" s="5"/>
      <c r="C379" s="38" t="s">
        <v>239</v>
      </c>
      <c r="D379" s="25" t="str">
        <f>IF(ISNUMBER(D380),D380,IF(ISNUMBER(D381),D381,IF(ISNUMBER(D382),D382,"…")))</f>
        <v>…</v>
      </c>
      <c r="E379" s="25" t="str">
        <f t="shared" ref="E379:T379" si="222">IF(ISNUMBER(E380),E380,IF(ISNUMBER(E381),E381,IF(ISNUMBER(E382),E382,"…")))</f>
        <v>…</v>
      </c>
      <c r="F379" s="25" t="str">
        <f t="shared" si="222"/>
        <v>…</v>
      </c>
      <c r="G379" s="25" t="str">
        <f t="shared" si="222"/>
        <v>…</v>
      </c>
      <c r="H379" s="25" t="str">
        <f t="shared" si="222"/>
        <v>…</v>
      </c>
      <c r="I379" s="25" t="str">
        <f t="shared" si="222"/>
        <v>…</v>
      </c>
      <c r="J379" s="25" t="str">
        <f t="shared" si="222"/>
        <v>…</v>
      </c>
      <c r="K379" s="25" t="str">
        <f t="shared" si="222"/>
        <v>…</v>
      </c>
      <c r="L379" s="25" t="str">
        <f t="shared" si="222"/>
        <v>…</v>
      </c>
      <c r="M379" s="25">
        <f t="shared" si="222"/>
        <v>242.167</v>
      </c>
      <c r="N379" s="25">
        <f t="shared" si="222"/>
        <v>265.262</v>
      </c>
      <c r="O379" s="25">
        <f t="shared" si="222"/>
        <v>307.81</v>
      </c>
      <c r="P379" s="25">
        <f t="shared" si="222"/>
        <v>354.39400000000001</v>
      </c>
      <c r="Q379" s="25">
        <f t="shared" si="222"/>
        <v>440.45600000000002</v>
      </c>
      <c r="R379" s="25">
        <f t="shared" si="222"/>
        <v>645.79700000000003</v>
      </c>
      <c r="S379" s="25">
        <f t="shared" si="222"/>
        <v>837.93799999999999</v>
      </c>
      <c r="T379" s="25">
        <f t="shared" si="222"/>
        <v>979.29</v>
      </c>
      <c r="U379" s="25">
        <f>IF(ISNUMBER(U380),U380,IF(ISNUMBER(U381),U381,IF(ISNUMBER(U382),U382,"…")))</f>
        <v>1138.173</v>
      </c>
      <c r="V379" s="25" t="str">
        <f>IF(ISNUMBER(V380),V380,IF(ISNUMBER(V381),V381,IF(ISNUMBER(V382),V382,"…")))</f>
        <v>…</v>
      </c>
      <c r="W379" s="25" t="str">
        <f>IF(ISNUMBER(W380),W380,IF(ISNUMBER(W381),W381,IF(ISNUMBER(W382),W382,"…")))</f>
        <v>…</v>
      </c>
      <c r="X379" s="25" t="str">
        <f>IF(ISNUMBER(X380),X380,IF(ISNUMBER(X381),X381,IF(ISNUMBER(X382),X382,"…")))</f>
        <v>…</v>
      </c>
      <c r="Y379" s="25" t="str">
        <f>IF(ISNUMBER(Y380),Y380,IF(ISNUMBER(Y381),Y381,IF(ISNUMBER(Y382),Y382,"…")))</f>
        <v>…</v>
      </c>
      <c r="Z379" s="25"/>
      <c r="AA379" s="25"/>
      <c r="AB379" s="14"/>
      <c r="AC379" s="14"/>
      <c r="AD379" s="24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2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24"/>
      <c r="BK379" s="22"/>
      <c r="BL379" s="23"/>
      <c r="BM379" s="22"/>
      <c r="BN379" s="22"/>
      <c r="BO379" s="22"/>
      <c r="BP379" s="22"/>
      <c r="BQ379" s="22"/>
      <c r="BR379" s="24"/>
      <c r="BS379" s="5"/>
    </row>
    <row r="380" spans="1:71" s="33" customFormat="1" hidden="1" outlineLevel="1">
      <c r="A380" s="5"/>
      <c r="B380" s="5" t="s">
        <v>240</v>
      </c>
      <c r="C380" s="43" t="s">
        <v>154</v>
      </c>
      <c r="D380" s="16" t="s">
        <v>289</v>
      </c>
      <c r="E380" s="16" t="s">
        <v>289</v>
      </c>
      <c r="F380" s="16" t="s">
        <v>289</v>
      </c>
      <c r="G380" s="16" t="s">
        <v>289</v>
      </c>
      <c r="H380" s="16" t="s">
        <v>289</v>
      </c>
      <c r="I380" s="16" t="s">
        <v>289</v>
      </c>
      <c r="J380" s="16" t="s">
        <v>289</v>
      </c>
      <c r="K380" s="16" t="s">
        <v>289</v>
      </c>
      <c r="L380" s="16" t="s">
        <v>289</v>
      </c>
      <c r="M380" s="16">
        <v>242.167</v>
      </c>
      <c r="N380" s="16">
        <v>265.262</v>
      </c>
      <c r="O380" s="16">
        <v>307.81</v>
      </c>
      <c r="P380" s="16">
        <v>354.39400000000001</v>
      </c>
      <c r="Q380" s="16">
        <v>440.45600000000002</v>
      </c>
      <c r="R380" s="16">
        <v>645.79700000000003</v>
      </c>
      <c r="S380" s="16">
        <v>837.93799999999999</v>
      </c>
      <c r="T380" s="16">
        <v>979.29</v>
      </c>
      <c r="U380" s="16">
        <v>1138.173</v>
      </c>
      <c r="V380" s="16" t="s">
        <v>289</v>
      </c>
      <c r="W380" s="16"/>
      <c r="X380" s="16"/>
      <c r="Y380" s="16"/>
      <c r="Z380" s="16"/>
      <c r="AA380" s="16"/>
      <c r="AB380" s="25"/>
      <c r="AC380" s="25"/>
      <c r="AD380" s="24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16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24"/>
      <c r="BK380" s="22"/>
      <c r="BL380" s="23"/>
      <c r="BM380" s="22"/>
      <c r="BN380" s="22"/>
      <c r="BO380" s="22"/>
      <c r="BP380" s="22"/>
      <c r="BQ380" s="22"/>
      <c r="BR380" s="24"/>
      <c r="BS380" s="5"/>
    </row>
    <row r="381" spans="1:71" s="33" customFormat="1" hidden="1" outlineLevel="1">
      <c r="A381" s="5"/>
      <c r="B381" s="5" t="s">
        <v>241</v>
      </c>
      <c r="C381" s="43" t="s">
        <v>161</v>
      </c>
      <c r="D381" s="16" t="s">
        <v>289</v>
      </c>
      <c r="E381" s="16" t="s">
        <v>289</v>
      </c>
      <c r="F381" s="16" t="s">
        <v>289</v>
      </c>
      <c r="G381" s="16" t="s">
        <v>289</v>
      </c>
      <c r="H381" s="16" t="s">
        <v>289</v>
      </c>
      <c r="I381" s="16" t="s">
        <v>289</v>
      </c>
      <c r="J381" s="16" t="s">
        <v>289</v>
      </c>
      <c r="K381" s="16" t="s">
        <v>289</v>
      </c>
      <c r="L381" s="16" t="s">
        <v>289</v>
      </c>
      <c r="M381" s="16">
        <v>229.80600000000001</v>
      </c>
      <c r="N381" s="16">
        <v>249.74</v>
      </c>
      <c r="O381" s="16">
        <v>294.339</v>
      </c>
      <c r="P381" s="16">
        <v>341.00299999999999</v>
      </c>
      <c r="Q381" s="16">
        <v>414.37599999999998</v>
      </c>
      <c r="R381" s="16">
        <v>620.09900000000005</v>
      </c>
      <c r="S381" s="16">
        <v>806.74800000000005</v>
      </c>
      <c r="T381" s="16">
        <v>944.04</v>
      </c>
      <c r="U381" s="16">
        <v>1112.126</v>
      </c>
      <c r="V381" s="16" t="s">
        <v>289</v>
      </c>
      <c r="W381" s="16"/>
      <c r="X381" s="16"/>
      <c r="Y381" s="16"/>
      <c r="Z381" s="16"/>
      <c r="AA381" s="16"/>
      <c r="AB381" s="25"/>
      <c r="AC381" s="25"/>
      <c r="AD381" s="24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16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24"/>
      <c r="BK381" s="22"/>
      <c r="BL381" s="23"/>
      <c r="BM381" s="22"/>
      <c r="BN381" s="22"/>
      <c r="BO381" s="22"/>
      <c r="BP381" s="22"/>
      <c r="BQ381" s="22"/>
      <c r="BR381" s="24"/>
      <c r="BS381" s="5"/>
    </row>
    <row r="382" spans="1:71" s="33" customFormat="1" hidden="1" outlineLevel="1">
      <c r="A382" s="5"/>
      <c r="B382" s="5" t="s">
        <v>242</v>
      </c>
      <c r="C382" s="43" t="s">
        <v>163</v>
      </c>
      <c r="D382" s="16" t="s">
        <v>289</v>
      </c>
      <c r="E382" s="16" t="s">
        <v>289</v>
      </c>
      <c r="F382" s="16" t="s">
        <v>289</v>
      </c>
      <c r="G382" s="16" t="s">
        <v>289</v>
      </c>
      <c r="H382" s="16" t="s">
        <v>289</v>
      </c>
      <c r="I382" s="16" t="s">
        <v>289</v>
      </c>
      <c r="J382" s="16" t="s">
        <v>289</v>
      </c>
      <c r="K382" s="16" t="s">
        <v>289</v>
      </c>
      <c r="L382" s="16" t="s">
        <v>289</v>
      </c>
      <c r="M382" s="16" t="s">
        <v>289</v>
      </c>
      <c r="N382" s="16" t="s">
        <v>289</v>
      </c>
      <c r="O382" s="16" t="s">
        <v>289</v>
      </c>
      <c r="P382" s="16" t="s">
        <v>289</v>
      </c>
      <c r="Q382" s="16" t="s">
        <v>289</v>
      </c>
      <c r="R382" s="16" t="s">
        <v>289</v>
      </c>
      <c r="S382" s="16" t="s">
        <v>289</v>
      </c>
      <c r="T382" s="16" t="s">
        <v>289</v>
      </c>
      <c r="U382" s="16" t="s">
        <v>289</v>
      </c>
      <c r="V382" s="16" t="s">
        <v>289</v>
      </c>
      <c r="W382" s="16"/>
      <c r="X382" s="16"/>
      <c r="Y382" s="16"/>
      <c r="Z382" s="16"/>
      <c r="AA382" s="16"/>
      <c r="AB382" s="25"/>
      <c r="AC382" s="25"/>
      <c r="AD382" s="24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16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24"/>
      <c r="BK382" s="22"/>
      <c r="BL382" s="23"/>
      <c r="BM382" s="22"/>
      <c r="BN382" s="22"/>
      <c r="BO382" s="22"/>
      <c r="BP382" s="22"/>
      <c r="BQ382" s="22"/>
      <c r="BR382" s="24"/>
      <c r="BS382" s="5"/>
    </row>
    <row r="383" spans="1:71" s="33" customFormat="1" hidden="1" outlineLevel="1">
      <c r="A383" s="5"/>
      <c r="B383" s="5"/>
      <c r="C383" s="38" t="s">
        <v>243</v>
      </c>
      <c r="D383" s="25" t="str">
        <f>IF(ISNUMBER(D384),D384,"…")</f>
        <v>…</v>
      </c>
      <c r="E383" s="25" t="str">
        <f t="shared" ref="E383:Y383" si="223">IF(ISNUMBER(E384),E384,"…")</f>
        <v>…</v>
      </c>
      <c r="F383" s="25" t="str">
        <f t="shared" si="223"/>
        <v>…</v>
      </c>
      <c r="G383" s="25" t="str">
        <f t="shared" si="223"/>
        <v>…</v>
      </c>
      <c r="H383" s="25" t="str">
        <f t="shared" si="223"/>
        <v>…</v>
      </c>
      <c r="I383" s="25" t="str">
        <f t="shared" si="223"/>
        <v>…</v>
      </c>
      <c r="J383" s="25" t="str">
        <f t="shared" si="223"/>
        <v>…</v>
      </c>
      <c r="K383" s="25" t="str">
        <f t="shared" si="223"/>
        <v>…</v>
      </c>
      <c r="L383" s="25" t="str">
        <f t="shared" si="223"/>
        <v>…</v>
      </c>
      <c r="M383" s="25" t="str">
        <f t="shared" si="223"/>
        <v>…</v>
      </c>
      <c r="N383" s="25" t="str">
        <f t="shared" si="223"/>
        <v>…</v>
      </c>
      <c r="O383" s="25" t="str">
        <f t="shared" si="223"/>
        <v>…</v>
      </c>
      <c r="P383" s="25" t="str">
        <f t="shared" si="223"/>
        <v>…</v>
      </c>
      <c r="Q383" s="25" t="str">
        <f t="shared" si="223"/>
        <v>…</v>
      </c>
      <c r="R383" s="25" t="str">
        <f t="shared" si="223"/>
        <v>…</v>
      </c>
      <c r="S383" s="25" t="str">
        <f t="shared" si="223"/>
        <v>…</v>
      </c>
      <c r="T383" s="25" t="str">
        <f t="shared" si="223"/>
        <v>…</v>
      </c>
      <c r="U383" s="25" t="str">
        <f t="shared" si="223"/>
        <v>…</v>
      </c>
      <c r="V383" s="25" t="str">
        <f t="shared" si="223"/>
        <v>…</v>
      </c>
      <c r="W383" s="25" t="str">
        <f t="shared" si="223"/>
        <v>…</v>
      </c>
      <c r="X383" s="25" t="str">
        <f t="shared" si="223"/>
        <v>…</v>
      </c>
      <c r="Y383" s="25" t="str">
        <f t="shared" si="223"/>
        <v>…</v>
      </c>
      <c r="Z383" s="25"/>
      <c r="AA383" s="25"/>
      <c r="AB383" s="25"/>
      <c r="AC383" s="25"/>
      <c r="AD383" s="24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2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24"/>
      <c r="BK383" s="22"/>
      <c r="BL383" s="23"/>
      <c r="BM383" s="22"/>
      <c r="BN383" s="22"/>
      <c r="BO383" s="22"/>
      <c r="BP383" s="22"/>
      <c r="BQ383" s="22"/>
      <c r="BR383" s="24"/>
      <c r="BS383" s="5"/>
    </row>
    <row r="384" spans="1:71" s="33" customFormat="1" hidden="1" outlineLevel="1">
      <c r="A384" s="5"/>
      <c r="B384" s="5" t="s">
        <v>244</v>
      </c>
      <c r="C384" s="43" t="s">
        <v>154</v>
      </c>
      <c r="D384" s="16" t="s">
        <v>289</v>
      </c>
      <c r="E384" s="16" t="s">
        <v>289</v>
      </c>
      <c r="F384" s="16" t="s">
        <v>289</v>
      </c>
      <c r="G384" s="16" t="s">
        <v>289</v>
      </c>
      <c r="H384" s="16" t="s">
        <v>289</v>
      </c>
      <c r="I384" s="16" t="s">
        <v>289</v>
      </c>
      <c r="J384" s="16" t="s">
        <v>289</v>
      </c>
      <c r="K384" s="16" t="s">
        <v>289</v>
      </c>
      <c r="L384" s="16" t="s">
        <v>289</v>
      </c>
      <c r="M384" s="16" t="s">
        <v>289</v>
      </c>
      <c r="N384" s="16" t="s">
        <v>289</v>
      </c>
      <c r="O384" s="16" t="s">
        <v>289</v>
      </c>
      <c r="P384" s="16" t="s">
        <v>289</v>
      </c>
      <c r="Q384" s="16" t="s">
        <v>289</v>
      </c>
      <c r="R384" s="16" t="s">
        <v>289</v>
      </c>
      <c r="S384" s="16" t="s">
        <v>289</v>
      </c>
      <c r="T384" s="16" t="s">
        <v>289</v>
      </c>
      <c r="U384" s="16" t="s">
        <v>289</v>
      </c>
      <c r="V384" s="16" t="s">
        <v>289</v>
      </c>
      <c r="W384" s="16"/>
      <c r="X384" s="16"/>
      <c r="Y384" s="16"/>
      <c r="Z384" s="16"/>
      <c r="AA384" s="16"/>
      <c r="AB384" s="25"/>
      <c r="AC384" s="25"/>
      <c r="AD384" s="24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16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24"/>
      <c r="BK384" s="22"/>
      <c r="BL384" s="23"/>
      <c r="BM384" s="22"/>
      <c r="BN384" s="22"/>
      <c r="BO384" s="22"/>
      <c r="BP384" s="22"/>
      <c r="BQ384" s="22"/>
      <c r="BR384" s="24"/>
      <c r="BS384" s="5"/>
    </row>
    <row r="385" spans="1:72" s="33" customFormat="1" ht="13.15" hidden="1" outlineLevel="1">
      <c r="A385" s="5"/>
      <c r="B385" s="5"/>
      <c r="C385" s="5" t="s">
        <v>237</v>
      </c>
      <c r="D385" s="25" t="str">
        <f t="shared" ref="D385:J385" si="224">IFERROR(D386-SUM(D390),"…")</f>
        <v>…</v>
      </c>
      <c r="E385" s="25" t="str">
        <f t="shared" si="224"/>
        <v>…</v>
      </c>
      <c r="F385" s="25" t="str">
        <f t="shared" si="224"/>
        <v>…</v>
      </c>
      <c r="G385" s="25" t="str">
        <f t="shared" si="224"/>
        <v>…</v>
      </c>
      <c r="H385" s="25" t="str">
        <f t="shared" si="224"/>
        <v>…</v>
      </c>
      <c r="I385" s="25" t="str">
        <f t="shared" si="224"/>
        <v>…</v>
      </c>
      <c r="J385" s="25" t="str">
        <f t="shared" si="224"/>
        <v>…</v>
      </c>
      <c r="K385" s="25" t="str">
        <f t="shared" ref="K385:Y385" si="225">IFERROR(K386-SUM(K390),"…")</f>
        <v>…</v>
      </c>
      <c r="L385" s="25" t="str">
        <f t="shared" si="225"/>
        <v>…</v>
      </c>
      <c r="M385" s="25">
        <f t="shared" si="225"/>
        <v>242.16700000000003</v>
      </c>
      <c r="N385" s="25">
        <f t="shared" si="225"/>
        <v>265.26200000000006</v>
      </c>
      <c r="O385" s="25">
        <f t="shared" si="225"/>
        <v>307.81000000000006</v>
      </c>
      <c r="P385" s="25">
        <f t="shared" si="225"/>
        <v>354.39400000000001</v>
      </c>
      <c r="Q385" s="25">
        <f t="shared" si="225"/>
        <v>440.4559999999999</v>
      </c>
      <c r="R385" s="25">
        <f t="shared" si="225"/>
        <v>645.79700000000003</v>
      </c>
      <c r="S385" s="25">
        <f t="shared" si="225"/>
        <v>837.93799999999987</v>
      </c>
      <c r="T385" s="25">
        <f t="shared" si="225"/>
        <v>979.29</v>
      </c>
      <c r="U385" s="25">
        <f t="shared" si="225"/>
        <v>1138.173</v>
      </c>
      <c r="V385" s="25" t="str">
        <f t="shared" si="225"/>
        <v>…</v>
      </c>
      <c r="W385" s="25" t="str">
        <f t="shared" si="225"/>
        <v>…</v>
      </c>
      <c r="X385" s="25" t="str">
        <f t="shared" si="225"/>
        <v>…</v>
      </c>
      <c r="Y385" s="25" t="str">
        <f t="shared" si="225"/>
        <v>…</v>
      </c>
      <c r="Z385" s="25"/>
      <c r="AA385" s="25"/>
      <c r="AB385" s="14"/>
      <c r="AC385" s="14"/>
      <c r="AD385" s="24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2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24"/>
      <c r="BK385" s="22"/>
      <c r="BL385" s="23"/>
      <c r="BM385" s="22"/>
      <c r="BN385" s="22"/>
      <c r="BO385" s="22"/>
      <c r="BP385" s="22"/>
      <c r="BQ385" s="22"/>
      <c r="BR385" s="24"/>
      <c r="BS385" s="5"/>
    </row>
    <row r="386" spans="1:72" s="33" customFormat="1" ht="13.15" hidden="1" outlineLevel="1">
      <c r="A386" s="5"/>
      <c r="B386" s="5"/>
      <c r="C386" s="5" t="s">
        <v>305</v>
      </c>
      <c r="D386" s="25" t="str">
        <f t="shared" ref="D386:Y386" si="226">IF(ISNUMBER(D387),D387,IF(ISNUMBER(D388),D388,"…"))</f>
        <v>…</v>
      </c>
      <c r="E386" s="25" t="str">
        <f t="shared" si="226"/>
        <v>…</v>
      </c>
      <c r="F386" s="25" t="str">
        <f t="shared" si="226"/>
        <v>…</v>
      </c>
      <c r="G386" s="25" t="str">
        <f t="shared" si="226"/>
        <v>…</v>
      </c>
      <c r="H386" s="25" t="str">
        <f t="shared" si="226"/>
        <v>…</v>
      </c>
      <c r="I386" s="25" t="str">
        <f t="shared" si="226"/>
        <v>…</v>
      </c>
      <c r="J386" s="25" t="str">
        <f t="shared" si="226"/>
        <v>…</v>
      </c>
      <c r="K386" s="25" t="str">
        <f t="shared" si="226"/>
        <v>…</v>
      </c>
      <c r="L386" s="25" t="str">
        <f t="shared" si="226"/>
        <v>…</v>
      </c>
      <c r="M386" s="25">
        <f t="shared" si="226"/>
        <v>1029.345</v>
      </c>
      <c r="N386" s="25">
        <f t="shared" si="226"/>
        <v>1052.44</v>
      </c>
      <c r="O386" s="25">
        <f t="shared" si="226"/>
        <v>1094.9880000000001</v>
      </c>
      <c r="P386" s="25">
        <f t="shared" si="226"/>
        <v>1139.576</v>
      </c>
      <c r="Q386" s="25">
        <f t="shared" si="226"/>
        <v>1225.6379999999999</v>
      </c>
      <c r="R386" s="25">
        <f t="shared" si="226"/>
        <v>1430.979</v>
      </c>
      <c r="S386" s="25">
        <f t="shared" si="226"/>
        <v>1623.12</v>
      </c>
      <c r="T386" s="25">
        <f t="shared" si="226"/>
        <v>1764.472</v>
      </c>
      <c r="U386" s="25">
        <f t="shared" si="226"/>
        <v>1923.355</v>
      </c>
      <c r="V386" s="25" t="str">
        <f t="shared" si="226"/>
        <v>…</v>
      </c>
      <c r="W386" s="25" t="str">
        <f t="shared" si="226"/>
        <v>…</v>
      </c>
      <c r="X386" s="25" t="str">
        <f t="shared" si="226"/>
        <v>…</v>
      </c>
      <c r="Y386" s="25" t="str">
        <f t="shared" si="226"/>
        <v>…</v>
      </c>
      <c r="Z386" s="25"/>
      <c r="AA386" s="25"/>
      <c r="AB386" s="14"/>
      <c r="AC386" s="14"/>
      <c r="AD386" s="24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2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24"/>
      <c r="BK386" s="22"/>
      <c r="BL386" s="23"/>
      <c r="BM386" s="22"/>
      <c r="BN386" s="22"/>
      <c r="BO386" s="22"/>
      <c r="BP386" s="22"/>
      <c r="BQ386" s="22"/>
      <c r="BR386" s="24"/>
      <c r="BS386" s="5"/>
    </row>
    <row r="387" spans="1:72" s="33" customFormat="1" hidden="1" outlineLevel="1">
      <c r="A387" s="5"/>
      <c r="B387" s="5" t="s">
        <v>234</v>
      </c>
      <c r="C387" s="38" t="s">
        <v>154</v>
      </c>
      <c r="D387" s="16" t="s">
        <v>289</v>
      </c>
      <c r="E387" s="16" t="s">
        <v>289</v>
      </c>
      <c r="F387" s="16" t="s">
        <v>289</v>
      </c>
      <c r="G387" s="16" t="s">
        <v>289</v>
      </c>
      <c r="H387" s="16" t="s">
        <v>289</v>
      </c>
      <c r="I387" s="16" t="s">
        <v>289</v>
      </c>
      <c r="J387" s="16" t="s">
        <v>289</v>
      </c>
      <c r="K387" s="16" t="s">
        <v>289</v>
      </c>
      <c r="L387" s="16" t="s">
        <v>289</v>
      </c>
      <c r="M387" s="16">
        <v>1029.345</v>
      </c>
      <c r="N387" s="16">
        <v>1052.44</v>
      </c>
      <c r="O387" s="16">
        <v>1094.9880000000001</v>
      </c>
      <c r="P387" s="16">
        <v>1139.576</v>
      </c>
      <c r="Q387" s="16">
        <v>1225.6379999999999</v>
      </c>
      <c r="R387" s="16">
        <v>1430.979</v>
      </c>
      <c r="S387" s="16">
        <v>1623.12</v>
      </c>
      <c r="T387" s="16">
        <v>1764.472</v>
      </c>
      <c r="U387" s="16">
        <v>1923.355</v>
      </c>
      <c r="V387" s="16" t="s">
        <v>289</v>
      </c>
      <c r="W387" s="16"/>
      <c r="X387" s="16"/>
      <c r="Y387" s="16"/>
      <c r="Z387" s="16"/>
      <c r="AA387" s="16"/>
      <c r="AB387" s="25"/>
      <c r="AC387" s="25"/>
      <c r="AD387" s="24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16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24"/>
      <c r="BK387" s="22"/>
      <c r="BL387" s="23"/>
      <c r="BM387" s="22"/>
      <c r="BN387" s="22"/>
      <c r="BO387" s="22"/>
      <c r="BP387" s="22"/>
      <c r="BQ387" s="22"/>
      <c r="BR387" s="24"/>
      <c r="BS387" s="5"/>
    </row>
    <row r="388" spans="1:72" s="33" customFormat="1" hidden="1" outlineLevel="1">
      <c r="A388" s="5"/>
      <c r="B388" s="5" t="s">
        <v>236</v>
      </c>
      <c r="C388" s="38" t="s">
        <v>154</v>
      </c>
      <c r="D388" s="16" t="s">
        <v>289</v>
      </c>
      <c r="E388" s="16" t="s">
        <v>289</v>
      </c>
      <c r="F388" s="16" t="s">
        <v>289</v>
      </c>
      <c r="G388" s="16" t="s">
        <v>289</v>
      </c>
      <c r="H388" s="16" t="s">
        <v>289</v>
      </c>
      <c r="I388" s="16" t="s">
        <v>289</v>
      </c>
      <c r="J388" s="16" t="s">
        <v>289</v>
      </c>
      <c r="K388" s="16" t="s">
        <v>289</v>
      </c>
      <c r="L388" s="16" t="s">
        <v>289</v>
      </c>
      <c r="M388" s="16" t="s">
        <v>289</v>
      </c>
      <c r="N388" s="16" t="s">
        <v>289</v>
      </c>
      <c r="O388" s="16" t="s">
        <v>289</v>
      </c>
      <c r="P388" s="16" t="s">
        <v>289</v>
      </c>
      <c r="Q388" s="16" t="s">
        <v>289</v>
      </c>
      <c r="R388" s="16" t="s">
        <v>289</v>
      </c>
      <c r="S388" s="16" t="s">
        <v>289</v>
      </c>
      <c r="T388" s="16" t="s">
        <v>289</v>
      </c>
      <c r="U388" s="16" t="s">
        <v>289</v>
      </c>
      <c r="V388" s="16" t="s">
        <v>289</v>
      </c>
      <c r="W388" s="16"/>
      <c r="X388" s="16"/>
      <c r="Y388" s="16"/>
      <c r="Z388" s="16"/>
      <c r="AA388" s="16"/>
      <c r="AB388" s="25"/>
      <c r="AC388" s="25"/>
      <c r="AD388" s="24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16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24"/>
      <c r="BK388" s="22"/>
      <c r="BL388" s="23"/>
      <c r="BM388" s="22"/>
      <c r="BN388" s="22"/>
      <c r="BO388" s="22"/>
      <c r="BP388" s="22"/>
      <c r="BQ388" s="22"/>
      <c r="BR388" s="24"/>
      <c r="BS388" s="5"/>
    </row>
    <row r="389" spans="1:72" s="33" customFormat="1" hidden="1" outlineLevel="1">
      <c r="A389" s="5"/>
      <c r="B389" s="38"/>
      <c r="C389" s="43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25"/>
      <c r="AC389" s="25"/>
      <c r="AD389" s="24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16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24"/>
      <c r="BK389" s="22"/>
      <c r="BL389" s="23"/>
      <c r="BM389" s="22"/>
      <c r="BN389" s="22"/>
      <c r="BO389" s="22"/>
      <c r="BP389" s="22"/>
      <c r="BQ389" s="22"/>
      <c r="BR389" s="24"/>
      <c r="BS389" s="5"/>
    </row>
    <row r="390" spans="1:72" s="33" customFormat="1" ht="13.15" collapsed="1">
      <c r="A390" s="5"/>
      <c r="B390" s="5"/>
      <c r="C390" s="9" t="s">
        <v>303</v>
      </c>
      <c r="D390" s="14" t="str">
        <f t="shared" ref="D390:Y390" si="227">IF(D11="no","…",IF(ISNUMBER(D391),D391,IF(ISNUMBER(D392),D392,"…")))</f>
        <v>…</v>
      </c>
      <c r="E390" s="14" t="str">
        <f t="shared" si="227"/>
        <v>…</v>
      </c>
      <c r="F390" s="14" t="str">
        <f t="shared" si="227"/>
        <v>…</v>
      </c>
      <c r="G390" s="14" t="str">
        <f t="shared" si="227"/>
        <v>…</v>
      </c>
      <c r="H390" s="14" t="str">
        <f t="shared" si="227"/>
        <v>…</v>
      </c>
      <c r="I390" s="14" t="str">
        <f t="shared" si="227"/>
        <v>…</v>
      </c>
      <c r="J390" s="14" t="str">
        <f t="shared" si="227"/>
        <v>…</v>
      </c>
      <c r="K390" s="14" t="str">
        <f t="shared" si="227"/>
        <v>…</v>
      </c>
      <c r="L390" s="14" t="str">
        <f t="shared" si="227"/>
        <v>…</v>
      </c>
      <c r="M390" s="14">
        <f t="shared" si="227"/>
        <v>787.178</v>
      </c>
      <c r="N390" s="14">
        <f t="shared" si="227"/>
        <v>787.178</v>
      </c>
      <c r="O390" s="14">
        <f t="shared" si="227"/>
        <v>787.178</v>
      </c>
      <c r="P390" s="14">
        <f t="shared" si="227"/>
        <v>785.18200000000002</v>
      </c>
      <c r="Q390" s="14">
        <f t="shared" si="227"/>
        <v>785.18200000000002</v>
      </c>
      <c r="R390" s="14">
        <f t="shared" si="227"/>
        <v>785.18200000000002</v>
      </c>
      <c r="S390" s="14">
        <f t="shared" si="227"/>
        <v>785.18200000000002</v>
      </c>
      <c r="T390" s="14">
        <f t="shared" si="227"/>
        <v>785.18200000000002</v>
      </c>
      <c r="U390" s="14">
        <f t="shared" si="227"/>
        <v>785.18200000000002</v>
      </c>
      <c r="V390" s="14" t="str">
        <f t="shared" si="227"/>
        <v>…</v>
      </c>
      <c r="W390" s="14" t="str">
        <f t="shared" si="227"/>
        <v>…</v>
      </c>
      <c r="X390" s="14" t="str">
        <f t="shared" si="227"/>
        <v>…</v>
      </c>
      <c r="Y390" s="14" t="str">
        <f t="shared" si="227"/>
        <v>…</v>
      </c>
      <c r="Z390" s="14"/>
      <c r="AA390" s="14"/>
      <c r="AB390" s="14"/>
      <c r="AC390" s="14"/>
      <c r="AD390" s="24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14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24"/>
      <c r="BK390" s="22"/>
      <c r="BL390" s="23"/>
      <c r="BM390" s="22"/>
      <c r="BN390" s="22"/>
      <c r="BO390" s="22"/>
      <c r="BP390" s="22"/>
      <c r="BQ390" s="22"/>
      <c r="BR390" s="24"/>
      <c r="BS390" s="5"/>
    </row>
    <row r="391" spans="1:72" hidden="1" outlineLevel="1">
      <c r="B391" s="5" t="s">
        <v>245</v>
      </c>
      <c r="C391" s="38" t="s">
        <v>154</v>
      </c>
      <c r="D391" s="16" t="s">
        <v>289</v>
      </c>
      <c r="E391" s="16" t="s">
        <v>289</v>
      </c>
      <c r="F391" s="16" t="s">
        <v>289</v>
      </c>
      <c r="G391" s="16" t="s">
        <v>289</v>
      </c>
      <c r="H391" s="16" t="s">
        <v>289</v>
      </c>
      <c r="I391" s="16" t="s">
        <v>289</v>
      </c>
      <c r="J391" s="16" t="s">
        <v>289</v>
      </c>
      <c r="K391" s="16" t="s">
        <v>289</v>
      </c>
      <c r="L391" s="16" t="s">
        <v>289</v>
      </c>
      <c r="M391" s="16">
        <v>787.178</v>
      </c>
      <c r="N391" s="16">
        <v>787.178</v>
      </c>
      <c r="O391" s="16">
        <v>787.178</v>
      </c>
      <c r="P391" s="16">
        <v>785.18200000000002</v>
      </c>
      <c r="Q391" s="16">
        <v>785.18200000000002</v>
      </c>
      <c r="R391" s="16">
        <v>785.18200000000002</v>
      </c>
      <c r="S391" s="16">
        <v>785.18200000000002</v>
      </c>
      <c r="T391" s="16">
        <v>785.18200000000002</v>
      </c>
      <c r="U391" s="16">
        <v>785.18200000000002</v>
      </c>
      <c r="V391" s="16" t="s">
        <v>289</v>
      </c>
      <c r="W391" s="16"/>
      <c r="X391" s="16"/>
      <c r="Y391" s="16"/>
      <c r="Z391" s="16"/>
      <c r="AA391" s="16"/>
      <c r="AB391" s="25"/>
      <c r="AC391" s="25"/>
      <c r="AD391" s="24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16"/>
      <c r="AZ391" s="5"/>
      <c r="BJ391" s="24"/>
      <c r="BK391" s="22"/>
      <c r="BL391" s="23"/>
      <c r="BM391" s="22"/>
      <c r="BN391" s="22"/>
      <c r="BO391" s="22"/>
      <c r="BP391" s="22"/>
      <c r="BQ391" s="22"/>
      <c r="BR391" s="24"/>
      <c r="BT391" s="33"/>
    </row>
    <row r="392" spans="1:72" s="33" customFormat="1" hidden="1" outlineLevel="1">
      <c r="A392" s="5"/>
      <c r="B392" s="5" t="s">
        <v>246</v>
      </c>
      <c r="C392" s="38" t="s">
        <v>161</v>
      </c>
      <c r="D392" s="16" t="s">
        <v>289</v>
      </c>
      <c r="E392" s="16" t="s">
        <v>289</v>
      </c>
      <c r="F392" s="16" t="s">
        <v>289</v>
      </c>
      <c r="G392" s="16" t="s">
        <v>289</v>
      </c>
      <c r="H392" s="16" t="s">
        <v>289</v>
      </c>
      <c r="I392" s="16" t="s">
        <v>289</v>
      </c>
      <c r="J392" s="16" t="s">
        <v>289</v>
      </c>
      <c r="K392" s="16" t="s">
        <v>289</v>
      </c>
      <c r="L392" s="16" t="s">
        <v>289</v>
      </c>
      <c r="M392" s="16">
        <v>787.178</v>
      </c>
      <c r="N392" s="16">
        <v>787.178</v>
      </c>
      <c r="O392" s="16">
        <v>787.178</v>
      </c>
      <c r="P392" s="16">
        <v>785.18200000000002</v>
      </c>
      <c r="Q392" s="16">
        <v>785.18200000000002</v>
      </c>
      <c r="R392" s="16">
        <v>785.18200000000002</v>
      </c>
      <c r="S392" s="16">
        <v>785.18200000000002</v>
      </c>
      <c r="T392" s="16">
        <v>785.18200000000002</v>
      </c>
      <c r="U392" s="16">
        <v>785.18200000000002</v>
      </c>
      <c r="V392" s="16" t="s">
        <v>289</v>
      </c>
      <c r="W392" s="16"/>
      <c r="X392" s="16"/>
      <c r="Y392" s="16"/>
      <c r="Z392" s="16"/>
      <c r="AA392" s="16"/>
      <c r="AB392" s="25"/>
      <c r="AC392" s="25"/>
      <c r="AD392" s="24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16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24"/>
      <c r="BK392" s="22"/>
      <c r="BL392" s="23"/>
      <c r="BM392" s="22"/>
      <c r="BN392" s="22"/>
      <c r="BO392" s="22"/>
      <c r="BP392" s="22"/>
      <c r="BQ392" s="22"/>
      <c r="BR392" s="24"/>
      <c r="BS392" s="5"/>
    </row>
    <row r="393" spans="1:72" hidden="1" outlineLevel="1"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Z393" s="5"/>
      <c r="BK393" s="22"/>
      <c r="BL393" s="23"/>
      <c r="BM393" s="22"/>
      <c r="BN393" s="22"/>
      <c r="BO393" s="22"/>
      <c r="BP393" s="22"/>
      <c r="BQ393" s="22"/>
      <c r="BR393" s="24"/>
    </row>
    <row r="394" spans="1:72" ht="13.15" collapsed="1">
      <c r="C394" s="9" t="s">
        <v>323</v>
      </c>
      <c r="D394" s="7" t="str">
        <f t="shared" ref="D394:Y394" si="228">IF(ISNUMBER(D396),D396,IF(ISNUMBER(D395),D395,IF(ISNUMBER(D397),D397,"…")))</f>
        <v>…</v>
      </c>
      <c r="E394" s="7" t="str">
        <f t="shared" si="228"/>
        <v>…</v>
      </c>
      <c r="F394" s="7" t="str">
        <f t="shared" si="228"/>
        <v>…</v>
      </c>
      <c r="G394" s="7" t="str">
        <f t="shared" si="228"/>
        <v>…</v>
      </c>
      <c r="H394" s="7" t="str">
        <f t="shared" si="228"/>
        <v>…</v>
      </c>
      <c r="I394" s="7" t="str">
        <f t="shared" si="228"/>
        <v>…</v>
      </c>
      <c r="J394" s="7" t="str">
        <f t="shared" si="228"/>
        <v>…</v>
      </c>
      <c r="K394" s="7" t="str">
        <f t="shared" si="228"/>
        <v>…</v>
      </c>
      <c r="L394" s="7" t="str">
        <f t="shared" si="228"/>
        <v>…</v>
      </c>
      <c r="M394" s="7">
        <f t="shared" si="228"/>
        <v>113.786</v>
      </c>
      <c r="N394" s="7">
        <f t="shared" si="228"/>
        <v>134.27799999999999</v>
      </c>
      <c r="O394" s="7">
        <f t="shared" si="228"/>
        <v>182.75299999999999</v>
      </c>
      <c r="P394" s="7">
        <f t="shared" si="228"/>
        <v>457.78399999999999</v>
      </c>
      <c r="Q394" s="7">
        <f t="shared" si="228"/>
        <v>647.70600000000002</v>
      </c>
      <c r="R394" s="7">
        <f t="shared" si="228"/>
        <v>793.66399999999999</v>
      </c>
      <c r="S394" s="7">
        <f t="shared" si="228"/>
        <v>897.94600000000003</v>
      </c>
      <c r="T394" s="7">
        <f t="shared" si="228"/>
        <v>1362.4059999999999</v>
      </c>
      <c r="U394" s="7">
        <f t="shared" si="228"/>
        <v>1344.146</v>
      </c>
      <c r="V394" s="7" t="str">
        <f t="shared" si="228"/>
        <v>…</v>
      </c>
      <c r="W394" s="7" t="str">
        <f t="shared" si="228"/>
        <v>…</v>
      </c>
      <c r="X394" s="7" t="str">
        <f t="shared" si="228"/>
        <v>…</v>
      </c>
      <c r="Y394" s="7" t="str">
        <f t="shared" si="228"/>
        <v>…</v>
      </c>
      <c r="Z394" s="7"/>
      <c r="AD394" s="24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Z394" s="5"/>
      <c r="BK394" s="22"/>
      <c r="BL394" s="23"/>
      <c r="BM394" s="22"/>
      <c r="BN394" s="22"/>
      <c r="BO394" s="22"/>
      <c r="BP394" s="22"/>
      <c r="BQ394" s="22"/>
      <c r="BR394" s="24"/>
    </row>
    <row r="395" spans="1:72" hidden="1" outlineLevel="1">
      <c r="B395" s="5" t="s">
        <v>276</v>
      </c>
      <c r="C395" s="44" t="s">
        <v>154</v>
      </c>
      <c r="D395" s="16" t="s">
        <v>289</v>
      </c>
      <c r="E395" s="16" t="s">
        <v>289</v>
      </c>
      <c r="F395" s="16" t="s">
        <v>289</v>
      </c>
      <c r="G395" s="16" t="s">
        <v>289</v>
      </c>
      <c r="H395" s="16" t="s">
        <v>289</v>
      </c>
      <c r="I395" s="16" t="s">
        <v>289</v>
      </c>
      <c r="J395" s="16" t="s">
        <v>289</v>
      </c>
      <c r="K395" s="16" t="s">
        <v>289</v>
      </c>
      <c r="L395" s="16" t="s">
        <v>289</v>
      </c>
      <c r="M395" s="16">
        <v>113.786</v>
      </c>
      <c r="N395" s="16">
        <v>134.27799999999999</v>
      </c>
      <c r="O395" s="16">
        <v>182.75299999999999</v>
      </c>
      <c r="P395" s="16">
        <v>457.78399999999999</v>
      </c>
      <c r="Q395" s="16">
        <v>647.70600000000002</v>
      </c>
      <c r="R395" s="16">
        <v>793.66399999999999</v>
      </c>
      <c r="S395" s="16">
        <v>897.94600000000003</v>
      </c>
      <c r="T395" s="16">
        <v>1362.4059999999999</v>
      </c>
      <c r="U395" s="16">
        <v>1344.146</v>
      </c>
      <c r="V395" s="16" t="s">
        <v>289</v>
      </c>
      <c r="W395" s="16"/>
      <c r="X395" s="16"/>
      <c r="Y395" s="16"/>
      <c r="Z395" s="16"/>
      <c r="AA395" s="16"/>
      <c r="AD395" s="24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16"/>
      <c r="AZ395" s="5"/>
      <c r="BK395" s="22"/>
      <c r="BL395" s="23"/>
      <c r="BM395" s="22"/>
      <c r="BN395" s="22"/>
      <c r="BO395" s="22"/>
      <c r="BP395" s="22"/>
      <c r="BQ395" s="22"/>
      <c r="BR395" s="24"/>
    </row>
    <row r="396" spans="1:72" hidden="1" outlineLevel="1">
      <c r="B396" s="5" t="s">
        <v>277</v>
      </c>
      <c r="C396" s="44" t="s">
        <v>161</v>
      </c>
      <c r="D396" s="16" t="s">
        <v>289</v>
      </c>
      <c r="E396" s="16" t="s">
        <v>289</v>
      </c>
      <c r="F396" s="16" t="s">
        <v>289</v>
      </c>
      <c r="G396" s="16" t="s">
        <v>289</v>
      </c>
      <c r="H396" s="16" t="s">
        <v>289</v>
      </c>
      <c r="I396" s="16" t="s">
        <v>289</v>
      </c>
      <c r="J396" s="16" t="s">
        <v>289</v>
      </c>
      <c r="K396" s="16" t="s">
        <v>289</v>
      </c>
      <c r="L396" s="16" t="s">
        <v>289</v>
      </c>
      <c r="M396" s="16" t="s">
        <v>289</v>
      </c>
      <c r="N396" s="16" t="s">
        <v>289</v>
      </c>
      <c r="O396" s="16" t="s">
        <v>289</v>
      </c>
      <c r="P396" s="16" t="s">
        <v>289</v>
      </c>
      <c r="Q396" s="16" t="s">
        <v>289</v>
      </c>
      <c r="R396" s="16" t="s">
        <v>289</v>
      </c>
      <c r="S396" s="16" t="s">
        <v>289</v>
      </c>
      <c r="T396" s="16" t="s">
        <v>289</v>
      </c>
      <c r="U396" s="16" t="s">
        <v>289</v>
      </c>
      <c r="V396" s="16" t="s">
        <v>289</v>
      </c>
      <c r="W396" s="16"/>
      <c r="X396" s="16"/>
      <c r="Y396" s="16"/>
      <c r="Z396" s="16"/>
      <c r="AA396" s="16"/>
      <c r="AD396" s="24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16"/>
      <c r="AZ396" s="5"/>
      <c r="BK396" s="22"/>
      <c r="BL396" s="23"/>
      <c r="BM396" s="22"/>
      <c r="BN396" s="22"/>
      <c r="BO396" s="22"/>
      <c r="BP396" s="22"/>
      <c r="BQ396" s="22"/>
      <c r="BR396" s="24"/>
    </row>
    <row r="397" spans="1:72" hidden="1" outlineLevel="1">
      <c r="B397" s="5" t="s">
        <v>278</v>
      </c>
      <c r="C397" s="44" t="s">
        <v>163</v>
      </c>
      <c r="D397" s="16" t="s">
        <v>289</v>
      </c>
      <c r="E397" s="16" t="s">
        <v>289</v>
      </c>
      <c r="F397" s="16" t="s">
        <v>289</v>
      </c>
      <c r="G397" s="16" t="s">
        <v>289</v>
      </c>
      <c r="H397" s="16" t="s">
        <v>289</v>
      </c>
      <c r="I397" s="16" t="s">
        <v>289</v>
      </c>
      <c r="J397" s="16" t="s">
        <v>289</v>
      </c>
      <c r="K397" s="16" t="s">
        <v>289</v>
      </c>
      <c r="L397" s="16" t="s">
        <v>289</v>
      </c>
      <c r="M397" s="16">
        <v>113.786</v>
      </c>
      <c r="N397" s="16">
        <v>134.27799999999999</v>
      </c>
      <c r="O397" s="16">
        <v>182.75299999999999</v>
      </c>
      <c r="P397" s="16">
        <v>457.78399999999999</v>
      </c>
      <c r="Q397" s="16">
        <v>647.70600000000002</v>
      </c>
      <c r="R397" s="16">
        <v>793.66399999999999</v>
      </c>
      <c r="S397" s="16">
        <v>897.94600000000003</v>
      </c>
      <c r="T397" s="16">
        <v>1362.4059999999999</v>
      </c>
      <c r="U397" s="16">
        <v>1344.146</v>
      </c>
      <c r="V397" s="16" t="s">
        <v>289</v>
      </c>
      <c r="W397" s="16"/>
      <c r="X397" s="16"/>
      <c r="Y397" s="16"/>
      <c r="Z397" s="16"/>
      <c r="AA397" s="16"/>
      <c r="AD397" s="24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16"/>
      <c r="AZ397" s="5"/>
      <c r="BK397" s="22"/>
      <c r="BL397" s="23"/>
      <c r="BM397" s="22"/>
      <c r="BN397" s="22"/>
      <c r="BO397" s="22"/>
      <c r="BP397" s="22"/>
      <c r="BQ397" s="22"/>
      <c r="BR397" s="24"/>
    </row>
    <row r="398" spans="1:72" hidden="1" outlineLevel="1"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Z398" s="5"/>
      <c r="BK398" s="22"/>
      <c r="BL398" s="23"/>
      <c r="BM398" s="22"/>
      <c r="BN398" s="22"/>
      <c r="BO398" s="22"/>
      <c r="BP398" s="22"/>
      <c r="BQ398" s="22"/>
      <c r="BR398" s="24"/>
    </row>
    <row r="399" spans="1:72" ht="13.15" collapsed="1">
      <c r="B399" s="38"/>
      <c r="C399" s="9" t="s">
        <v>247</v>
      </c>
      <c r="D399" s="14" t="str">
        <f t="shared" ref="D399:Y399" si="229">IF(D11="yes",SUM(D400:D407),"…")</f>
        <v>…</v>
      </c>
      <c r="E399" s="14" t="str">
        <f t="shared" si="229"/>
        <v>…</v>
      </c>
      <c r="F399" s="14" t="str">
        <f t="shared" si="229"/>
        <v>…</v>
      </c>
      <c r="G399" s="14" t="str">
        <f t="shared" si="229"/>
        <v>…</v>
      </c>
      <c r="H399" s="14" t="str">
        <f t="shared" si="229"/>
        <v>…</v>
      </c>
      <c r="I399" s="14" t="str">
        <f t="shared" si="229"/>
        <v>…</v>
      </c>
      <c r="J399" s="14" t="str">
        <f t="shared" si="229"/>
        <v>…</v>
      </c>
      <c r="K399" s="14" t="str">
        <f t="shared" si="229"/>
        <v>…</v>
      </c>
      <c r="L399" s="14" t="str">
        <f t="shared" si="229"/>
        <v>…</v>
      </c>
      <c r="M399" s="14">
        <f t="shared" si="229"/>
        <v>0</v>
      </c>
      <c r="N399" s="14">
        <f t="shared" si="229"/>
        <v>0</v>
      </c>
      <c r="O399" s="14">
        <f t="shared" si="229"/>
        <v>0</v>
      </c>
      <c r="P399" s="14">
        <f t="shared" si="229"/>
        <v>0</v>
      </c>
      <c r="Q399" s="14">
        <f t="shared" si="229"/>
        <v>0</v>
      </c>
      <c r="R399" s="14">
        <f t="shared" si="229"/>
        <v>0</v>
      </c>
      <c r="S399" s="14">
        <f t="shared" si="229"/>
        <v>0</v>
      </c>
      <c r="T399" s="14">
        <f t="shared" si="229"/>
        <v>0</v>
      </c>
      <c r="U399" s="14">
        <f t="shared" si="229"/>
        <v>0</v>
      </c>
      <c r="V399" s="14" t="str">
        <f t="shared" si="229"/>
        <v>…</v>
      </c>
      <c r="W399" s="14" t="str">
        <f t="shared" si="229"/>
        <v>…</v>
      </c>
      <c r="X399" s="14" t="str">
        <f t="shared" si="229"/>
        <v>…</v>
      </c>
      <c r="Y399" s="14" t="str">
        <f t="shared" si="229"/>
        <v>…</v>
      </c>
      <c r="Z399" s="14"/>
      <c r="AA399" s="14"/>
      <c r="AB399" s="14"/>
      <c r="AC399" s="14"/>
      <c r="AD399" s="24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14"/>
      <c r="AZ399" s="5"/>
      <c r="BJ399" s="24"/>
      <c r="BK399" s="22"/>
      <c r="BL399" s="23"/>
      <c r="BM399" s="22"/>
      <c r="BN399" s="22"/>
      <c r="BO399" s="22"/>
      <c r="BP399" s="22"/>
      <c r="BQ399" s="22"/>
      <c r="BR399" s="24"/>
      <c r="BT399" s="33"/>
    </row>
    <row r="400" spans="1:72" s="33" customFormat="1" hidden="1" outlineLevel="1">
      <c r="A400" s="5"/>
      <c r="B400" s="5" t="s">
        <v>248</v>
      </c>
      <c r="C400" s="43" t="s">
        <v>154</v>
      </c>
      <c r="D400" s="16" t="s">
        <v>289</v>
      </c>
      <c r="E400" s="16" t="s">
        <v>289</v>
      </c>
      <c r="F400" s="16" t="s">
        <v>289</v>
      </c>
      <c r="G400" s="16" t="s">
        <v>289</v>
      </c>
      <c r="H400" s="16" t="s">
        <v>289</v>
      </c>
      <c r="I400" s="16" t="s">
        <v>289</v>
      </c>
      <c r="J400" s="16" t="s">
        <v>289</v>
      </c>
      <c r="K400" s="16" t="s">
        <v>289</v>
      </c>
      <c r="L400" s="16" t="s">
        <v>289</v>
      </c>
      <c r="M400" s="16" t="s">
        <v>289</v>
      </c>
      <c r="N400" s="16" t="s">
        <v>289</v>
      </c>
      <c r="O400" s="16" t="s">
        <v>289</v>
      </c>
      <c r="P400" s="16" t="s">
        <v>289</v>
      </c>
      <c r="Q400" s="16" t="s">
        <v>289</v>
      </c>
      <c r="R400" s="16" t="s">
        <v>289</v>
      </c>
      <c r="S400" s="16" t="s">
        <v>289</v>
      </c>
      <c r="T400" s="16" t="s">
        <v>289</v>
      </c>
      <c r="U400" s="16" t="s">
        <v>289</v>
      </c>
      <c r="V400" s="16" t="s">
        <v>289</v>
      </c>
      <c r="W400" s="16"/>
      <c r="X400" s="16"/>
      <c r="Y400" s="16"/>
      <c r="Z400" s="16"/>
      <c r="AA400" s="16"/>
      <c r="AB400" s="25"/>
      <c r="AC400" s="25"/>
      <c r="AD400" s="24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16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24"/>
      <c r="BK400" s="22"/>
      <c r="BL400" s="23"/>
      <c r="BM400" s="22"/>
      <c r="BN400" s="22"/>
      <c r="BO400" s="22"/>
      <c r="BP400" s="22"/>
      <c r="BQ400" s="22"/>
      <c r="BR400" s="24"/>
      <c r="BS400" s="5"/>
    </row>
    <row r="401" spans="1:71" hidden="1" outlineLevel="1">
      <c r="B401" s="5" t="s">
        <v>1713</v>
      </c>
      <c r="C401" s="43" t="s">
        <v>154</v>
      </c>
      <c r="D401" s="16" t="s">
        <v>289</v>
      </c>
      <c r="E401" s="16" t="s">
        <v>289</v>
      </c>
      <c r="F401" s="16" t="s">
        <v>289</v>
      </c>
      <c r="G401" s="16" t="s">
        <v>289</v>
      </c>
      <c r="H401" s="16" t="s">
        <v>289</v>
      </c>
      <c r="I401" s="16" t="s">
        <v>289</v>
      </c>
      <c r="J401" s="16" t="s">
        <v>289</v>
      </c>
      <c r="K401" s="16" t="s">
        <v>289</v>
      </c>
      <c r="L401" s="16" t="s">
        <v>289</v>
      </c>
      <c r="M401" s="16" t="s">
        <v>289</v>
      </c>
      <c r="N401" s="16" t="s">
        <v>289</v>
      </c>
      <c r="O401" s="16" t="s">
        <v>289</v>
      </c>
      <c r="P401" s="20" t="s">
        <v>289</v>
      </c>
      <c r="Q401" s="20" t="s">
        <v>289</v>
      </c>
      <c r="R401" s="20" t="s">
        <v>289</v>
      </c>
      <c r="S401" s="20" t="s">
        <v>289</v>
      </c>
      <c r="T401" s="20" t="s">
        <v>289</v>
      </c>
      <c r="U401" s="20" t="s">
        <v>289</v>
      </c>
      <c r="V401" s="20" t="s">
        <v>289</v>
      </c>
      <c r="AD401" s="24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Z401" s="5"/>
    </row>
    <row r="402" spans="1:71" s="33" customFormat="1" hidden="1" outlineLevel="1">
      <c r="A402" s="5"/>
      <c r="B402" s="5" t="s">
        <v>249</v>
      </c>
      <c r="C402" s="43" t="s">
        <v>154</v>
      </c>
      <c r="D402" s="16" t="s">
        <v>289</v>
      </c>
      <c r="E402" s="16" t="s">
        <v>289</v>
      </c>
      <c r="F402" s="16" t="s">
        <v>289</v>
      </c>
      <c r="G402" s="16" t="s">
        <v>289</v>
      </c>
      <c r="H402" s="16" t="s">
        <v>289</v>
      </c>
      <c r="I402" s="16" t="s">
        <v>289</v>
      </c>
      <c r="J402" s="16" t="s">
        <v>289</v>
      </c>
      <c r="K402" s="16" t="s">
        <v>289</v>
      </c>
      <c r="L402" s="16" t="s">
        <v>289</v>
      </c>
      <c r="M402" s="16" t="s">
        <v>289</v>
      </c>
      <c r="N402" s="16" t="s">
        <v>289</v>
      </c>
      <c r="O402" s="16" t="s">
        <v>289</v>
      </c>
      <c r="P402" s="16" t="s">
        <v>289</v>
      </c>
      <c r="Q402" s="16" t="s">
        <v>289</v>
      </c>
      <c r="R402" s="16" t="s">
        <v>289</v>
      </c>
      <c r="S402" s="16" t="s">
        <v>289</v>
      </c>
      <c r="T402" s="16" t="s">
        <v>289</v>
      </c>
      <c r="U402" s="16" t="s">
        <v>289</v>
      </c>
      <c r="V402" s="16" t="s">
        <v>289</v>
      </c>
      <c r="W402" s="16"/>
      <c r="X402" s="16"/>
      <c r="Y402" s="16"/>
      <c r="Z402" s="16"/>
      <c r="AA402" s="16"/>
      <c r="AB402" s="25"/>
      <c r="AC402" s="25"/>
      <c r="AD402" s="24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16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24"/>
      <c r="BK402" s="22"/>
      <c r="BL402" s="23"/>
      <c r="BM402" s="22"/>
      <c r="BN402" s="22"/>
      <c r="BO402" s="22"/>
      <c r="BP402" s="22"/>
      <c r="BQ402" s="22"/>
      <c r="BR402" s="24"/>
      <c r="BS402" s="5"/>
    </row>
    <row r="403" spans="1:71" s="33" customFormat="1" hidden="1" outlineLevel="1">
      <c r="A403" s="5"/>
      <c r="B403" s="5" t="s">
        <v>399</v>
      </c>
      <c r="C403" s="43" t="s">
        <v>154</v>
      </c>
      <c r="D403" s="16" t="s">
        <v>289</v>
      </c>
      <c r="E403" s="16" t="s">
        <v>289</v>
      </c>
      <c r="F403" s="16" t="s">
        <v>289</v>
      </c>
      <c r="G403" s="16" t="s">
        <v>289</v>
      </c>
      <c r="H403" s="16" t="s">
        <v>289</v>
      </c>
      <c r="I403" s="16" t="s">
        <v>289</v>
      </c>
      <c r="J403" s="16" t="s">
        <v>289</v>
      </c>
      <c r="K403" s="16" t="s">
        <v>289</v>
      </c>
      <c r="L403" s="16" t="s">
        <v>289</v>
      </c>
      <c r="M403" s="16" t="s">
        <v>289</v>
      </c>
      <c r="N403" s="16" t="s">
        <v>289</v>
      </c>
      <c r="O403" s="16" t="s">
        <v>289</v>
      </c>
      <c r="P403" s="16" t="s">
        <v>289</v>
      </c>
      <c r="Q403" s="16" t="s">
        <v>289</v>
      </c>
      <c r="R403" s="16" t="s">
        <v>289</v>
      </c>
      <c r="S403" s="16" t="s">
        <v>289</v>
      </c>
      <c r="T403" s="16" t="s">
        <v>289</v>
      </c>
      <c r="U403" s="16" t="s">
        <v>289</v>
      </c>
      <c r="V403" s="16" t="s">
        <v>289</v>
      </c>
      <c r="W403" s="16"/>
      <c r="X403" s="16"/>
      <c r="Y403" s="16"/>
      <c r="Z403" s="16"/>
      <c r="AA403" s="16"/>
      <c r="AB403" s="25"/>
      <c r="AC403" s="25"/>
      <c r="AD403" s="24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16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24"/>
      <c r="BK403" s="22"/>
      <c r="BL403" s="23"/>
      <c r="BM403" s="22"/>
      <c r="BN403" s="22"/>
      <c r="BO403" s="22"/>
      <c r="BP403" s="22"/>
      <c r="BQ403" s="22"/>
      <c r="BR403" s="24"/>
      <c r="BS403" s="5"/>
    </row>
    <row r="404" spans="1:71" s="33" customFormat="1" hidden="1" outlineLevel="1">
      <c r="A404" s="5"/>
      <c r="B404" s="5" t="s">
        <v>250</v>
      </c>
      <c r="C404" s="43" t="s">
        <v>154</v>
      </c>
      <c r="D404" s="16" t="s">
        <v>289</v>
      </c>
      <c r="E404" s="16" t="s">
        <v>289</v>
      </c>
      <c r="F404" s="16" t="s">
        <v>289</v>
      </c>
      <c r="G404" s="16" t="s">
        <v>289</v>
      </c>
      <c r="H404" s="16" t="s">
        <v>289</v>
      </c>
      <c r="I404" s="16" t="s">
        <v>289</v>
      </c>
      <c r="J404" s="16" t="s">
        <v>289</v>
      </c>
      <c r="K404" s="16" t="s">
        <v>289</v>
      </c>
      <c r="L404" s="16" t="s">
        <v>289</v>
      </c>
      <c r="M404" s="16" t="s">
        <v>289</v>
      </c>
      <c r="N404" s="16" t="s">
        <v>289</v>
      </c>
      <c r="O404" s="16" t="s">
        <v>289</v>
      </c>
      <c r="P404" s="16" t="s">
        <v>289</v>
      </c>
      <c r="Q404" s="16" t="s">
        <v>289</v>
      </c>
      <c r="R404" s="16" t="s">
        <v>289</v>
      </c>
      <c r="S404" s="16" t="s">
        <v>289</v>
      </c>
      <c r="T404" s="16" t="s">
        <v>289</v>
      </c>
      <c r="U404" s="16" t="s">
        <v>289</v>
      </c>
      <c r="V404" s="16" t="s">
        <v>289</v>
      </c>
      <c r="W404" s="16"/>
      <c r="X404" s="16"/>
      <c r="Y404" s="16"/>
      <c r="Z404" s="16"/>
      <c r="AA404" s="16"/>
      <c r="AB404" s="25"/>
      <c r="AC404" s="25"/>
      <c r="AD404" s="24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16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24"/>
      <c r="BK404" s="22"/>
      <c r="BL404" s="23"/>
      <c r="BM404" s="22"/>
      <c r="BN404" s="22"/>
      <c r="BO404" s="22"/>
      <c r="BP404" s="22"/>
      <c r="BQ404" s="22"/>
      <c r="BR404" s="24"/>
      <c r="BS404" s="5"/>
    </row>
    <row r="405" spans="1:71" s="33" customFormat="1" hidden="1" outlineLevel="1">
      <c r="A405" s="5"/>
      <c r="B405" s="5" t="s">
        <v>2140</v>
      </c>
      <c r="C405" s="43" t="s">
        <v>154</v>
      </c>
      <c r="D405" s="16" t="s">
        <v>289</v>
      </c>
      <c r="E405" s="16" t="s">
        <v>289</v>
      </c>
      <c r="F405" s="16" t="s">
        <v>289</v>
      </c>
      <c r="G405" s="16" t="s">
        <v>289</v>
      </c>
      <c r="H405" s="16" t="s">
        <v>289</v>
      </c>
      <c r="I405" s="16" t="s">
        <v>289</v>
      </c>
      <c r="J405" s="16" t="s">
        <v>289</v>
      </c>
      <c r="K405" s="16" t="s">
        <v>289</v>
      </c>
      <c r="L405" s="16" t="s">
        <v>289</v>
      </c>
      <c r="M405" s="16" t="s">
        <v>289</v>
      </c>
      <c r="N405" s="16" t="s">
        <v>289</v>
      </c>
      <c r="O405" s="16" t="s">
        <v>289</v>
      </c>
      <c r="P405" s="16" t="s">
        <v>289</v>
      </c>
      <c r="Q405" s="16" t="s">
        <v>289</v>
      </c>
      <c r="R405" s="16" t="s">
        <v>289</v>
      </c>
      <c r="S405" s="16" t="s">
        <v>289</v>
      </c>
      <c r="T405" s="16" t="s">
        <v>289</v>
      </c>
      <c r="U405" s="16" t="s">
        <v>289</v>
      </c>
      <c r="V405" s="16" t="s">
        <v>289</v>
      </c>
      <c r="W405" s="16"/>
      <c r="X405" s="16"/>
      <c r="Y405" s="16"/>
      <c r="Z405" s="16"/>
      <c r="AA405" s="16"/>
      <c r="AB405" s="25"/>
      <c r="AC405" s="25"/>
      <c r="AD405" s="24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16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24"/>
      <c r="BK405" s="22"/>
      <c r="BL405" s="23"/>
      <c r="BM405" s="22"/>
      <c r="BN405" s="22"/>
      <c r="BO405" s="22"/>
      <c r="BP405" s="22"/>
      <c r="BQ405" s="22"/>
      <c r="BR405" s="24"/>
      <c r="BS405" s="5"/>
    </row>
    <row r="406" spans="1:71" s="33" customFormat="1" hidden="1" outlineLevel="1">
      <c r="A406" s="5"/>
      <c r="B406" s="5" t="s">
        <v>399</v>
      </c>
      <c r="C406" s="43" t="s">
        <v>154</v>
      </c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 t="s">
        <v>289</v>
      </c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25"/>
      <c r="AC406" s="25"/>
      <c r="AD406" s="24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16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24"/>
      <c r="BK406" s="22"/>
      <c r="BL406" s="23"/>
      <c r="BM406" s="22"/>
      <c r="BN406" s="22"/>
      <c r="BO406" s="22"/>
      <c r="BP406" s="22"/>
      <c r="BQ406" s="22"/>
      <c r="BR406" s="24"/>
      <c r="BS406" s="5"/>
    </row>
    <row r="407" spans="1:71" s="33" customFormat="1" hidden="1" outlineLevel="1">
      <c r="A407" s="5"/>
      <c r="B407" s="5" t="s">
        <v>407</v>
      </c>
      <c r="C407" s="43" t="s">
        <v>154</v>
      </c>
      <c r="D407" s="16" t="s">
        <v>289</v>
      </c>
      <c r="E407" s="16" t="s">
        <v>289</v>
      </c>
      <c r="F407" s="16" t="s">
        <v>289</v>
      </c>
      <c r="G407" s="16" t="s">
        <v>289</v>
      </c>
      <c r="H407" s="16" t="s">
        <v>289</v>
      </c>
      <c r="I407" s="16" t="s">
        <v>289</v>
      </c>
      <c r="J407" s="16" t="s">
        <v>289</v>
      </c>
      <c r="K407" s="16" t="s">
        <v>289</v>
      </c>
      <c r="L407" s="16" t="s">
        <v>289</v>
      </c>
      <c r="M407" s="16" t="s">
        <v>289</v>
      </c>
      <c r="N407" s="16" t="s">
        <v>289</v>
      </c>
      <c r="O407" s="16" t="s">
        <v>289</v>
      </c>
      <c r="P407" s="16" t="s">
        <v>289</v>
      </c>
      <c r="Q407" s="16" t="s">
        <v>289</v>
      </c>
      <c r="R407" s="16" t="s">
        <v>289</v>
      </c>
      <c r="S407" s="16" t="s">
        <v>289</v>
      </c>
      <c r="T407" s="16" t="s">
        <v>289</v>
      </c>
      <c r="U407" s="16" t="s">
        <v>289</v>
      </c>
      <c r="V407" s="16" t="s">
        <v>289</v>
      </c>
      <c r="W407" s="16"/>
      <c r="X407" s="16"/>
      <c r="Y407" s="16"/>
      <c r="Z407" s="16"/>
      <c r="AA407" s="16"/>
      <c r="AB407" s="25"/>
      <c r="AC407" s="25"/>
      <c r="AD407" s="24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16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24"/>
      <c r="BK407" s="22"/>
      <c r="BL407" s="23"/>
      <c r="BM407" s="22"/>
      <c r="BN407" s="22"/>
      <c r="BO407" s="22"/>
      <c r="BP407" s="22"/>
      <c r="BQ407" s="22"/>
      <c r="BR407" s="24"/>
      <c r="BS407" s="5"/>
    </row>
    <row r="408" spans="1:71" s="33" customFormat="1" hidden="1" outlineLevel="1">
      <c r="A408" s="5"/>
      <c r="B408" s="5"/>
      <c r="C408" s="43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4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2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24"/>
      <c r="BK408" s="22"/>
      <c r="BL408" s="23"/>
      <c r="BM408" s="22"/>
      <c r="BN408" s="22"/>
      <c r="BO408" s="22"/>
      <c r="BP408" s="22"/>
      <c r="BQ408" s="22"/>
      <c r="BR408" s="24"/>
      <c r="BS408" s="5"/>
    </row>
    <row r="409" spans="1:71" s="33" customFormat="1" ht="13.15" collapsed="1">
      <c r="A409" s="5"/>
      <c r="B409" s="5"/>
      <c r="C409" s="9" t="s">
        <v>258</v>
      </c>
      <c r="D409" s="14" t="str">
        <f t="shared" ref="D409:Y409" si="230">IF(D11="no","…",IF(ISNUMBER(D410),D410,IF(ISNUMBER(D411),D411,0)))</f>
        <v>…</v>
      </c>
      <c r="E409" s="14" t="str">
        <f t="shared" si="230"/>
        <v>…</v>
      </c>
      <c r="F409" s="14" t="str">
        <f t="shared" si="230"/>
        <v>…</v>
      </c>
      <c r="G409" s="14" t="str">
        <f t="shared" si="230"/>
        <v>…</v>
      </c>
      <c r="H409" s="14" t="str">
        <f t="shared" si="230"/>
        <v>…</v>
      </c>
      <c r="I409" s="14" t="str">
        <f t="shared" si="230"/>
        <v>…</v>
      </c>
      <c r="J409" s="14" t="str">
        <f t="shared" si="230"/>
        <v>…</v>
      </c>
      <c r="K409" s="14" t="str">
        <f t="shared" si="230"/>
        <v>…</v>
      </c>
      <c r="L409" s="14" t="str">
        <f t="shared" si="230"/>
        <v>…</v>
      </c>
      <c r="M409" s="14">
        <f t="shared" si="230"/>
        <v>41.542999999999999</v>
      </c>
      <c r="N409" s="14">
        <f t="shared" si="230"/>
        <v>111.71599999999999</v>
      </c>
      <c r="O409" s="14">
        <f t="shared" si="230"/>
        <v>122.622</v>
      </c>
      <c r="P409" s="14">
        <f t="shared" si="230"/>
        <v>119.357</v>
      </c>
      <c r="Q409" s="14">
        <f t="shared" si="230"/>
        <v>94.090999999999994</v>
      </c>
      <c r="R409" s="14">
        <f t="shared" si="230"/>
        <v>60.744</v>
      </c>
      <c r="S409" s="14">
        <f t="shared" si="230"/>
        <v>73.683000000000007</v>
      </c>
      <c r="T409" s="14">
        <f t="shared" si="230"/>
        <v>152.221</v>
      </c>
      <c r="U409" s="14">
        <f t="shared" si="230"/>
        <v>168.75700000000001</v>
      </c>
      <c r="V409" s="14" t="str">
        <f t="shared" si="230"/>
        <v>…</v>
      </c>
      <c r="W409" s="14" t="str">
        <f t="shared" si="230"/>
        <v>…</v>
      </c>
      <c r="X409" s="14" t="str">
        <f t="shared" si="230"/>
        <v>…</v>
      </c>
      <c r="Y409" s="14" t="str">
        <f t="shared" si="230"/>
        <v>…</v>
      </c>
      <c r="Z409" s="14"/>
      <c r="AA409" s="14"/>
      <c r="AB409" s="14"/>
      <c r="AC409" s="14"/>
      <c r="AD409" s="24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14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24"/>
      <c r="BK409" s="22"/>
      <c r="BL409" s="23"/>
      <c r="BM409" s="22"/>
      <c r="BN409" s="22"/>
      <c r="BO409" s="22"/>
      <c r="BP409" s="22"/>
      <c r="BQ409" s="22"/>
      <c r="BR409" s="24"/>
      <c r="BS409" s="5"/>
    </row>
    <row r="410" spans="1:71" s="33" customFormat="1" hidden="1" outlineLevel="1">
      <c r="A410" s="5"/>
      <c r="B410" s="5" t="s">
        <v>259</v>
      </c>
      <c r="C410" s="38" t="s">
        <v>154</v>
      </c>
      <c r="D410" s="16" t="s">
        <v>289</v>
      </c>
      <c r="E410" s="16" t="s">
        <v>289</v>
      </c>
      <c r="F410" s="16" t="s">
        <v>289</v>
      </c>
      <c r="G410" s="16" t="s">
        <v>289</v>
      </c>
      <c r="H410" s="16" t="s">
        <v>289</v>
      </c>
      <c r="I410" s="16" t="s">
        <v>289</v>
      </c>
      <c r="J410" s="16" t="s">
        <v>289</v>
      </c>
      <c r="K410" s="16" t="s">
        <v>289</v>
      </c>
      <c r="L410" s="16" t="s">
        <v>289</v>
      </c>
      <c r="M410" s="16">
        <v>41.542999999999999</v>
      </c>
      <c r="N410" s="16">
        <v>111.71599999999999</v>
      </c>
      <c r="O410" s="16">
        <v>122.622</v>
      </c>
      <c r="P410" s="16">
        <v>119.357</v>
      </c>
      <c r="Q410" s="16">
        <v>94.090999999999994</v>
      </c>
      <c r="R410" s="16">
        <v>60.744</v>
      </c>
      <c r="S410" s="16">
        <v>73.683000000000007</v>
      </c>
      <c r="T410" s="16">
        <v>152.221</v>
      </c>
      <c r="U410" s="16">
        <v>168.75700000000001</v>
      </c>
      <c r="V410" s="16" t="s">
        <v>289</v>
      </c>
      <c r="W410" s="16"/>
      <c r="X410" s="16"/>
      <c r="Y410" s="16"/>
      <c r="Z410" s="16"/>
      <c r="AA410" s="16"/>
      <c r="AB410" s="25"/>
      <c r="AC410" s="25"/>
      <c r="AD410" s="24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16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24"/>
      <c r="BK410" s="22"/>
      <c r="BL410" s="23"/>
      <c r="BM410" s="22"/>
      <c r="BN410" s="22"/>
      <c r="BO410" s="22"/>
      <c r="BP410" s="22"/>
      <c r="BQ410" s="22"/>
      <c r="BR410" s="24"/>
      <c r="BS410" s="5"/>
    </row>
    <row r="411" spans="1:71" s="33" customFormat="1" hidden="1" outlineLevel="1">
      <c r="A411" s="5"/>
      <c r="B411" s="5" t="s">
        <v>260</v>
      </c>
      <c r="C411" s="38" t="s">
        <v>161</v>
      </c>
      <c r="D411" s="16" t="s">
        <v>289</v>
      </c>
      <c r="E411" s="16" t="s">
        <v>289</v>
      </c>
      <c r="F411" s="16" t="s">
        <v>289</v>
      </c>
      <c r="G411" s="16" t="s">
        <v>289</v>
      </c>
      <c r="H411" s="16" t="s">
        <v>289</v>
      </c>
      <c r="I411" s="16" t="s">
        <v>289</v>
      </c>
      <c r="J411" s="16" t="s">
        <v>289</v>
      </c>
      <c r="K411" s="16" t="s">
        <v>289</v>
      </c>
      <c r="L411" s="16" t="s">
        <v>289</v>
      </c>
      <c r="M411" s="16">
        <v>16.736000000000001</v>
      </c>
      <c r="N411" s="16">
        <v>47.780999999999999</v>
      </c>
      <c r="O411" s="16">
        <v>65.801000000000002</v>
      </c>
      <c r="P411" s="16">
        <v>47.215000000000003</v>
      </c>
      <c r="Q411" s="16">
        <v>30.805</v>
      </c>
      <c r="R411" s="16">
        <v>33.447000000000003</v>
      </c>
      <c r="S411" s="16">
        <v>16.445</v>
      </c>
      <c r="T411" s="16">
        <v>95.209000000000003</v>
      </c>
      <c r="U411" s="16">
        <v>94.808000000000007</v>
      </c>
      <c r="V411" s="16" t="s">
        <v>289</v>
      </c>
      <c r="W411" s="16"/>
      <c r="X411" s="16"/>
      <c r="Y411" s="16"/>
      <c r="Z411" s="16"/>
      <c r="AA411" s="16"/>
      <c r="AB411" s="25"/>
      <c r="AC411" s="25"/>
      <c r="AD411" s="24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16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24"/>
      <c r="BK411" s="22"/>
      <c r="BL411" s="23"/>
      <c r="BM411" s="22"/>
      <c r="BN411" s="22"/>
      <c r="BO411" s="22"/>
      <c r="BP411" s="22"/>
      <c r="BQ411" s="22"/>
      <c r="BR411" s="24"/>
      <c r="BS411" s="5"/>
    </row>
    <row r="412" spans="1:71" s="33" customFormat="1" ht="13.15" collapsed="1">
      <c r="A412" s="5"/>
      <c r="B412" s="5"/>
      <c r="C412" s="9" t="s">
        <v>261</v>
      </c>
      <c r="D412" s="14" t="str">
        <f t="shared" ref="D412:Y412" si="231">IF(D11="no","…",IF(ISNUMBER(D413),D413,IF(ISNUMBER(D414),D414,IF(ISNUMBER(D415),D415,IF(ISNUMBER(D416),D416,0)))))</f>
        <v>…</v>
      </c>
      <c r="E412" s="14" t="str">
        <f t="shared" si="231"/>
        <v>…</v>
      </c>
      <c r="F412" s="14" t="str">
        <f t="shared" si="231"/>
        <v>…</v>
      </c>
      <c r="G412" s="14" t="str">
        <f t="shared" si="231"/>
        <v>…</v>
      </c>
      <c r="H412" s="14" t="str">
        <f t="shared" si="231"/>
        <v>…</v>
      </c>
      <c r="I412" s="14" t="str">
        <f t="shared" si="231"/>
        <v>…</v>
      </c>
      <c r="J412" s="14" t="str">
        <f t="shared" si="231"/>
        <v>…</v>
      </c>
      <c r="K412" s="14" t="str">
        <f t="shared" si="231"/>
        <v>…</v>
      </c>
      <c r="L412" s="14" t="str">
        <f t="shared" si="231"/>
        <v>…</v>
      </c>
      <c r="M412" s="14">
        <f t="shared" si="231"/>
        <v>0</v>
      </c>
      <c r="N412" s="14">
        <f t="shared" si="231"/>
        <v>0</v>
      </c>
      <c r="O412" s="14">
        <f t="shared" si="231"/>
        <v>0</v>
      </c>
      <c r="P412" s="14">
        <f t="shared" si="231"/>
        <v>0</v>
      </c>
      <c r="Q412" s="14">
        <f t="shared" si="231"/>
        <v>0</v>
      </c>
      <c r="R412" s="14">
        <f t="shared" si="231"/>
        <v>0</v>
      </c>
      <c r="S412" s="14">
        <f t="shared" si="231"/>
        <v>0</v>
      </c>
      <c r="T412" s="14">
        <f t="shared" si="231"/>
        <v>0</v>
      </c>
      <c r="U412" s="14">
        <f t="shared" si="231"/>
        <v>0</v>
      </c>
      <c r="V412" s="14" t="str">
        <f t="shared" si="231"/>
        <v>…</v>
      </c>
      <c r="W412" s="14" t="str">
        <f t="shared" si="231"/>
        <v>…</v>
      </c>
      <c r="X412" s="14" t="str">
        <f t="shared" si="231"/>
        <v>…</v>
      </c>
      <c r="Y412" s="14" t="str">
        <f t="shared" si="231"/>
        <v>…</v>
      </c>
      <c r="Z412" s="14"/>
      <c r="AA412" s="14"/>
      <c r="AB412" s="14"/>
      <c r="AC412" s="14"/>
      <c r="AD412" s="24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14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24"/>
      <c r="BK412" s="22"/>
      <c r="BL412" s="23"/>
      <c r="BM412" s="22"/>
      <c r="BN412" s="22"/>
      <c r="BO412" s="22"/>
      <c r="BP412" s="22"/>
      <c r="BQ412" s="22"/>
      <c r="BR412" s="24"/>
      <c r="BS412" s="5"/>
    </row>
    <row r="413" spans="1:71" s="33" customFormat="1" hidden="1" outlineLevel="1">
      <c r="A413" s="5"/>
      <c r="B413" s="5" t="s">
        <v>262</v>
      </c>
      <c r="C413" s="38" t="s">
        <v>154</v>
      </c>
      <c r="D413" s="16" t="s">
        <v>289</v>
      </c>
      <c r="E413" s="16" t="s">
        <v>289</v>
      </c>
      <c r="F413" s="16" t="s">
        <v>289</v>
      </c>
      <c r="G413" s="16" t="s">
        <v>289</v>
      </c>
      <c r="H413" s="16" t="s">
        <v>289</v>
      </c>
      <c r="I413" s="16" t="s">
        <v>289</v>
      </c>
      <c r="J413" s="16" t="s">
        <v>289</v>
      </c>
      <c r="K413" s="16" t="s">
        <v>289</v>
      </c>
      <c r="L413" s="16" t="s">
        <v>289</v>
      </c>
      <c r="M413" s="16" t="s">
        <v>289</v>
      </c>
      <c r="N413" s="16" t="s">
        <v>289</v>
      </c>
      <c r="O413" s="16" t="s">
        <v>289</v>
      </c>
      <c r="P413" s="16" t="s">
        <v>289</v>
      </c>
      <c r="Q413" s="16" t="s">
        <v>289</v>
      </c>
      <c r="R413" s="16" t="s">
        <v>289</v>
      </c>
      <c r="S413" s="16" t="s">
        <v>289</v>
      </c>
      <c r="T413" s="16" t="s">
        <v>289</v>
      </c>
      <c r="U413" s="16" t="s">
        <v>289</v>
      </c>
      <c r="V413" s="16" t="s">
        <v>289</v>
      </c>
      <c r="W413" s="16"/>
      <c r="X413" s="16"/>
      <c r="Y413" s="16"/>
      <c r="Z413" s="16"/>
      <c r="AA413" s="16"/>
      <c r="AB413" s="25"/>
      <c r="AC413" s="25"/>
      <c r="AD413" s="24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16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24"/>
      <c r="BK413" s="22"/>
      <c r="BL413" s="23"/>
      <c r="BM413" s="22"/>
      <c r="BN413" s="22"/>
      <c r="BO413" s="22"/>
      <c r="BP413" s="22"/>
      <c r="BQ413" s="22"/>
      <c r="BR413" s="24"/>
      <c r="BS413" s="5"/>
    </row>
    <row r="414" spans="1:71" s="33" customFormat="1" hidden="1" outlineLevel="1">
      <c r="A414" s="5"/>
      <c r="B414" s="5" t="s">
        <v>263</v>
      </c>
      <c r="C414" s="38" t="s">
        <v>161</v>
      </c>
      <c r="D414" s="16" t="s">
        <v>289</v>
      </c>
      <c r="E414" s="16" t="s">
        <v>289</v>
      </c>
      <c r="F414" s="16" t="s">
        <v>289</v>
      </c>
      <c r="G414" s="16" t="s">
        <v>289</v>
      </c>
      <c r="H414" s="16" t="s">
        <v>289</v>
      </c>
      <c r="I414" s="16" t="s">
        <v>289</v>
      </c>
      <c r="J414" s="16" t="s">
        <v>289</v>
      </c>
      <c r="K414" s="16" t="s">
        <v>289</v>
      </c>
      <c r="L414" s="16" t="s">
        <v>289</v>
      </c>
      <c r="M414" s="16" t="s">
        <v>289</v>
      </c>
      <c r="N414" s="16" t="s">
        <v>289</v>
      </c>
      <c r="O414" s="16" t="s">
        <v>289</v>
      </c>
      <c r="P414" s="16" t="s">
        <v>289</v>
      </c>
      <c r="Q414" s="16" t="s">
        <v>289</v>
      </c>
      <c r="R414" s="16" t="s">
        <v>289</v>
      </c>
      <c r="S414" s="16" t="s">
        <v>289</v>
      </c>
      <c r="T414" s="16" t="s">
        <v>289</v>
      </c>
      <c r="U414" s="16" t="s">
        <v>289</v>
      </c>
      <c r="V414" s="16" t="s">
        <v>289</v>
      </c>
      <c r="W414" s="16"/>
      <c r="X414" s="16"/>
      <c r="Y414" s="16"/>
      <c r="Z414" s="16"/>
      <c r="AA414" s="16"/>
      <c r="AB414" s="25"/>
      <c r="AC414" s="25"/>
      <c r="AD414" s="24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16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24"/>
      <c r="BK414" s="22"/>
      <c r="BL414" s="23"/>
      <c r="BM414" s="22"/>
      <c r="BN414" s="22"/>
      <c r="BO414" s="22"/>
      <c r="BP414" s="22"/>
      <c r="BQ414" s="22"/>
      <c r="BR414" s="24"/>
      <c r="BS414" s="5"/>
    </row>
    <row r="415" spans="1:71" s="33" customFormat="1" hidden="1" outlineLevel="1">
      <c r="A415" s="5"/>
      <c r="B415" s="5" t="s">
        <v>264</v>
      </c>
      <c r="C415" s="38" t="s">
        <v>163</v>
      </c>
      <c r="D415" s="16" t="s">
        <v>289</v>
      </c>
      <c r="E415" s="16" t="s">
        <v>289</v>
      </c>
      <c r="F415" s="16" t="s">
        <v>289</v>
      </c>
      <c r="G415" s="16" t="s">
        <v>289</v>
      </c>
      <c r="H415" s="16" t="s">
        <v>289</v>
      </c>
      <c r="I415" s="16" t="s">
        <v>289</v>
      </c>
      <c r="J415" s="16" t="s">
        <v>289</v>
      </c>
      <c r="K415" s="16" t="s">
        <v>289</v>
      </c>
      <c r="L415" s="16" t="s">
        <v>289</v>
      </c>
      <c r="M415" s="16" t="s">
        <v>289</v>
      </c>
      <c r="N415" s="16" t="s">
        <v>289</v>
      </c>
      <c r="O415" s="16" t="s">
        <v>289</v>
      </c>
      <c r="P415" s="16" t="s">
        <v>289</v>
      </c>
      <c r="Q415" s="16" t="s">
        <v>289</v>
      </c>
      <c r="R415" s="16" t="s">
        <v>289</v>
      </c>
      <c r="S415" s="16" t="s">
        <v>289</v>
      </c>
      <c r="T415" s="16" t="s">
        <v>289</v>
      </c>
      <c r="U415" s="16" t="s">
        <v>289</v>
      </c>
      <c r="V415" s="16" t="s">
        <v>289</v>
      </c>
      <c r="W415" s="16"/>
      <c r="X415" s="16"/>
      <c r="Y415" s="16"/>
      <c r="Z415" s="16"/>
      <c r="AA415" s="16"/>
      <c r="AB415" s="25"/>
      <c r="AC415" s="25"/>
      <c r="AD415" s="24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16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24"/>
      <c r="BK415" s="22"/>
      <c r="BL415" s="23"/>
      <c r="BM415" s="22"/>
      <c r="BN415" s="22"/>
      <c r="BO415" s="22"/>
      <c r="BP415" s="22"/>
      <c r="BQ415" s="22"/>
      <c r="BR415" s="24"/>
      <c r="BS415" s="5"/>
    </row>
    <row r="416" spans="1:71" s="33" customFormat="1" hidden="1" outlineLevel="1">
      <c r="A416" s="5"/>
      <c r="B416" s="5" t="s">
        <v>257</v>
      </c>
      <c r="C416" s="38" t="s">
        <v>165</v>
      </c>
      <c r="D416" s="16" t="s">
        <v>289</v>
      </c>
      <c r="E416" s="16" t="s">
        <v>289</v>
      </c>
      <c r="F416" s="16" t="s">
        <v>289</v>
      </c>
      <c r="G416" s="16" t="s">
        <v>289</v>
      </c>
      <c r="H416" s="16" t="s">
        <v>289</v>
      </c>
      <c r="I416" s="16" t="s">
        <v>289</v>
      </c>
      <c r="J416" s="16" t="s">
        <v>289</v>
      </c>
      <c r="K416" s="16" t="s">
        <v>289</v>
      </c>
      <c r="L416" s="16" t="s">
        <v>289</v>
      </c>
      <c r="M416" s="16" t="s">
        <v>289</v>
      </c>
      <c r="N416" s="16" t="s">
        <v>289</v>
      </c>
      <c r="O416" s="16" t="s">
        <v>289</v>
      </c>
      <c r="P416" s="16" t="s">
        <v>289</v>
      </c>
      <c r="Q416" s="16" t="s">
        <v>289</v>
      </c>
      <c r="R416" s="16" t="s">
        <v>289</v>
      </c>
      <c r="S416" s="16" t="s">
        <v>289</v>
      </c>
      <c r="T416" s="16" t="s">
        <v>289</v>
      </c>
      <c r="U416" s="16" t="s">
        <v>289</v>
      </c>
      <c r="V416" s="16" t="s">
        <v>289</v>
      </c>
      <c r="W416" s="16"/>
      <c r="X416" s="16"/>
      <c r="Y416" s="16"/>
      <c r="Z416" s="16"/>
      <c r="AA416" s="16"/>
      <c r="AB416" s="25"/>
      <c r="AC416" s="25"/>
      <c r="AD416" s="24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16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24"/>
      <c r="BK416" s="22"/>
      <c r="BL416" s="23"/>
      <c r="BM416" s="22"/>
      <c r="BN416" s="22"/>
      <c r="BO416" s="22"/>
      <c r="BP416" s="22"/>
      <c r="BQ416" s="22"/>
      <c r="BR416" s="24"/>
      <c r="BS416" s="5"/>
    </row>
    <row r="417" spans="1:72" s="33" customFormat="1" ht="13.15" collapsed="1">
      <c r="A417" s="5"/>
      <c r="B417" s="5"/>
      <c r="C417" s="9" t="s">
        <v>265</v>
      </c>
      <c r="D417" s="14" t="str">
        <f t="shared" ref="D417:Y417" si="232">IF(D11="no","…",IF(ISNUMBER(D419),D419,IF(ISNUMBER(D418),D418,0)))</f>
        <v>…</v>
      </c>
      <c r="E417" s="14" t="str">
        <f t="shared" si="232"/>
        <v>…</v>
      </c>
      <c r="F417" s="14" t="str">
        <f t="shared" si="232"/>
        <v>…</v>
      </c>
      <c r="G417" s="14" t="str">
        <f t="shared" si="232"/>
        <v>…</v>
      </c>
      <c r="H417" s="14" t="str">
        <f t="shared" si="232"/>
        <v>…</v>
      </c>
      <c r="I417" s="14" t="str">
        <f t="shared" si="232"/>
        <v>…</v>
      </c>
      <c r="J417" s="14" t="str">
        <f t="shared" si="232"/>
        <v>…</v>
      </c>
      <c r="K417" s="14" t="str">
        <f t="shared" si="232"/>
        <v>…</v>
      </c>
      <c r="L417" s="14" t="str">
        <f t="shared" si="232"/>
        <v>…</v>
      </c>
      <c r="M417" s="14">
        <f t="shared" si="232"/>
        <v>0</v>
      </c>
      <c r="N417" s="14">
        <f t="shared" si="232"/>
        <v>0</v>
      </c>
      <c r="O417" s="14">
        <f t="shared" si="232"/>
        <v>0</v>
      </c>
      <c r="P417" s="14">
        <f t="shared" si="232"/>
        <v>0</v>
      </c>
      <c r="Q417" s="14">
        <f t="shared" si="232"/>
        <v>0</v>
      </c>
      <c r="R417" s="14">
        <f t="shared" si="232"/>
        <v>0</v>
      </c>
      <c r="S417" s="14">
        <f t="shared" si="232"/>
        <v>0</v>
      </c>
      <c r="T417" s="14">
        <f t="shared" si="232"/>
        <v>0</v>
      </c>
      <c r="U417" s="14">
        <f t="shared" si="232"/>
        <v>0</v>
      </c>
      <c r="V417" s="14" t="str">
        <f t="shared" si="232"/>
        <v>…</v>
      </c>
      <c r="W417" s="14" t="str">
        <f t="shared" si="232"/>
        <v>…</v>
      </c>
      <c r="X417" s="14" t="str">
        <f t="shared" si="232"/>
        <v>…</v>
      </c>
      <c r="Y417" s="14" t="str">
        <f t="shared" si="232"/>
        <v>…</v>
      </c>
      <c r="Z417" s="14"/>
      <c r="AA417" s="14"/>
      <c r="AB417" s="14"/>
      <c r="AC417" s="14"/>
      <c r="AD417" s="24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14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24"/>
      <c r="BK417" s="22"/>
      <c r="BL417" s="23"/>
      <c r="BM417" s="22"/>
      <c r="BN417" s="22"/>
      <c r="BO417" s="22"/>
      <c r="BP417" s="22"/>
      <c r="BQ417" s="22"/>
      <c r="BR417" s="24"/>
      <c r="BS417" s="5"/>
    </row>
    <row r="418" spans="1:72" s="33" customFormat="1" hidden="1" outlineLevel="1">
      <c r="A418" s="5"/>
      <c r="B418" s="5" t="s">
        <v>266</v>
      </c>
      <c r="C418" s="38" t="s">
        <v>154</v>
      </c>
      <c r="D418" s="16" t="s">
        <v>289</v>
      </c>
      <c r="E418" s="16" t="s">
        <v>289</v>
      </c>
      <c r="F418" s="16" t="s">
        <v>289</v>
      </c>
      <c r="G418" s="16" t="s">
        <v>289</v>
      </c>
      <c r="H418" s="16" t="s">
        <v>289</v>
      </c>
      <c r="I418" s="16" t="s">
        <v>289</v>
      </c>
      <c r="J418" s="16" t="s">
        <v>289</v>
      </c>
      <c r="K418" s="16" t="s">
        <v>289</v>
      </c>
      <c r="L418" s="16" t="s">
        <v>289</v>
      </c>
      <c r="M418" s="16" t="s">
        <v>289</v>
      </c>
      <c r="N418" s="16" t="s">
        <v>289</v>
      </c>
      <c r="O418" s="16" t="s">
        <v>289</v>
      </c>
      <c r="P418" s="16" t="s">
        <v>289</v>
      </c>
      <c r="Q418" s="16" t="s">
        <v>289</v>
      </c>
      <c r="R418" s="16" t="s">
        <v>289</v>
      </c>
      <c r="S418" s="16" t="s">
        <v>289</v>
      </c>
      <c r="T418" s="16" t="s">
        <v>289</v>
      </c>
      <c r="U418" s="16" t="s">
        <v>289</v>
      </c>
      <c r="V418" s="16" t="s">
        <v>289</v>
      </c>
      <c r="W418" s="16"/>
      <c r="X418" s="16"/>
      <c r="Y418" s="16"/>
      <c r="Z418" s="16"/>
      <c r="AA418" s="16"/>
      <c r="AB418" s="25"/>
      <c r="AC418" s="25"/>
      <c r="AD418" s="24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16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24"/>
      <c r="BK418" s="22"/>
      <c r="BL418" s="23"/>
      <c r="BM418" s="22"/>
      <c r="BN418" s="22"/>
      <c r="BO418" s="22"/>
      <c r="BP418" s="22"/>
      <c r="BQ418" s="22"/>
      <c r="BR418" s="24"/>
      <c r="BS418" s="5"/>
    </row>
    <row r="419" spans="1:72" s="33" customFormat="1" hidden="1" outlineLevel="1">
      <c r="A419" s="5"/>
      <c r="B419" s="5"/>
      <c r="C419" s="38" t="s">
        <v>161</v>
      </c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25"/>
      <c r="AC419" s="25"/>
      <c r="AD419" s="24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16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24"/>
      <c r="BK419" s="22"/>
      <c r="BL419" s="23"/>
      <c r="BM419" s="22"/>
      <c r="BN419" s="22"/>
      <c r="BO419" s="22"/>
      <c r="BP419" s="22"/>
      <c r="BQ419" s="22"/>
      <c r="BR419" s="24"/>
      <c r="BS419" s="5"/>
    </row>
    <row r="420" spans="1:72" s="33" customFormat="1" ht="13.15" collapsed="1">
      <c r="A420" s="5"/>
      <c r="B420" s="5"/>
      <c r="C420" s="9" t="s">
        <v>208</v>
      </c>
      <c r="D420" s="14" t="str">
        <f t="shared" ref="D420:Y420" si="233">IF(D11="no","…",IF(ISNUMBER(D422),D422,IF(ISNUMBER(D421),D421,0)))</f>
        <v>…</v>
      </c>
      <c r="E420" s="14" t="str">
        <f t="shared" si="233"/>
        <v>…</v>
      </c>
      <c r="F420" s="14" t="str">
        <f t="shared" si="233"/>
        <v>…</v>
      </c>
      <c r="G420" s="14" t="str">
        <f t="shared" si="233"/>
        <v>…</v>
      </c>
      <c r="H420" s="14" t="str">
        <f t="shared" si="233"/>
        <v>…</v>
      </c>
      <c r="I420" s="14" t="str">
        <f t="shared" si="233"/>
        <v>…</v>
      </c>
      <c r="J420" s="14" t="str">
        <f t="shared" si="233"/>
        <v>…</v>
      </c>
      <c r="K420" s="14" t="str">
        <f t="shared" si="233"/>
        <v>…</v>
      </c>
      <c r="L420" s="14" t="str">
        <f t="shared" si="233"/>
        <v>…</v>
      </c>
      <c r="M420" s="14">
        <f t="shared" si="233"/>
        <v>0</v>
      </c>
      <c r="N420" s="14">
        <f t="shared" si="233"/>
        <v>0</v>
      </c>
      <c r="O420" s="14">
        <f t="shared" si="233"/>
        <v>0</v>
      </c>
      <c r="P420" s="14">
        <f t="shared" si="233"/>
        <v>0</v>
      </c>
      <c r="Q420" s="14">
        <f t="shared" si="233"/>
        <v>0</v>
      </c>
      <c r="R420" s="14">
        <f t="shared" si="233"/>
        <v>0</v>
      </c>
      <c r="S420" s="14">
        <f t="shared" si="233"/>
        <v>0</v>
      </c>
      <c r="T420" s="14">
        <f t="shared" si="233"/>
        <v>0</v>
      </c>
      <c r="U420" s="14">
        <f t="shared" si="233"/>
        <v>0</v>
      </c>
      <c r="V420" s="14" t="str">
        <f t="shared" si="233"/>
        <v>…</v>
      </c>
      <c r="W420" s="14" t="str">
        <f t="shared" si="233"/>
        <v>…</v>
      </c>
      <c r="X420" s="14" t="str">
        <f t="shared" si="233"/>
        <v>…</v>
      </c>
      <c r="Y420" s="14" t="str">
        <f t="shared" si="233"/>
        <v>…</v>
      </c>
      <c r="Z420" s="14"/>
      <c r="AA420" s="14"/>
      <c r="AB420" s="14"/>
      <c r="AC420" s="14"/>
      <c r="AD420" s="24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14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24"/>
      <c r="BK420" s="22"/>
      <c r="BL420" s="23"/>
      <c r="BM420" s="22"/>
      <c r="BN420" s="22"/>
      <c r="BO420" s="22"/>
      <c r="BP420" s="22"/>
      <c r="BQ420" s="22"/>
      <c r="BR420" s="24"/>
      <c r="BS420" s="5"/>
    </row>
    <row r="421" spans="1:72" s="33" customFormat="1" hidden="1" outlineLevel="1">
      <c r="A421" s="5"/>
      <c r="B421" s="5" t="s">
        <v>267</v>
      </c>
      <c r="C421" s="38" t="s">
        <v>154</v>
      </c>
      <c r="D421" s="16" t="s">
        <v>289</v>
      </c>
      <c r="E421" s="16" t="s">
        <v>289</v>
      </c>
      <c r="F421" s="16" t="s">
        <v>289</v>
      </c>
      <c r="G421" s="16" t="s">
        <v>289</v>
      </c>
      <c r="H421" s="16" t="s">
        <v>289</v>
      </c>
      <c r="I421" s="16" t="s">
        <v>289</v>
      </c>
      <c r="J421" s="16" t="s">
        <v>289</v>
      </c>
      <c r="K421" s="16" t="s">
        <v>289</v>
      </c>
      <c r="L421" s="16" t="s">
        <v>289</v>
      </c>
      <c r="M421" s="16" t="s">
        <v>289</v>
      </c>
      <c r="N421" s="16" t="s">
        <v>289</v>
      </c>
      <c r="O421" s="16" t="s">
        <v>289</v>
      </c>
      <c r="P421" s="16" t="s">
        <v>289</v>
      </c>
      <c r="Q421" s="16" t="s">
        <v>289</v>
      </c>
      <c r="R421" s="16" t="s">
        <v>289</v>
      </c>
      <c r="S421" s="16" t="s">
        <v>289</v>
      </c>
      <c r="T421" s="16" t="s">
        <v>289</v>
      </c>
      <c r="U421" s="16" t="s">
        <v>289</v>
      </c>
      <c r="V421" s="16" t="s">
        <v>289</v>
      </c>
      <c r="W421" s="16"/>
      <c r="X421" s="16"/>
      <c r="Y421" s="16"/>
      <c r="Z421" s="16"/>
      <c r="AA421" s="16"/>
      <c r="AB421" s="25"/>
      <c r="AC421" s="25"/>
      <c r="AD421" s="24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16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24"/>
      <c r="BK421" s="22"/>
      <c r="BL421" s="23"/>
      <c r="BM421" s="22"/>
      <c r="BN421" s="22"/>
      <c r="BO421" s="22"/>
      <c r="BP421" s="22"/>
      <c r="BQ421" s="22"/>
      <c r="BR421" s="24"/>
      <c r="BS421" s="5"/>
    </row>
    <row r="422" spans="1:72" s="33" customFormat="1" hidden="1" outlineLevel="1">
      <c r="A422" s="5"/>
      <c r="B422" s="5"/>
      <c r="C422" s="38" t="s">
        <v>161</v>
      </c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25"/>
      <c r="AC422" s="25"/>
      <c r="AD422" s="24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16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24"/>
      <c r="BK422" s="22"/>
      <c r="BL422" s="23"/>
      <c r="BM422" s="22"/>
      <c r="BN422" s="22"/>
      <c r="BO422" s="22"/>
      <c r="BP422" s="22"/>
      <c r="BQ422" s="22"/>
      <c r="BR422" s="24"/>
      <c r="BS422" s="5"/>
    </row>
    <row r="423" spans="1:72" s="33" customFormat="1" ht="13.15" collapsed="1">
      <c r="A423" s="5"/>
      <c r="B423" s="38"/>
      <c r="C423" s="9" t="s">
        <v>209</v>
      </c>
      <c r="D423" s="14" t="str">
        <f t="shared" ref="D423:Y423" si="234">IF(D11="yes",SUM(D424,D425,D426),"...")</f>
        <v>...</v>
      </c>
      <c r="E423" s="14" t="str">
        <f t="shared" si="234"/>
        <v>...</v>
      </c>
      <c r="F423" s="14" t="str">
        <f t="shared" si="234"/>
        <v>...</v>
      </c>
      <c r="G423" s="14" t="str">
        <f t="shared" si="234"/>
        <v>...</v>
      </c>
      <c r="H423" s="14" t="str">
        <f t="shared" si="234"/>
        <v>...</v>
      </c>
      <c r="I423" s="14" t="str">
        <f t="shared" si="234"/>
        <v>...</v>
      </c>
      <c r="J423" s="14" t="str">
        <f t="shared" si="234"/>
        <v>...</v>
      </c>
      <c r="K423" s="14" t="str">
        <f t="shared" si="234"/>
        <v>...</v>
      </c>
      <c r="L423" s="14" t="str">
        <f t="shared" si="234"/>
        <v>...</v>
      </c>
      <c r="M423" s="14">
        <f t="shared" si="234"/>
        <v>0</v>
      </c>
      <c r="N423" s="14">
        <f t="shared" si="234"/>
        <v>0</v>
      </c>
      <c r="O423" s="14">
        <f t="shared" si="234"/>
        <v>0</v>
      </c>
      <c r="P423" s="14">
        <f t="shared" si="234"/>
        <v>0</v>
      </c>
      <c r="Q423" s="14">
        <f t="shared" si="234"/>
        <v>0</v>
      </c>
      <c r="R423" s="14">
        <f t="shared" si="234"/>
        <v>0</v>
      </c>
      <c r="S423" s="14">
        <f t="shared" si="234"/>
        <v>0</v>
      </c>
      <c r="T423" s="14">
        <f t="shared" si="234"/>
        <v>0</v>
      </c>
      <c r="U423" s="14">
        <f t="shared" si="234"/>
        <v>0</v>
      </c>
      <c r="V423" s="14" t="str">
        <f t="shared" si="234"/>
        <v>...</v>
      </c>
      <c r="W423" s="14" t="str">
        <f t="shared" si="234"/>
        <v>...</v>
      </c>
      <c r="X423" s="14" t="str">
        <f t="shared" si="234"/>
        <v>...</v>
      </c>
      <c r="Y423" s="14" t="str">
        <f t="shared" si="234"/>
        <v>...</v>
      </c>
      <c r="Z423" s="14"/>
      <c r="AA423" s="14"/>
      <c r="AB423" s="14"/>
      <c r="AC423" s="14"/>
      <c r="AD423" s="24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14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24"/>
      <c r="BK423" s="22"/>
      <c r="BL423" s="23"/>
      <c r="BM423" s="22"/>
      <c r="BN423" s="22"/>
      <c r="BO423" s="22"/>
      <c r="BP423" s="22"/>
      <c r="BQ423" s="22"/>
      <c r="BR423" s="24"/>
      <c r="BS423" s="5"/>
    </row>
    <row r="424" spans="1:72" s="33" customFormat="1" hidden="1" outlineLevel="1">
      <c r="A424" s="5"/>
      <c r="B424" s="5" t="s">
        <v>268</v>
      </c>
      <c r="C424" s="43" t="s">
        <v>359</v>
      </c>
      <c r="D424" s="16" t="s">
        <v>289</v>
      </c>
      <c r="E424" s="16" t="s">
        <v>289</v>
      </c>
      <c r="F424" s="16" t="s">
        <v>289</v>
      </c>
      <c r="G424" s="16" t="s">
        <v>289</v>
      </c>
      <c r="H424" s="16" t="s">
        <v>289</v>
      </c>
      <c r="I424" s="16" t="s">
        <v>289</v>
      </c>
      <c r="J424" s="16" t="s">
        <v>289</v>
      </c>
      <c r="K424" s="16" t="s">
        <v>289</v>
      </c>
      <c r="L424" s="16" t="s">
        <v>289</v>
      </c>
      <c r="M424" s="16" t="s">
        <v>289</v>
      </c>
      <c r="N424" s="16" t="s">
        <v>289</v>
      </c>
      <c r="O424" s="16" t="s">
        <v>289</v>
      </c>
      <c r="P424" s="16" t="s">
        <v>289</v>
      </c>
      <c r="Q424" s="16" t="s">
        <v>289</v>
      </c>
      <c r="R424" s="16" t="s">
        <v>289</v>
      </c>
      <c r="S424" s="16" t="s">
        <v>289</v>
      </c>
      <c r="T424" s="16" t="s">
        <v>289</v>
      </c>
      <c r="U424" s="16" t="s">
        <v>289</v>
      </c>
      <c r="V424" s="16" t="s">
        <v>289</v>
      </c>
      <c r="W424" s="16"/>
      <c r="X424" s="16"/>
      <c r="Y424" s="16"/>
      <c r="Z424" s="16"/>
      <c r="AA424" s="16"/>
      <c r="AB424" s="25"/>
      <c r="AC424" s="25"/>
      <c r="AD424" s="24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16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24"/>
      <c r="BK424" s="22"/>
      <c r="BL424" s="23"/>
      <c r="BM424" s="22"/>
      <c r="BN424" s="22"/>
      <c r="BO424" s="22"/>
      <c r="BP424" s="22"/>
      <c r="BQ424" s="22"/>
      <c r="BR424" s="24"/>
      <c r="BS424" s="5"/>
    </row>
    <row r="425" spans="1:72" s="33" customFormat="1" hidden="1" outlineLevel="1">
      <c r="A425" s="5"/>
      <c r="B425" s="5" t="s">
        <v>269</v>
      </c>
      <c r="C425" s="43" t="s">
        <v>360</v>
      </c>
      <c r="D425" s="16" t="s">
        <v>289</v>
      </c>
      <c r="E425" s="16" t="s">
        <v>289</v>
      </c>
      <c r="F425" s="16" t="s">
        <v>289</v>
      </c>
      <c r="G425" s="16" t="s">
        <v>289</v>
      </c>
      <c r="H425" s="16" t="s">
        <v>289</v>
      </c>
      <c r="I425" s="16" t="s">
        <v>289</v>
      </c>
      <c r="J425" s="16" t="s">
        <v>289</v>
      </c>
      <c r="K425" s="16" t="s">
        <v>289</v>
      </c>
      <c r="L425" s="16" t="s">
        <v>289</v>
      </c>
      <c r="M425" s="16" t="s">
        <v>289</v>
      </c>
      <c r="N425" s="16" t="s">
        <v>289</v>
      </c>
      <c r="O425" s="16" t="s">
        <v>289</v>
      </c>
      <c r="P425" s="16" t="s">
        <v>289</v>
      </c>
      <c r="Q425" s="16" t="s">
        <v>289</v>
      </c>
      <c r="R425" s="16" t="s">
        <v>289</v>
      </c>
      <c r="S425" s="16" t="s">
        <v>289</v>
      </c>
      <c r="T425" s="16" t="s">
        <v>289</v>
      </c>
      <c r="U425" s="16" t="s">
        <v>289</v>
      </c>
      <c r="V425" s="16" t="s">
        <v>289</v>
      </c>
      <c r="W425" s="16"/>
      <c r="X425" s="16"/>
      <c r="Y425" s="16"/>
      <c r="Z425" s="16"/>
      <c r="AA425" s="16"/>
      <c r="AB425" s="25"/>
      <c r="AC425" s="25"/>
      <c r="AD425" s="24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16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24"/>
      <c r="BK425" s="22"/>
      <c r="BL425" s="23"/>
      <c r="BM425" s="22"/>
      <c r="BN425" s="22"/>
      <c r="BO425" s="22"/>
      <c r="BP425" s="22"/>
      <c r="BQ425" s="22"/>
      <c r="BR425" s="24"/>
      <c r="BS425" s="5"/>
    </row>
    <row r="426" spans="1:72" s="33" customFormat="1" hidden="1" outlineLevel="1">
      <c r="A426" s="5"/>
      <c r="B426" s="5"/>
      <c r="C426" s="43" t="s">
        <v>361</v>
      </c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25"/>
      <c r="AC426" s="25"/>
      <c r="AD426" s="24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16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24"/>
      <c r="BK426" s="22"/>
      <c r="BL426" s="23"/>
      <c r="BM426" s="22"/>
      <c r="BN426" s="22"/>
      <c r="BO426" s="22"/>
      <c r="BP426" s="22"/>
      <c r="BQ426" s="22"/>
      <c r="BR426" s="24"/>
      <c r="BS426" s="5"/>
    </row>
    <row r="427" spans="1:72" s="33" customFormat="1" hidden="1" outlineLevel="1">
      <c r="A427" s="5"/>
      <c r="B427" s="5"/>
      <c r="C427" s="43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4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2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24"/>
      <c r="BK427" s="22"/>
      <c r="BL427" s="23"/>
      <c r="BM427" s="22"/>
      <c r="BN427" s="22"/>
      <c r="BO427" s="22"/>
      <c r="BP427" s="22"/>
      <c r="BQ427" s="22"/>
      <c r="BR427" s="24"/>
      <c r="BS427" s="5"/>
    </row>
    <row r="428" spans="1:72" ht="13.15" collapsed="1">
      <c r="B428" s="38"/>
      <c r="C428" s="9" t="s">
        <v>271</v>
      </c>
      <c r="D428" s="14" t="str">
        <f t="shared" ref="D428:N428" si="235">IF(D11="yes",SUM(D429:D431),"…")</f>
        <v>…</v>
      </c>
      <c r="E428" s="14" t="str">
        <f t="shared" si="235"/>
        <v>…</v>
      </c>
      <c r="F428" s="14" t="str">
        <f t="shared" si="235"/>
        <v>…</v>
      </c>
      <c r="G428" s="14" t="str">
        <f t="shared" si="235"/>
        <v>…</v>
      </c>
      <c r="H428" s="14" t="str">
        <f t="shared" si="235"/>
        <v>…</v>
      </c>
      <c r="I428" s="14" t="str">
        <f t="shared" si="235"/>
        <v>…</v>
      </c>
      <c r="J428" s="14" t="str">
        <f t="shared" si="235"/>
        <v>…</v>
      </c>
      <c r="K428" s="14" t="str">
        <f t="shared" si="235"/>
        <v>…</v>
      </c>
      <c r="L428" s="14" t="str">
        <f t="shared" si="235"/>
        <v>…</v>
      </c>
      <c r="M428" s="14">
        <f t="shared" si="235"/>
        <v>0</v>
      </c>
      <c r="N428" s="14">
        <f t="shared" si="235"/>
        <v>0</v>
      </c>
      <c r="O428" s="14">
        <f t="shared" ref="O428:Y428" si="236">IF(O11="yes",SUM(O429,O430,O431),"…")</f>
        <v>0</v>
      </c>
      <c r="P428" s="14">
        <f t="shared" si="236"/>
        <v>0</v>
      </c>
      <c r="Q428" s="14">
        <f t="shared" si="236"/>
        <v>0</v>
      </c>
      <c r="R428" s="14">
        <f t="shared" si="236"/>
        <v>0</v>
      </c>
      <c r="S428" s="14">
        <f t="shared" si="236"/>
        <v>0</v>
      </c>
      <c r="T428" s="14">
        <f t="shared" si="236"/>
        <v>0</v>
      </c>
      <c r="U428" s="14">
        <f t="shared" si="236"/>
        <v>0</v>
      </c>
      <c r="V428" s="14" t="str">
        <f t="shared" si="236"/>
        <v>…</v>
      </c>
      <c r="W428" s="14" t="str">
        <f t="shared" si="236"/>
        <v>…</v>
      </c>
      <c r="X428" s="14" t="str">
        <f t="shared" si="236"/>
        <v>…</v>
      </c>
      <c r="Y428" s="14" t="str">
        <f t="shared" si="236"/>
        <v>…</v>
      </c>
      <c r="Z428" s="14"/>
      <c r="AA428" s="14"/>
      <c r="AB428" s="14"/>
      <c r="AC428" s="14"/>
      <c r="AD428" s="24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14"/>
      <c r="AZ428" s="5"/>
      <c r="BJ428" s="24"/>
      <c r="BK428" s="22"/>
      <c r="BL428" s="23"/>
      <c r="BM428" s="22"/>
      <c r="BN428" s="22"/>
      <c r="BO428" s="22"/>
      <c r="BP428" s="22"/>
      <c r="BQ428" s="22"/>
      <c r="BR428" s="24"/>
      <c r="BT428" s="33"/>
    </row>
    <row r="429" spans="1:72" hidden="1" outlineLevel="1">
      <c r="B429" s="5" t="s">
        <v>272</v>
      </c>
      <c r="C429" s="43" t="s">
        <v>359</v>
      </c>
      <c r="D429" s="16" t="s">
        <v>289</v>
      </c>
      <c r="E429" s="16" t="s">
        <v>289</v>
      </c>
      <c r="F429" s="16" t="s">
        <v>289</v>
      </c>
      <c r="G429" s="16" t="s">
        <v>289</v>
      </c>
      <c r="H429" s="16" t="s">
        <v>289</v>
      </c>
      <c r="I429" s="16" t="s">
        <v>289</v>
      </c>
      <c r="J429" s="16" t="s">
        <v>289</v>
      </c>
      <c r="K429" s="16" t="s">
        <v>289</v>
      </c>
      <c r="L429" s="16" t="s">
        <v>289</v>
      </c>
      <c r="M429" s="16" t="s">
        <v>289</v>
      </c>
      <c r="N429" s="16" t="s">
        <v>289</v>
      </c>
      <c r="O429" s="16" t="s">
        <v>289</v>
      </c>
      <c r="P429" s="16" t="s">
        <v>289</v>
      </c>
      <c r="Q429" s="16" t="s">
        <v>289</v>
      </c>
      <c r="R429" s="16" t="s">
        <v>289</v>
      </c>
      <c r="S429" s="16" t="s">
        <v>289</v>
      </c>
      <c r="T429" s="16" t="s">
        <v>289</v>
      </c>
      <c r="U429" s="16" t="s">
        <v>289</v>
      </c>
      <c r="V429" s="16" t="s">
        <v>289</v>
      </c>
      <c r="W429" s="16"/>
      <c r="X429" s="16"/>
      <c r="Y429" s="16"/>
      <c r="Z429" s="16"/>
      <c r="AA429" s="16"/>
      <c r="AB429" s="25"/>
      <c r="AC429" s="25"/>
      <c r="AD429" s="24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16"/>
      <c r="AZ429" s="5"/>
      <c r="BJ429" s="24"/>
      <c r="BK429" s="22"/>
      <c r="BL429" s="23"/>
      <c r="BM429" s="22"/>
      <c r="BN429" s="22"/>
      <c r="BO429" s="22"/>
      <c r="BP429" s="22"/>
      <c r="BQ429" s="22"/>
      <c r="BR429" s="24"/>
      <c r="BT429" s="33"/>
    </row>
    <row r="430" spans="1:72" hidden="1" outlineLevel="1">
      <c r="B430" s="5" t="s">
        <v>1533</v>
      </c>
      <c r="C430" s="43" t="s">
        <v>360</v>
      </c>
      <c r="D430" s="16" t="s">
        <v>289</v>
      </c>
      <c r="E430" s="16" t="s">
        <v>289</v>
      </c>
      <c r="F430" s="16" t="s">
        <v>289</v>
      </c>
      <c r="G430" s="16" t="s">
        <v>289</v>
      </c>
      <c r="H430" s="16" t="s">
        <v>289</v>
      </c>
      <c r="I430" s="16" t="s">
        <v>289</v>
      </c>
      <c r="J430" s="16" t="s">
        <v>289</v>
      </c>
      <c r="K430" s="16" t="s">
        <v>289</v>
      </c>
      <c r="L430" s="16" t="s">
        <v>289</v>
      </c>
      <c r="M430" s="16" t="s">
        <v>289</v>
      </c>
      <c r="N430" s="16" t="s">
        <v>289</v>
      </c>
      <c r="O430" s="16" t="s">
        <v>289</v>
      </c>
      <c r="P430" s="16" t="s">
        <v>289</v>
      </c>
      <c r="Q430" s="16" t="s">
        <v>289</v>
      </c>
      <c r="R430" s="16" t="s">
        <v>289</v>
      </c>
      <c r="S430" s="16" t="s">
        <v>289</v>
      </c>
      <c r="T430" s="16" t="s">
        <v>289</v>
      </c>
      <c r="U430" s="16" t="s">
        <v>289</v>
      </c>
      <c r="V430" s="16" t="s">
        <v>289</v>
      </c>
      <c r="W430" s="16"/>
      <c r="X430" s="16"/>
      <c r="Y430" s="16"/>
      <c r="Z430" s="16"/>
      <c r="AA430" s="16"/>
      <c r="AB430" s="25"/>
      <c r="AC430" s="2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16"/>
      <c r="AZ430" s="5"/>
      <c r="BJ430" s="24"/>
      <c r="BK430" s="22"/>
      <c r="BL430" s="23"/>
      <c r="BM430" s="22"/>
      <c r="BN430" s="22"/>
      <c r="BO430" s="22"/>
      <c r="BP430" s="22"/>
      <c r="BQ430" s="22"/>
      <c r="BR430" s="24"/>
      <c r="BT430" s="33"/>
    </row>
    <row r="431" spans="1:72" hidden="1" outlineLevel="1">
      <c r="C431" s="43" t="s">
        <v>1763</v>
      </c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25"/>
      <c r="AC431" s="2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16"/>
      <c r="AZ431" s="5"/>
      <c r="BJ431" s="24"/>
      <c r="BK431" s="22"/>
      <c r="BL431" s="23"/>
      <c r="BM431" s="22"/>
      <c r="BN431" s="22"/>
      <c r="BO431" s="22"/>
      <c r="BP431" s="22"/>
      <c r="BQ431" s="22"/>
      <c r="BR431" s="24"/>
      <c r="BT431" s="33"/>
    </row>
    <row r="432" spans="1:72" hidden="1" outlineLevel="1">
      <c r="C432" s="43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25"/>
      <c r="AC432" s="2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16"/>
      <c r="AZ432" s="5"/>
      <c r="BJ432" s="24"/>
      <c r="BK432" s="22"/>
      <c r="BL432" s="23"/>
      <c r="BM432" s="22"/>
      <c r="BN432" s="22"/>
      <c r="BO432" s="22"/>
      <c r="BP432" s="22"/>
      <c r="BQ432" s="22"/>
      <c r="BR432" s="24"/>
      <c r="BT432" s="33"/>
    </row>
    <row r="433" spans="1:71" s="33" customFormat="1" ht="13.15" collapsed="1">
      <c r="A433" s="5"/>
      <c r="B433" s="5"/>
      <c r="C433" s="9" t="s">
        <v>251</v>
      </c>
      <c r="D433" s="14">
        <f>SUM(D435:D448)</f>
        <v>0</v>
      </c>
      <c r="E433" s="14">
        <f t="shared" ref="E433:Y433" si="237">SUM(E435:E448)</f>
        <v>0</v>
      </c>
      <c r="F433" s="14">
        <f t="shared" si="237"/>
        <v>0</v>
      </c>
      <c r="G433" s="14">
        <f t="shared" si="237"/>
        <v>0</v>
      </c>
      <c r="H433" s="14">
        <f t="shared" si="237"/>
        <v>0</v>
      </c>
      <c r="I433" s="14">
        <f t="shared" si="237"/>
        <v>0</v>
      </c>
      <c r="J433" s="14">
        <f t="shared" si="237"/>
        <v>0</v>
      </c>
      <c r="K433" s="14">
        <f t="shared" si="237"/>
        <v>0</v>
      </c>
      <c r="L433" s="14">
        <f t="shared" si="237"/>
        <v>0</v>
      </c>
      <c r="M433" s="14">
        <f t="shared" si="237"/>
        <v>37.911000000000001</v>
      </c>
      <c r="N433" s="14">
        <f t="shared" si="237"/>
        <v>47.430999999999997</v>
      </c>
      <c r="O433" s="14">
        <f t="shared" si="237"/>
        <v>11.836</v>
      </c>
      <c r="P433" s="14">
        <f t="shared" si="237"/>
        <v>33.935000000000002</v>
      </c>
      <c r="Q433" s="14">
        <f t="shared" si="237"/>
        <v>30.038</v>
      </c>
      <c r="R433" s="14">
        <f t="shared" si="237"/>
        <v>32.134</v>
      </c>
      <c r="S433" s="14">
        <f t="shared" si="237"/>
        <v>38.716000000000001</v>
      </c>
      <c r="T433" s="14">
        <f t="shared" si="237"/>
        <v>42.841000000000001</v>
      </c>
      <c r="U433" s="14">
        <f t="shared" si="237"/>
        <v>54.509</v>
      </c>
      <c r="V433" s="14">
        <f t="shared" si="237"/>
        <v>0</v>
      </c>
      <c r="W433" s="14">
        <f t="shared" si="237"/>
        <v>0</v>
      </c>
      <c r="X433" s="14">
        <f t="shared" si="237"/>
        <v>0</v>
      </c>
      <c r="Y433" s="14">
        <f t="shared" si="237"/>
        <v>0</v>
      </c>
      <c r="Z433" s="14"/>
      <c r="AA433" s="14"/>
      <c r="AB433" s="14"/>
      <c r="AC433" s="14"/>
      <c r="AD433" s="24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14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24"/>
      <c r="BK433" s="22"/>
      <c r="BL433" s="23"/>
      <c r="BM433" s="22"/>
      <c r="BN433" s="22"/>
      <c r="BO433" s="22"/>
      <c r="BP433" s="22"/>
      <c r="BQ433" s="22"/>
      <c r="BR433" s="24"/>
      <c r="BS433" s="5"/>
    </row>
    <row r="434" spans="1:71" hidden="1" outlineLevel="1"/>
    <row r="435" spans="1:71" s="33" customFormat="1" hidden="1" outlineLevel="1">
      <c r="A435" s="5"/>
      <c r="B435" s="5" t="s">
        <v>253</v>
      </c>
      <c r="C435" s="43" t="s">
        <v>154</v>
      </c>
      <c r="D435" s="16" t="s">
        <v>289</v>
      </c>
      <c r="E435" s="16" t="s">
        <v>289</v>
      </c>
      <c r="F435" s="16" t="s">
        <v>289</v>
      </c>
      <c r="G435" s="16" t="s">
        <v>289</v>
      </c>
      <c r="H435" s="16" t="s">
        <v>289</v>
      </c>
      <c r="I435" s="16" t="s">
        <v>289</v>
      </c>
      <c r="J435" s="16" t="s">
        <v>289</v>
      </c>
      <c r="K435" s="16" t="s">
        <v>289</v>
      </c>
      <c r="L435" s="16" t="s">
        <v>289</v>
      </c>
      <c r="M435" s="16" t="s">
        <v>289</v>
      </c>
      <c r="N435" s="16" t="s">
        <v>289</v>
      </c>
      <c r="O435" s="16" t="s">
        <v>289</v>
      </c>
      <c r="P435" s="16" t="s">
        <v>289</v>
      </c>
      <c r="Q435" s="16" t="s">
        <v>289</v>
      </c>
      <c r="R435" s="16" t="s">
        <v>289</v>
      </c>
      <c r="S435" s="16" t="s">
        <v>289</v>
      </c>
      <c r="T435" s="16" t="s">
        <v>289</v>
      </c>
      <c r="U435" s="16" t="s">
        <v>289</v>
      </c>
      <c r="V435" s="16" t="s">
        <v>289</v>
      </c>
      <c r="W435" s="16"/>
      <c r="X435" s="16"/>
      <c r="Y435" s="16"/>
      <c r="Z435" s="16"/>
      <c r="AA435" s="16"/>
      <c r="AB435" s="25"/>
      <c r="AC435" s="25"/>
      <c r="AD435" s="24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16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24"/>
      <c r="BK435" s="22"/>
      <c r="BL435" s="23"/>
      <c r="BM435" s="22"/>
      <c r="BN435" s="22"/>
      <c r="BO435" s="22"/>
      <c r="BP435" s="22"/>
      <c r="BQ435" s="22"/>
      <c r="BR435" s="24"/>
      <c r="BS435" s="5"/>
    </row>
    <row r="436" spans="1:71" s="33" customFormat="1" hidden="1" outlineLevel="1">
      <c r="A436" s="5"/>
      <c r="B436" s="5" t="s">
        <v>2139</v>
      </c>
      <c r="C436" s="43"/>
      <c r="D436" s="16" t="s">
        <v>289</v>
      </c>
      <c r="E436" s="16" t="s">
        <v>289</v>
      </c>
      <c r="F436" s="16" t="s">
        <v>289</v>
      </c>
      <c r="G436" s="16" t="s">
        <v>289</v>
      </c>
      <c r="H436" s="16" t="s">
        <v>289</v>
      </c>
      <c r="I436" s="16" t="s">
        <v>289</v>
      </c>
      <c r="J436" s="16" t="s">
        <v>289</v>
      </c>
      <c r="K436" s="16" t="s">
        <v>289</v>
      </c>
      <c r="L436" s="16" t="s">
        <v>289</v>
      </c>
      <c r="M436" s="16" t="s">
        <v>289</v>
      </c>
      <c r="N436" s="16" t="s">
        <v>289</v>
      </c>
      <c r="O436" s="16" t="s">
        <v>289</v>
      </c>
      <c r="P436" s="16" t="s">
        <v>289</v>
      </c>
      <c r="Q436" s="16" t="s">
        <v>289</v>
      </c>
      <c r="R436" s="16" t="s">
        <v>289</v>
      </c>
      <c r="S436" s="16" t="s">
        <v>289</v>
      </c>
      <c r="T436" s="16" t="s">
        <v>289</v>
      </c>
      <c r="U436" s="16" t="s">
        <v>289</v>
      </c>
      <c r="V436" s="16" t="s">
        <v>289</v>
      </c>
      <c r="W436" s="16"/>
      <c r="X436" s="16"/>
      <c r="Y436" s="16"/>
      <c r="Z436" s="16"/>
      <c r="AA436" s="16"/>
      <c r="AB436" s="25"/>
      <c r="AC436" s="25"/>
      <c r="AD436" s="24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16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24"/>
      <c r="BK436" s="22"/>
      <c r="BL436" s="23"/>
      <c r="BM436" s="22"/>
      <c r="BN436" s="22"/>
      <c r="BO436" s="22"/>
      <c r="BP436" s="22"/>
      <c r="BQ436" s="22"/>
      <c r="BR436" s="24"/>
      <c r="BS436" s="5"/>
    </row>
    <row r="437" spans="1:71" s="33" customFormat="1" hidden="1" outlineLevel="1">
      <c r="A437" s="5"/>
      <c r="B437" s="5" t="s">
        <v>252</v>
      </c>
      <c r="C437" s="43" t="s">
        <v>154</v>
      </c>
      <c r="D437" s="16" t="s">
        <v>289</v>
      </c>
      <c r="E437" s="16" t="s">
        <v>289</v>
      </c>
      <c r="F437" s="16" t="s">
        <v>289</v>
      </c>
      <c r="G437" s="16" t="s">
        <v>289</v>
      </c>
      <c r="H437" s="16" t="s">
        <v>289</v>
      </c>
      <c r="I437" s="16" t="s">
        <v>289</v>
      </c>
      <c r="J437" s="16" t="s">
        <v>289</v>
      </c>
      <c r="K437" s="16" t="s">
        <v>289</v>
      </c>
      <c r="L437" s="16" t="s">
        <v>289</v>
      </c>
      <c r="M437" s="16">
        <v>37.911000000000001</v>
      </c>
      <c r="N437" s="16">
        <v>47.430999999999997</v>
      </c>
      <c r="O437" s="16">
        <v>11.836</v>
      </c>
      <c r="P437" s="16">
        <v>33.935000000000002</v>
      </c>
      <c r="Q437" s="16">
        <v>30.038</v>
      </c>
      <c r="R437" s="16">
        <v>32.134</v>
      </c>
      <c r="S437" s="16">
        <v>38.716000000000001</v>
      </c>
      <c r="T437" s="16">
        <v>42.841000000000001</v>
      </c>
      <c r="U437" s="16">
        <v>54.509</v>
      </c>
      <c r="V437" s="16" t="s">
        <v>289</v>
      </c>
      <c r="W437" s="16"/>
      <c r="X437" s="16"/>
      <c r="Y437" s="16"/>
      <c r="Z437" s="16"/>
      <c r="AA437" s="16"/>
      <c r="AB437" s="25"/>
      <c r="AC437" s="25"/>
      <c r="AD437" s="24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16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24"/>
      <c r="BK437" s="22"/>
      <c r="BL437" s="23"/>
      <c r="BM437" s="22"/>
      <c r="BN437" s="22"/>
      <c r="BO437" s="22"/>
      <c r="BP437" s="22"/>
      <c r="BQ437" s="22"/>
      <c r="BR437" s="24"/>
      <c r="BS437" s="5"/>
    </row>
    <row r="438" spans="1:71" hidden="1" outlineLevel="1">
      <c r="B438" s="5" t="s">
        <v>1726</v>
      </c>
      <c r="C438" s="43" t="s">
        <v>154</v>
      </c>
      <c r="D438" s="16" t="s">
        <v>289</v>
      </c>
      <c r="E438" s="16" t="s">
        <v>289</v>
      </c>
      <c r="F438" s="16" t="s">
        <v>289</v>
      </c>
      <c r="G438" s="16" t="s">
        <v>289</v>
      </c>
      <c r="H438" s="16" t="s">
        <v>289</v>
      </c>
      <c r="I438" s="16" t="s">
        <v>289</v>
      </c>
      <c r="J438" s="16" t="s">
        <v>289</v>
      </c>
      <c r="K438" s="16" t="s">
        <v>289</v>
      </c>
      <c r="L438" s="16" t="s">
        <v>289</v>
      </c>
      <c r="M438" s="16" t="s">
        <v>289</v>
      </c>
      <c r="N438" s="16" t="s">
        <v>289</v>
      </c>
      <c r="O438" s="16" t="s">
        <v>289</v>
      </c>
      <c r="P438" s="16" t="s">
        <v>289</v>
      </c>
      <c r="Q438" s="20" t="s">
        <v>289</v>
      </c>
      <c r="R438" s="20" t="s">
        <v>289</v>
      </c>
      <c r="S438" s="20" t="s">
        <v>289</v>
      </c>
      <c r="T438" s="20" t="s">
        <v>289</v>
      </c>
      <c r="U438" s="20" t="s">
        <v>289</v>
      </c>
      <c r="V438" s="20" t="s">
        <v>289</v>
      </c>
      <c r="AD438" s="24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Z438" s="5"/>
    </row>
    <row r="439" spans="1:71" s="33" customFormat="1" hidden="1" outlineLevel="1">
      <c r="A439" s="5"/>
      <c r="B439" s="5" t="s">
        <v>254</v>
      </c>
      <c r="C439" s="43" t="s">
        <v>154</v>
      </c>
      <c r="D439" s="16" t="s">
        <v>289</v>
      </c>
      <c r="E439" s="16" t="s">
        <v>289</v>
      </c>
      <c r="F439" s="16" t="s">
        <v>289</v>
      </c>
      <c r="G439" s="16" t="s">
        <v>289</v>
      </c>
      <c r="H439" s="16" t="s">
        <v>289</v>
      </c>
      <c r="I439" s="16" t="s">
        <v>289</v>
      </c>
      <c r="J439" s="16" t="s">
        <v>289</v>
      </c>
      <c r="K439" s="16" t="s">
        <v>289</v>
      </c>
      <c r="L439" s="16" t="s">
        <v>289</v>
      </c>
      <c r="M439" s="16" t="s">
        <v>289</v>
      </c>
      <c r="N439" s="16" t="s">
        <v>289</v>
      </c>
      <c r="O439" s="16" t="s">
        <v>289</v>
      </c>
      <c r="P439" s="16" t="s">
        <v>289</v>
      </c>
      <c r="Q439" s="16" t="s">
        <v>289</v>
      </c>
      <c r="R439" s="16" t="s">
        <v>289</v>
      </c>
      <c r="S439" s="16" t="s">
        <v>289</v>
      </c>
      <c r="T439" s="16" t="s">
        <v>289</v>
      </c>
      <c r="U439" s="16" t="s">
        <v>289</v>
      </c>
      <c r="V439" s="16" t="s">
        <v>289</v>
      </c>
      <c r="W439" s="16"/>
      <c r="X439" s="16"/>
      <c r="Y439" s="16"/>
      <c r="Z439" s="16"/>
      <c r="AA439" s="16"/>
      <c r="AB439" s="25"/>
      <c r="AC439" s="25"/>
      <c r="AD439" s="24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16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24"/>
      <c r="BK439" s="22"/>
      <c r="BL439" s="23"/>
      <c r="BM439" s="22"/>
      <c r="BN439" s="22"/>
      <c r="BO439" s="22"/>
      <c r="BP439" s="22"/>
      <c r="BQ439" s="22"/>
      <c r="BR439" s="24"/>
      <c r="BS439" s="5"/>
    </row>
    <row r="440" spans="1:71" s="33" customFormat="1" hidden="1" outlineLevel="1">
      <c r="A440" s="5"/>
      <c r="B440" s="5" t="s">
        <v>255</v>
      </c>
      <c r="C440" s="43" t="s">
        <v>154</v>
      </c>
      <c r="D440" s="16" t="s">
        <v>289</v>
      </c>
      <c r="E440" s="16" t="s">
        <v>289</v>
      </c>
      <c r="F440" s="16" t="s">
        <v>289</v>
      </c>
      <c r="G440" s="16" t="s">
        <v>289</v>
      </c>
      <c r="H440" s="16" t="s">
        <v>289</v>
      </c>
      <c r="I440" s="16" t="s">
        <v>289</v>
      </c>
      <c r="J440" s="16" t="s">
        <v>289</v>
      </c>
      <c r="K440" s="16" t="s">
        <v>289</v>
      </c>
      <c r="L440" s="16" t="s">
        <v>289</v>
      </c>
      <c r="M440" s="16" t="s">
        <v>289</v>
      </c>
      <c r="N440" s="16" t="s">
        <v>289</v>
      </c>
      <c r="O440" s="16" t="s">
        <v>289</v>
      </c>
      <c r="P440" s="16" t="s">
        <v>289</v>
      </c>
      <c r="Q440" s="16" t="s">
        <v>289</v>
      </c>
      <c r="R440" s="16" t="s">
        <v>289</v>
      </c>
      <c r="S440" s="16" t="s">
        <v>289</v>
      </c>
      <c r="T440" s="16" t="s">
        <v>289</v>
      </c>
      <c r="U440" s="16" t="s">
        <v>289</v>
      </c>
      <c r="V440" s="16" t="s">
        <v>289</v>
      </c>
      <c r="W440" s="16"/>
      <c r="X440" s="16"/>
      <c r="Y440" s="16"/>
      <c r="Z440" s="16"/>
      <c r="AA440" s="16"/>
      <c r="AB440" s="25"/>
      <c r="AC440" s="25"/>
      <c r="AD440" s="24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16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24"/>
      <c r="BK440" s="22"/>
      <c r="BL440" s="23"/>
      <c r="BM440" s="22"/>
      <c r="BN440" s="22"/>
      <c r="BO440" s="22"/>
      <c r="BP440" s="22"/>
      <c r="BQ440" s="22"/>
      <c r="BR440" s="24"/>
      <c r="BS440" s="5"/>
    </row>
    <row r="441" spans="1:71" hidden="1" outlineLevel="1"/>
    <row r="442" spans="1:71" hidden="1" outlineLevel="1">
      <c r="B442" s="5" t="s">
        <v>2125</v>
      </c>
      <c r="C442" s="43" t="s">
        <v>154</v>
      </c>
      <c r="D442" s="16" t="s">
        <v>289</v>
      </c>
      <c r="E442" s="16" t="s">
        <v>289</v>
      </c>
      <c r="F442" s="16" t="s">
        <v>289</v>
      </c>
      <c r="G442" s="16" t="s">
        <v>289</v>
      </c>
      <c r="H442" s="16" t="s">
        <v>289</v>
      </c>
      <c r="I442" s="16" t="s">
        <v>289</v>
      </c>
      <c r="J442" s="16" t="s">
        <v>289</v>
      </c>
      <c r="K442" s="16" t="s">
        <v>289</v>
      </c>
      <c r="L442" s="16" t="s">
        <v>289</v>
      </c>
      <c r="M442" s="16" t="s">
        <v>289</v>
      </c>
      <c r="N442" s="16" t="s">
        <v>289</v>
      </c>
      <c r="O442" s="16" t="s">
        <v>289</v>
      </c>
      <c r="P442" s="16" t="s">
        <v>289</v>
      </c>
      <c r="Q442" s="20" t="s">
        <v>289</v>
      </c>
      <c r="R442" s="20" t="s">
        <v>289</v>
      </c>
      <c r="S442" s="20" t="s">
        <v>289</v>
      </c>
      <c r="T442" s="20" t="s">
        <v>289</v>
      </c>
      <c r="U442" s="20" t="s">
        <v>289</v>
      </c>
      <c r="V442" s="20" t="s">
        <v>289</v>
      </c>
      <c r="AD442" s="24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Z442" s="5"/>
    </row>
    <row r="443" spans="1:71" hidden="1" outlineLevel="1">
      <c r="C443" s="43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AD443" s="24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Z443" s="5"/>
    </row>
    <row r="444" spans="1:71" hidden="1" outlineLevel="1">
      <c r="C444" s="43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AD444" s="24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Z444" s="5"/>
    </row>
    <row r="445" spans="1:71" hidden="1" outlineLevel="1">
      <c r="C445" s="43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AD445" s="24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Z445" s="5"/>
    </row>
    <row r="446" spans="1:71" hidden="1" outlineLevel="1">
      <c r="C446" s="43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AD446" s="24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Z446" s="5"/>
    </row>
    <row r="447" spans="1:71" s="33" customFormat="1" hidden="1" outlineLevel="1">
      <c r="A447" s="5"/>
      <c r="B447" s="5" t="s">
        <v>1695</v>
      </c>
      <c r="C447" s="43" t="s">
        <v>154</v>
      </c>
      <c r="D447" s="16" t="s">
        <v>289</v>
      </c>
      <c r="E447" s="16" t="s">
        <v>289</v>
      </c>
      <c r="F447" s="16" t="s">
        <v>289</v>
      </c>
      <c r="G447" s="16" t="s">
        <v>289</v>
      </c>
      <c r="H447" s="16" t="s">
        <v>289</v>
      </c>
      <c r="I447" s="16" t="s">
        <v>289</v>
      </c>
      <c r="J447" s="16" t="s">
        <v>289</v>
      </c>
      <c r="K447" s="16" t="s">
        <v>289</v>
      </c>
      <c r="L447" s="16" t="s">
        <v>289</v>
      </c>
      <c r="M447" s="16" t="s">
        <v>289</v>
      </c>
      <c r="N447" s="16" t="s">
        <v>289</v>
      </c>
      <c r="O447" s="16" t="s">
        <v>289</v>
      </c>
      <c r="P447" s="16" t="s">
        <v>289</v>
      </c>
      <c r="Q447" s="16" t="s">
        <v>289</v>
      </c>
      <c r="R447" s="16" t="s">
        <v>289</v>
      </c>
      <c r="S447" s="16" t="s">
        <v>289</v>
      </c>
      <c r="T447" s="16" t="s">
        <v>289</v>
      </c>
      <c r="U447" s="16" t="s">
        <v>289</v>
      </c>
      <c r="V447" s="16" t="s">
        <v>289</v>
      </c>
      <c r="W447" s="16"/>
      <c r="X447" s="16"/>
      <c r="Y447" s="16"/>
      <c r="Z447" s="16"/>
      <c r="AA447" s="16"/>
      <c r="AB447" s="25"/>
      <c r="AC447" s="25"/>
      <c r="AD447" s="24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16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24"/>
      <c r="BK447" s="22"/>
      <c r="BL447" s="23"/>
      <c r="BM447" s="22"/>
      <c r="BN447" s="22"/>
      <c r="BO447" s="22"/>
      <c r="BP447" s="22"/>
      <c r="BQ447" s="22"/>
      <c r="BR447" s="24"/>
      <c r="BS447" s="5"/>
    </row>
    <row r="448" spans="1:71" s="33" customFormat="1" hidden="1" outlineLevel="1">
      <c r="A448" s="5"/>
      <c r="B448" s="5" t="s">
        <v>256</v>
      </c>
      <c r="C448" s="43" t="s">
        <v>154</v>
      </c>
      <c r="D448" s="16" t="s">
        <v>289</v>
      </c>
      <c r="E448" s="16" t="s">
        <v>289</v>
      </c>
      <c r="F448" s="16" t="s">
        <v>289</v>
      </c>
      <c r="G448" s="16" t="s">
        <v>289</v>
      </c>
      <c r="H448" s="16" t="s">
        <v>289</v>
      </c>
      <c r="I448" s="16" t="s">
        <v>289</v>
      </c>
      <c r="J448" s="16" t="s">
        <v>289</v>
      </c>
      <c r="K448" s="16" t="s">
        <v>289</v>
      </c>
      <c r="L448" s="16" t="s">
        <v>289</v>
      </c>
      <c r="M448" s="16" t="s">
        <v>289</v>
      </c>
      <c r="N448" s="16" t="s">
        <v>289</v>
      </c>
      <c r="O448" s="16" t="s">
        <v>289</v>
      </c>
      <c r="P448" s="16" t="s">
        <v>289</v>
      </c>
      <c r="Q448" s="16" t="s">
        <v>289</v>
      </c>
      <c r="R448" s="16" t="s">
        <v>289</v>
      </c>
      <c r="S448" s="16" t="s">
        <v>289</v>
      </c>
      <c r="T448" s="16" t="s">
        <v>289</v>
      </c>
      <c r="U448" s="16" t="s">
        <v>289</v>
      </c>
      <c r="V448" s="16" t="s">
        <v>289</v>
      </c>
      <c r="W448" s="16"/>
      <c r="X448" s="16"/>
      <c r="Y448" s="16"/>
      <c r="Z448" s="16"/>
      <c r="AA448" s="16"/>
      <c r="AB448" s="25"/>
      <c r="AC448" s="25"/>
      <c r="AD448" s="24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16"/>
      <c r="AZ448" s="5"/>
      <c r="BA448" s="5"/>
      <c r="BB448" s="5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</row>
    <row r="449" spans="2:72" hidden="1" outlineLevel="1">
      <c r="AD449" s="24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Z449" s="5"/>
      <c r="BJ449" s="24"/>
      <c r="BK449" s="22"/>
      <c r="BL449" s="23"/>
      <c r="BM449" s="22"/>
      <c r="BN449" s="22"/>
      <c r="BO449" s="22"/>
      <c r="BP449" s="22"/>
      <c r="BQ449" s="22"/>
      <c r="BR449" s="24"/>
      <c r="BT449" s="33"/>
    </row>
    <row r="450" spans="2:72" ht="13.15" collapsed="1">
      <c r="B450" s="38"/>
      <c r="C450" s="9" t="s">
        <v>330</v>
      </c>
      <c r="D450" s="14" t="str">
        <f t="shared" ref="D450:Y450" si="238">IF(D11="yes",SUM(D451,D453,D455,D457),"…")</f>
        <v>…</v>
      </c>
      <c r="E450" s="14" t="str">
        <f t="shared" si="238"/>
        <v>…</v>
      </c>
      <c r="F450" s="14" t="str">
        <f t="shared" si="238"/>
        <v>…</v>
      </c>
      <c r="G450" s="14" t="str">
        <f t="shared" si="238"/>
        <v>…</v>
      </c>
      <c r="H450" s="14" t="str">
        <f t="shared" si="238"/>
        <v>…</v>
      </c>
      <c r="I450" s="14" t="str">
        <f t="shared" si="238"/>
        <v>…</v>
      </c>
      <c r="J450" s="14" t="str">
        <f t="shared" si="238"/>
        <v>…</v>
      </c>
      <c r="K450" s="14" t="str">
        <f t="shared" si="238"/>
        <v>…</v>
      </c>
      <c r="L450" s="14" t="str">
        <f t="shared" si="238"/>
        <v>…</v>
      </c>
      <c r="M450" s="14">
        <f t="shared" si="238"/>
        <v>0</v>
      </c>
      <c r="N450" s="14">
        <f t="shared" si="238"/>
        <v>0</v>
      </c>
      <c r="O450" s="14">
        <f t="shared" si="238"/>
        <v>0</v>
      </c>
      <c r="P450" s="14">
        <f t="shared" si="238"/>
        <v>0</v>
      </c>
      <c r="Q450" s="14">
        <f t="shared" si="238"/>
        <v>0</v>
      </c>
      <c r="R450" s="14">
        <f t="shared" si="238"/>
        <v>0</v>
      </c>
      <c r="S450" s="14">
        <f t="shared" si="238"/>
        <v>0</v>
      </c>
      <c r="T450" s="14">
        <f t="shared" si="238"/>
        <v>0</v>
      </c>
      <c r="U450" s="14">
        <f t="shared" si="238"/>
        <v>0</v>
      </c>
      <c r="V450" s="14" t="str">
        <f t="shared" si="238"/>
        <v>…</v>
      </c>
      <c r="W450" s="14" t="str">
        <f t="shared" si="238"/>
        <v>…</v>
      </c>
      <c r="X450" s="14" t="str">
        <f t="shared" si="238"/>
        <v>…</v>
      </c>
      <c r="Y450" s="14" t="str">
        <f t="shared" si="238"/>
        <v>…</v>
      </c>
      <c r="Z450" s="14"/>
      <c r="AA450" s="14"/>
      <c r="AB450" s="14"/>
      <c r="AC450" s="14"/>
      <c r="AD450" s="24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14"/>
      <c r="AZ450" s="5"/>
      <c r="BJ450" s="24"/>
      <c r="BK450" s="22"/>
      <c r="BL450" s="23"/>
      <c r="BM450" s="22"/>
      <c r="BN450" s="22"/>
      <c r="BO450" s="22"/>
      <c r="BP450" s="22"/>
      <c r="BQ450" s="22"/>
      <c r="BR450" s="24"/>
      <c r="BT450" s="33"/>
    </row>
    <row r="451" spans="2:72" hidden="1" outlineLevel="1">
      <c r="B451" s="38"/>
      <c r="C451" s="5" t="s">
        <v>1744</v>
      </c>
      <c r="D451" s="25" t="str">
        <f t="shared" ref="D451:O451" si="239">IFERROR(D452/1,"…")</f>
        <v>…</v>
      </c>
      <c r="E451" s="25" t="str">
        <f t="shared" si="239"/>
        <v>…</v>
      </c>
      <c r="F451" s="25" t="str">
        <f t="shared" si="239"/>
        <v>…</v>
      </c>
      <c r="G451" s="25" t="str">
        <f t="shared" si="239"/>
        <v>…</v>
      </c>
      <c r="H451" s="25" t="str">
        <f t="shared" si="239"/>
        <v>…</v>
      </c>
      <c r="I451" s="25" t="str">
        <f t="shared" si="239"/>
        <v>…</v>
      </c>
      <c r="J451" s="25" t="str">
        <f t="shared" si="239"/>
        <v>…</v>
      </c>
      <c r="K451" s="25" t="str">
        <f t="shared" si="239"/>
        <v>…</v>
      </c>
      <c r="L451" s="25" t="str">
        <f t="shared" si="239"/>
        <v>…</v>
      </c>
      <c r="M451" s="25" t="str">
        <f t="shared" si="239"/>
        <v>…</v>
      </c>
      <c r="N451" s="25" t="str">
        <f t="shared" si="239"/>
        <v>…</v>
      </c>
      <c r="O451" s="25" t="str">
        <f t="shared" si="239"/>
        <v>…</v>
      </c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4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25"/>
      <c r="AZ451" s="5"/>
      <c r="BJ451" s="24"/>
      <c r="BK451" s="22"/>
      <c r="BL451" s="23"/>
      <c r="BM451" s="22"/>
      <c r="BN451" s="22"/>
      <c r="BO451" s="22"/>
      <c r="BP451" s="22"/>
      <c r="BQ451" s="22"/>
      <c r="BR451" s="24"/>
      <c r="BT451" s="33"/>
    </row>
    <row r="452" spans="2:72" hidden="1" outlineLevel="1">
      <c r="B452" s="5" t="s">
        <v>273</v>
      </c>
      <c r="C452" s="43" t="s">
        <v>154</v>
      </c>
      <c r="D452" s="16" t="s">
        <v>289</v>
      </c>
      <c r="E452" s="16" t="s">
        <v>289</v>
      </c>
      <c r="F452" s="16" t="s">
        <v>289</v>
      </c>
      <c r="G452" s="16" t="s">
        <v>289</v>
      </c>
      <c r="H452" s="16" t="s">
        <v>289</v>
      </c>
      <c r="I452" s="16" t="s">
        <v>289</v>
      </c>
      <c r="J452" s="16" t="s">
        <v>289</v>
      </c>
      <c r="K452" s="16" t="s">
        <v>289</v>
      </c>
      <c r="L452" s="16" t="s">
        <v>289</v>
      </c>
      <c r="M452" s="16" t="s">
        <v>289</v>
      </c>
      <c r="N452" s="16" t="s">
        <v>289</v>
      </c>
      <c r="O452" s="16" t="s">
        <v>289</v>
      </c>
      <c r="P452" s="16" t="s">
        <v>289</v>
      </c>
      <c r="Q452" s="16" t="s">
        <v>289</v>
      </c>
      <c r="R452" s="16" t="s">
        <v>289</v>
      </c>
      <c r="S452" s="16" t="s">
        <v>289</v>
      </c>
      <c r="T452" s="16" t="s">
        <v>289</v>
      </c>
      <c r="U452" s="16" t="s">
        <v>289</v>
      </c>
      <c r="V452" s="16" t="s">
        <v>289</v>
      </c>
      <c r="W452" s="16"/>
      <c r="X452" s="16"/>
      <c r="Y452" s="16"/>
      <c r="Z452" s="16"/>
      <c r="AA452" s="16"/>
      <c r="AB452" s="25"/>
      <c r="AC452" s="25"/>
      <c r="AD452" s="24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16"/>
      <c r="AZ452" s="5"/>
      <c r="BJ452" s="24"/>
      <c r="BK452" s="22"/>
      <c r="BL452" s="23"/>
      <c r="BM452" s="22"/>
      <c r="BN452" s="22"/>
      <c r="BO452" s="22"/>
      <c r="BP452" s="22"/>
      <c r="BQ452" s="22"/>
      <c r="BR452" s="24"/>
      <c r="BT452" s="33"/>
    </row>
    <row r="453" spans="2:72" hidden="1" outlineLevel="1">
      <c r="B453" s="38"/>
      <c r="C453" s="5" t="s">
        <v>274</v>
      </c>
      <c r="D453" s="25" t="str">
        <f t="shared" ref="D453:O453" si="240">IFERROR(D454/1,"…")</f>
        <v>…</v>
      </c>
      <c r="E453" s="25" t="str">
        <f t="shared" si="240"/>
        <v>…</v>
      </c>
      <c r="F453" s="25" t="str">
        <f t="shared" si="240"/>
        <v>…</v>
      </c>
      <c r="G453" s="25" t="str">
        <f t="shared" si="240"/>
        <v>…</v>
      </c>
      <c r="H453" s="25" t="str">
        <f t="shared" si="240"/>
        <v>…</v>
      </c>
      <c r="I453" s="25" t="str">
        <f t="shared" si="240"/>
        <v>…</v>
      </c>
      <c r="J453" s="25" t="str">
        <f t="shared" si="240"/>
        <v>…</v>
      </c>
      <c r="K453" s="25" t="str">
        <f t="shared" si="240"/>
        <v>…</v>
      </c>
      <c r="L453" s="25" t="str">
        <f t="shared" si="240"/>
        <v>…</v>
      </c>
      <c r="M453" s="25" t="str">
        <f t="shared" si="240"/>
        <v>…</v>
      </c>
      <c r="N453" s="25" t="str">
        <f t="shared" si="240"/>
        <v>…</v>
      </c>
      <c r="O453" s="25" t="str">
        <f t="shared" si="240"/>
        <v>…</v>
      </c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4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25"/>
      <c r="AZ453" s="5"/>
      <c r="BJ453" s="24"/>
      <c r="BK453" s="22"/>
      <c r="BL453" s="23"/>
      <c r="BM453" s="22"/>
      <c r="BN453" s="22"/>
      <c r="BO453" s="22"/>
      <c r="BP453" s="22"/>
      <c r="BQ453" s="22"/>
      <c r="BR453" s="24"/>
      <c r="BT453" s="33"/>
    </row>
    <row r="454" spans="2:72" hidden="1" outlineLevel="1">
      <c r="B454" s="5" t="s">
        <v>275</v>
      </c>
      <c r="C454" s="43" t="s">
        <v>154</v>
      </c>
      <c r="D454" s="16" t="s">
        <v>289</v>
      </c>
      <c r="E454" s="16" t="s">
        <v>289</v>
      </c>
      <c r="F454" s="16" t="s">
        <v>289</v>
      </c>
      <c r="G454" s="16" t="s">
        <v>289</v>
      </c>
      <c r="H454" s="16" t="s">
        <v>289</v>
      </c>
      <c r="I454" s="16" t="s">
        <v>289</v>
      </c>
      <c r="J454" s="16" t="s">
        <v>289</v>
      </c>
      <c r="K454" s="16" t="s">
        <v>289</v>
      </c>
      <c r="L454" s="16" t="s">
        <v>289</v>
      </c>
      <c r="M454" s="16" t="s">
        <v>289</v>
      </c>
      <c r="N454" s="16" t="s">
        <v>289</v>
      </c>
      <c r="O454" s="16" t="s">
        <v>289</v>
      </c>
      <c r="P454" s="16" t="s">
        <v>289</v>
      </c>
      <c r="Q454" s="16" t="s">
        <v>289</v>
      </c>
      <c r="R454" s="16" t="s">
        <v>289</v>
      </c>
      <c r="S454" s="16" t="s">
        <v>289</v>
      </c>
      <c r="T454" s="16" t="s">
        <v>289</v>
      </c>
      <c r="U454" s="16" t="s">
        <v>289</v>
      </c>
      <c r="V454" s="16" t="s">
        <v>289</v>
      </c>
      <c r="W454" s="16"/>
      <c r="X454" s="16"/>
      <c r="Y454" s="16"/>
      <c r="Z454" s="16"/>
      <c r="AA454" s="16"/>
      <c r="AB454" s="25"/>
      <c r="AC454" s="25"/>
      <c r="AD454" s="24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16"/>
      <c r="AZ454" s="5"/>
      <c r="BJ454" s="24"/>
      <c r="BK454" s="22"/>
      <c r="BL454" s="23"/>
      <c r="BM454" s="22"/>
      <c r="BN454" s="22"/>
      <c r="BO454" s="22"/>
      <c r="BP454" s="22"/>
      <c r="BQ454" s="22"/>
      <c r="BR454" s="24"/>
    </row>
    <row r="455" spans="2:72" hidden="1" outlineLevel="1">
      <c r="C455" s="5" t="s">
        <v>270</v>
      </c>
      <c r="D455" s="25">
        <f t="shared" ref="D455:O455" si="241">IFERROR(D456/1,"…")</f>
        <v>0</v>
      </c>
      <c r="E455" s="25">
        <f t="shared" si="241"/>
        <v>0</v>
      </c>
      <c r="F455" s="25">
        <f t="shared" si="241"/>
        <v>0</v>
      </c>
      <c r="G455" s="25">
        <f t="shared" si="241"/>
        <v>0</v>
      </c>
      <c r="H455" s="25">
        <f t="shared" si="241"/>
        <v>0</v>
      </c>
      <c r="I455" s="25">
        <f t="shared" si="241"/>
        <v>0</v>
      </c>
      <c r="J455" s="25">
        <f t="shared" si="241"/>
        <v>0</v>
      </c>
      <c r="K455" s="25">
        <f t="shared" si="241"/>
        <v>0</v>
      </c>
      <c r="L455" s="25">
        <f t="shared" si="241"/>
        <v>0</v>
      </c>
      <c r="M455" s="25">
        <f t="shared" si="241"/>
        <v>0</v>
      </c>
      <c r="N455" s="25">
        <f t="shared" si="241"/>
        <v>0</v>
      </c>
      <c r="O455" s="25">
        <f t="shared" si="241"/>
        <v>0</v>
      </c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4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25"/>
      <c r="AZ455" s="5"/>
      <c r="BJ455" s="24"/>
      <c r="BK455" s="22"/>
      <c r="BL455" s="23"/>
      <c r="BM455" s="22"/>
      <c r="BN455" s="22"/>
      <c r="BO455" s="22"/>
      <c r="BP455" s="22"/>
      <c r="BQ455" s="22"/>
      <c r="BR455" s="24"/>
    </row>
    <row r="456" spans="2:72" hidden="1" outlineLevel="1">
      <c r="C456" s="43" t="s">
        <v>154</v>
      </c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25"/>
      <c r="AC456" s="25"/>
      <c r="AD456" s="24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16"/>
      <c r="AZ456" s="5"/>
      <c r="BK456" s="22"/>
      <c r="BL456" s="23"/>
      <c r="BM456" s="22"/>
      <c r="BN456" s="22"/>
      <c r="BO456" s="22"/>
      <c r="BP456" s="22"/>
      <c r="BQ456" s="22"/>
      <c r="BR456" s="24"/>
    </row>
    <row r="457" spans="2:72" hidden="1" outlineLevel="1">
      <c r="B457" s="5" t="s">
        <v>1745</v>
      </c>
      <c r="C457" s="43" t="s">
        <v>1745</v>
      </c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25" t="s">
        <v>289</v>
      </c>
      <c r="Q457" s="25" t="s">
        <v>289</v>
      </c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4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25"/>
      <c r="AZ457" s="5"/>
      <c r="BJ457" s="24"/>
      <c r="BK457" s="22"/>
      <c r="BL457" s="23"/>
      <c r="BM457" s="22"/>
      <c r="BN457" s="22"/>
      <c r="BO457" s="22"/>
      <c r="BP457" s="22"/>
      <c r="BQ457" s="22"/>
      <c r="BR457" s="24"/>
      <c r="BT457" s="33"/>
    </row>
    <row r="458" spans="2:72" hidden="1" outlineLevel="1">
      <c r="C458" s="43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4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25"/>
      <c r="AZ458" s="5"/>
      <c r="BJ458" s="24"/>
      <c r="BK458" s="22"/>
      <c r="BL458" s="23"/>
      <c r="BM458" s="22"/>
      <c r="BN458" s="22"/>
      <c r="BO458" s="22"/>
      <c r="BP458" s="22"/>
      <c r="BQ458" s="22"/>
      <c r="BR458" s="24"/>
      <c r="BT458" s="33"/>
    </row>
    <row r="459" spans="2:72" collapsed="1">
      <c r="C459" s="43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4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25"/>
      <c r="AZ459" s="5"/>
      <c r="BJ459" s="24"/>
      <c r="BK459" s="22"/>
      <c r="BL459" s="23"/>
      <c r="BM459" s="22"/>
      <c r="BN459" s="22"/>
      <c r="BO459" s="22"/>
      <c r="BP459" s="22"/>
      <c r="BQ459" s="22"/>
      <c r="BR459" s="24"/>
      <c r="BT459" s="33"/>
    </row>
    <row r="463" spans="2:72">
      <c r="C463" s="43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4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25"/>
      <c r="AZ463" s="5"/>
      <c r="BJ463" s="24"/>
      <c r="BK463" s="22"/>
      <c r="BL463" s="23"/>
      <c r="BM463" s="22"/>
      <c r="BN463" s="22"/>
      <c r="BO463" s="22"/>
      <c r="BP463" s="22"/>
      <c r="BQ463" s="22"/>
      <c r="BR463" s="24"/>
      <c r="BT463" s="33"/>
    </row>
    <row r="464" spans="2:72">
      <c r="C464" s="43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4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25"/>
      <c r="AZ464" s="5"/>
      <c r="BJ464" s="24"/>
      <c r="BK464" s="22"/>
      <c r="BL464" s="23"/>
      <c r="BM464" s="22"/>
      <c r="BN464" s="22"/>
      <c r="BO464" s="22"/>
      <c r="BP464" s="22"/>
      <c r="BQ464" s="22"/>
      <c r="BR464" s="24"/>
      <c r="BT464" s="33"/>
    </row>
    <row r="465" spans="2:72" ht="13.15">
      <c r="C465" s="9" t="s">
        <v>1999</v>
      </c>
      <c r="D465" s="25" t="str">
        <f t="shared" ref="D465:Y465" si="242">IF(ISNUMBER(D467),D467,IF(ISNUMBER(D466),D466,IF(ISNUMBER(D468),D468,"…")))</f>
        <v>…</v>
      </c>
      <c r="E465" s="25" t="str">
        <f t="shared" si="242"/>
        <v>…</v>
      </c>
      <c r="F465" s="25" t="str">
        <f t="shared" si="242"/>
        <v>…</v>
      </c>
      <c r="G465" s="25" t="str">
        <f t="shared" si="242"/>
        <v>…</v>
      </c>
      <c r="H465" s="25" t="str">
        <f t="shared" si="242"/>
        <v>…</v>
      </c>
      <c r="I465" s="25" t="str">
        <f t="shared" si="242"/>
        <v>…</v>
      </c>
      <c r="J465" s="25" t="str">
        <f t="shared" si="242"/>
        <v>…</v>
      </c>
      <c r="K465" s="25" t="str">
        <f t="shared" si="242"/>
        <v>…</v>
      </c>
      <c r="L465" s="25">
        <f t="shared" si="242"/>
        <v>431.45600000000002</v>
      </c>
      <c r="M465" s="25">
        <f t="shared" si="242"/>
        <v>479.29399999999998</v>
      </c>
      <c r="N465" s="25">
        <f t="shared" si="242"/>
        <v>540.83299999999997</v>
      </c>
      <c r="O465" s="25">
        <f t="shared" si="242"/>
        <v>561.58199999999999</v>
      </c>
      <c r="P465" s="25">
        <f t="shared" si="242"/>
        <v>613.63499999999999</v>
      </c>
      <c r="Q465" s="25">
        <f t="shared" si="242"/>
        <v>657.11900000000003</v>
      </c>
      <c r="R465" s="25">
        <f t="shared" si="242"/>
        <v>643.03800000000001</v>
      </c>
      <c r="S465" s="25">
        <f t="shared" si="242"/>
        <v>699.21100000000001</v>
      </c>
      <c r="T465" s="25">
        <f t="shared" si="242"/>
        <v>707.38499999999999</v>
      </c>
      <c r="U465" s="25">
        <f t="shared" si="242"/>
        <v>768.10400000000004</v>
      </c>
      <c r="V465" s="25" t="str">
        <f t="shared" si="242"/>
        <v>…</v>
      </c>
      <c r="W465" s="25" t="str">
        <f t="shared" si="242"/>
        <v>…</v>
      </c>
      <c r="X465" s="25" t="str">
        <f t="shared" si="242"/>
        <v>…</v>
      </c>
      <c r="Y465" s="25" t="str">
        <f t="shared" si="242"/>
        <v>…</v>
      </c>
      <c r="Z465" s="25"/>
      <c r="AA465" s="25"/>
      <c r="AB465" s="25"/>
      <c r="AC465" s="25"/>
      <c r="AD465" s="24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25"/>
      <c r="AZ465" s="5"/>
      <c r="BJ465" s="24"/>
      <c r="BK465" s="22"/>
      <c r="BL465" s="23"/>
      <c r="BM465" s="22"/>
      <c r="BN465" s="22"/>
      <c r="BO465" s="22"/>
      <c r="BP465" s="22"/>
      <c r="BQ465" s="22"/>
      <c r="BR465" s="24"/>
      <c r="BT465" s="33"/>
    </row>
    <row r="466" spans="2:72">
      <c r="B466" s="5" t="s">
        <v>1784</v>
      </c>
      <c r="C466" s="43" t="s">
        <v>154</v>
      </c>
      <c r="D466" s="16" t="s">
        <v>289</v>
      </c>
      <c r="E466" s="16" t="s">
        <v>289</v>
      </c>
      <c r="F466" s="16" t="s">
        <v>289</v>
      </c>
      <c r="G466" s="16" t="s">
        <v>289</v>
      </c>
      <c r="H466" s="16" t="s">
        <v>289</v>
      </c>
      <c r="I466" s="16" t="s">
        <v>289</v>
      </c>
      <c r="J466" s="16" t="s">
        <v>289</v>
      </c>
      <c r="K466" s="16" t="s">
        <v>289</v>
      </c>
      <c r="L466" s="16">
        <v>431.45600000000002</v>
      </c>
      <c r="M466" s="16">
        <v>479.29399999999998</v>
      </c>
      <c r="N466" s="16">
        <v>540.83299999999997</v>
      </c>
      <c r="O466" s="16">
        <v>561.58199999999999</v>
      </c>
      <c r="P466" s="20">
        <v>613.63499999999999</v>
      </c>
      <c r="Q466" s="20">
        <v>657.11900000000003</v>
      </c>
      <c r="R466" s="20">
        <v>643.03800000000001</v>
      </c>
      <c r="S466" s="20">
        <v>699.21100000000001</v>
      </c>
      <c r="T466" s="20">
        <v>707.38499999999999</v>
      </c>
      <c r="U466" s="20">
        <v>768.10400000000004</v>
      </c>
      <c r="V466" s="20" t="s">
        <v>289</v>
      </c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Z466" s="5"/>
    </row>
    <row r="467" spans="2:72">
      <c r="C467" s="43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4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25"/>
      <c r="AZ467" s="5"/>
      <c r="BJ467" s="24"/>
      <c r="BK467" s="22"/>
      <c r="BL467" s="23"/>
      <c r="BM467" s="22"/>
      <c r="BN467" s="22"/>
      <c r="BO467" s="22"/>
      <c r="BP467" s="22"/>
      <c r="BQ467" s="22"/>
      <c r="BR467" s="24"/>
      <c r="BT467" s="33"/>
    </row>
    <row r="468" spans="2:72">
      <c r="C468" s="43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4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25"/>
      <c r="AZ468" s="5"/>
      <c r="BJ468" s="24"/>
      <c r="BK468" s="22"/>
      <c r="BL468" s="23"/>
      <c r="BM468" s="22"/>
      <c r="BN468" s="22"/>
      <c r="BO468" s="22"/>
      <c r="BP468" s="22"/>
      <c r="BQ468" s="22"/>
      <c r="BR468" s="24"/>
      <c r="BT468" s="33"/>
    </row>
    <row r="469" spans="2:72">
      <c r="C469" s="43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4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25"/>
      <c r="AZ469" s="5"/>
      <c r="BJ469" s="24"/>
      <c r="BK469" s="22"/>
      <c r="BL469" s="23"/>
      <c r="BM469" s="22"/>
      <c r="BN469" s="22"/>
      <c r="BO469" s="22"/>
      <c r="BP469" s="22"/>
      <c r="BQ469" s="22"/>
      <c r="BR469" s="24"/>
      <c r="BT469" s="33"/>
    </row>
    <row r="470" spans="2:72">
      <c r="C470" s="43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4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25"/>
      <c r="AZ470" s="5"/>
      <c r="BK470" s="22"/>
      <c r="BL470" s="23"/>
      <c r="BM470" s="22"/>
      <c r="BN470" s="22"/>
      <c r="BO470" s="22"/>
      <c r="BP470" s="22"/>
      <c r="BQ470" s="22"/>
      <c r="BR470" s="24"/>
    </row>
    <row r="471" spans="2:72">
      <c r="C471" s="5" t="s">
        <v>2142</v>
      </c>
      <c r="D471" s="103" t="str">
        <f>IF(C$8="A",IF(C474="…","calc.",IFERROR(1/(1/(C474)),IF(C$8="E",IFERROR(1/(1/(MIN(R24))),"…"),"…"))),"...")</f>
        <v>...</v>
      </c>
      <c r="E471" s="103" t="str">
        <f t="shared" ref="E471:M471" ca="1" si="243">IF(D$8="A",IF(D474="…","calc.",IFERROR(1/(1/(D474)),IF(D$8="E",IFERROR(1/(1/(MIN(AC24))),"…"),"…"))),"...")</f>
        <v>...</v>
      </c>
      <c r="F471" s="103" t="str">
        <f t="shared" ca="1" si="243"/>
        <v>...</v>
      </c>
      <c r="G471" s="103" t="str">
        <f t="shared" ca="1" si="243"/>
        <v>...</v>
      </c>
      <c r="H471" s="103" t="str">
        <f t="shared" ca="1" si="243"/>
        <v>...</v>
      </c>
      <c r="I471" s="103" t="str">
        <f t="shared" ca="1" si="243"/>
        <v>...</v>
      </c>
      <c r="J471" s="103" t="str">
        <f t="shared" ca="1" si="243"/>
        <v>...</v>
      </c>
      <c r="K471" s="103" t="str">
        <f t="shared" ca="1" si="243"/>
        <v>...</v>
      </c>
      <c r="L471" s="103" t="str">
        <f t="shared" ca="1" si="243"/>
        <v>...</v>
      </c>
      <c r="M471" s="103" t="str">
        <f t="shared" ca="1" si="243"/>
        <v>...</v>
      </c>
      <c r="N471" s="103">
        <f>IF(M$8="A",IF(M474="…","calc.",IFERROR(1/(1/(M474)),IF(M$8="E",IFERROR(1/(1/(MIN(AK24))),"…"),"…"))),"...")</f>
        <v>203.518</v>
      </c>
      <c r="O471" s="103">
        <f t="shared" ref="O471:V471" si="244">IF(N$8="A",IF(N474="…","calc.",IFERROR(1/(1/(N474)),"...")),IF(N$8="E",IFERROR(1/(1/(MIN(AL24))),"…"),"..."))</f>
        <v>375.94200000000001</v>
      </c>
      <c r="P471" s="103">
        <f t="shared" si="244"/>
        <v>2077.6370000000002</v>
      </c>
      <c r="Q471" s="103">
        <f t="shared" si="244"/>
        <v>1390.2570000000001</v>
      </c>
      <c r="R471" s="103">
        <f t="shared" si="244"/>
        <v>1158.4749999999999</v>
      </c>
      <c r="S471" s="103">
        <f t="shared" si="244"/>
        <v>1133.5029999999999</v>
      </c>
      <c r="T471" s="103">
        <f t="shared" si="244"/>
        <v>1191.7909999999999</v>
      </c>
      <c r="U471" s="103">
        <f t="shared" si="244"/>
        <v>1362.3389999999999</v>
      </c>
      <c r="V471" s="103">
        <f t="shared" si="244"/>
        <v>1342.075</v>
      </c>
      <c r="W471" s="103" t="str">
        <f>IF(V$8="A",IF(V474="…","calc.",IFERROR(1/(1/(V474)),"...")),IF(V$8="E",IFERROR(1/(1/(MIN(AX24))),"…"),"..."))</f>
        <v>…</v>
      </c>
      <c r="X471" s="103" t="str">
        <f>IF(W$8="A",IF(W474="…","calc.",IFERROR(1/(1/(W474)),"...")),IF(W$8="E",IFERROR(1/(1/(MIN(AY24))),"…"),"..."))</f>
        <v>…</v>
      </c>
      <c r="Y471" s="103" t="str">
        <f>IF(X$8="A",IF(X474="…","calc.",IFERROR(1/(1/(X474)),"...")),IF(X$8="E",IFERROR(1/(1/(MIN(AZ24))),"…"),"..."))</f>
        <v>…</v>
      </c>
      <c r="Z471" s="103"/>
      <c r="AA471" s="103"/>
      <c r="AB471" s="25"/>
      <c r="AC471" s="25"/>
      <c r="AD471" s="24"/>
      <c r="AE471" s="5" t="s">
        <v>2143</v>
      </c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103"/>
      <c r="AZ471" s="5"/>
      <c r="BK471" s="22"/>
      <c r="BL471" s="23"/>
      <c r="BM471" s="22"/>
      <c r="BN471" s="22"/>
      <c r="BO471" s="22"/>
      <c r="BP471" s="22"/>
      <c r="BQ471" s="22"/>
      <c r="BR471" s="24"/>
    </row>
    <row r="472" spans="2:72"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  <c r="AA472" s="103"/>
      <c r="AB472" s="25"/>
      <c r="AC472" s="25"/>
      <c r="AD472" s="24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103"/>
      <c r="AZ472" s="5"/>
      <c r="BK472" s="22"/>
      <c r="BL472" s="23"/>
      <c r="BM472" s="22"/>
      <c r="BN472" s="22"/>
      <c r="BO472" s="22"/>
      <c r="BP472" s="22"/>
      <c r="BQ472" s="22"/>
      <c r="BR472" s="24"/>
    </row>
    <row r="473" spans="2:72">
      <c r="AB473" s="25"/>
      <c r="AC473" s="25"/>
      <c r="AD473" s="24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Z473" s="5"/>
      <c r="BK473" s="22"/>
      <c r="BL473" s="23"/>
      <c r="BM473" s="22"/>
      <c r="BN473" s="22"/>
      <c r="BO473" s="22"/>
      <c r="BP473" s="22"/>
      <c r="BQ473" s="22"/>
      <c r="BR473" s="24"/>
    </row>
    <row r="474" spans="2:72" ht="13.15">
      <c r="B474" s="5" t="s">
        <v>8</v>
      </c>
      <c r="C474" s="9" t="s">
        <v>8</v>
      </c>
      <c r="D474" s="99" t="s">
        <v>289</v>
      </c>
      <c r="E474" s="99" t="s">
        <v>289</v>
      </c>
      <c r="F474" s="99" t="s">
        <v>289</v>
      </c>
      <c r="G474" s="99" t="s">
        <v>289</v>
      </c>
      <c r="H474" s="99" t="s">
        <v>289</v>
      </c>
      <c r="I474" s="99" t="s">
        <v>289</v>
      </c>
      <c r="J474" s="99" t="s">
        <v>289</v>
      </c>
      <c r="K474" s="99" t="s">
        <v>289</v>
      </c>
      <c r="L474" s="99" t="s">
        <v>289</v>
      </c>
      <c r="M474" s="99">
        <v>203.518</v>
      </c>
      <c r="N474" s="99">
        <v>375.94200000000001</v>
      </c>
      <c r="O474" s="99">
        <v>2077.6370000000002</v>
      </c>
      <c r="P474" s="99">
        <v>1390.2570000000001</v>
      </c>
      <c r="Q474" s="99">
        <v>1158.4749999999999</v>
      </c>
      <c r="R474" s="99">
        <v>1133.5029999999999</v>
      </c>
      <c r="S474" s="99">
        <v>1191.7909999999999</v>
      </c>
      <c r="T474" s="99">
        <v>1362.3389999999999</v>
      </c>
      <c r="U474" s="99">
        <v>1342.075</v>
      </c>
      <c r="V474" s="99" t="s">
        <v>289</v>
      </c>
      <c r="W474" s="99"/>
      <c r="X474" s="99"/>
      <c r="Y474" s="99"/>
      <c r="Z474" s="99"/>
      <c r="AA474" s="99"/>
      <c r="AB474" s="25"/>
      <c r="AC474" s="25"/>
      <c r="AD474" s="24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99"/>
      <c r="AZ474" s="5"/>
      <c r="BK474" s="22"/>
      <c r="BL474" s="23"/>
      <c r="BM474" s="22"/>
      <c r="BN474" s="22"/>
      <c r="BO474" s="22"/>
      <c r="BP474" s="22"/>
      <c r="BQ474" s="22"/>
      <c r="BR474" s="24"/>
    </row>
    <row r="475" spans="2:72" ht="13.15">
      <c r="C475" s="9"/>
      <c r="AD475" s="24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Z475" s="5"/>
      <c r="BK475" s="22"/>
      <c r="BL475" s="23"/>
      <c r="BM475" s="22"/>
      <c r="BN475" s="22"/>
      <c r="BO475" s="22"/>
      <c r="BP475" s="22"/>
      <c r="BQ475" s="22"/>
      <c r="BR475" s="24"/>
    </row>
    <row r="476" spans="2:72" ht="13.15">
      <c r="C476" s="9" t="s">
        <v>332</v>
      </c>
      <c r="D476" s="39" t="str">
        <f t="shared" ref="D476:V476" si="245">IFERROR(D394/D315,"…")</f>
        <v>…</v>
      </c>
      <c r="E476" s="39" t="str">
        <f t="shared" si="245"/>
        <v>…</v>
      </c>
      <c r="F476" s="39" t="str">
        <f t="shared" si="245"/>
        <v>…</v>
      </c>
      <c r="G476" s="39" t="str">
        <f t="shared" si="245"/>
        <v>…</v>
      </c>
      <c r="H476" s="39" t="str">
        <f t="shared" si="245"/>
        <v>…</v>
      </c>
      <c r="I476" s="39" t="str">
        <f t="shared" si="245"/>
        <v>…</v>
      </c>
      <c r="J476" s="39" t="str">
        <f t="shared" si="245"/>
        <v>…</v>
      </c>
      <c r="K476" s="39" t="str">
        <f t="shared" si="245"/>
        <v>…</v>
      </c>
      <c r="L476" s="39" t="str">
        <f t="shared" si="245"/>
        <v>…</v>
      </c>
      <c r="M476" s="39">
        <f t="shared" si="245"/>
        <v>4.8724986832357715E-2</v>
      </c>
      <c r="N476" s="39">
        <f t="shared" si="245"/>
        <v>4.8609884301828866E-2</v>
      </c>
      <c r="O476" s="39">
        <f t="shared" si="245"/>
        <v>6.403398738612473E-2</v>
      </c>
      <c r="P476" s="39">
        <f t="shared" si="245"/>
        <v>0.14743446054750403</v>
      </c>
      <c r="Q476" s="39">
        <f t="shared" si="245"/>
        <v>0.18955399473222126</v>
      </c>
      <c r="R476" s="39">
        <f t="shared" si="245"/>
        <v>0.23206549707602339</v>
      </c>
      <c r="S476" s="39">
        <f t="shared" si="245"/>
        <v>0.23843494423791822</v>
      </c>
      <c r="T476" s="39">
        <f t="shared" si="245"/>
        <v>0.39375895953757223</v>
      </c>
      <c r="U476" s="39">
        <f t="shared" si="245"/>
        <v>0.3147145867478342</v>
      </c>
      <c r="V476" s="39" t="str">
        <f t="shared" si="245"/>
        <v>…</v>
      </c>
      <c r="W476" s="39" t="str">
        <f>IFERROR(W394/W315,"…")</f>
        <v>…</v>
      </c>
      <c r="X476" s="39" t="str">
        <f>IFERROR(X394/X315,"…")</f>
        <v>…</v>
      </c>
      <c r="Y476" s="39" t="str">
        <f>IFERROR(Y394/Y315,"…")</f>
        <v>…</v>
      </c>
      <c r="Z476" s="39"/>
      <c r="AA476" s="39"/>
      <c r="AD476" s="24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39"/>
      <c r="AZ476" s="5"/>
    </row>
    <row r="477" spans="2:72"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Z477" s="5"/>
      <c r="BK477" s="22"/>
      <c r="BL477" s="23"/>
      <c r="BM477" s="22"/>
      <c r="BN477" s="22"/>
      <c r="BO477" s="22"/>
      <c r="BP477" s="22"/>
      <c r="BQ477" s="22"/>
      <c r="BR477" s="24"/>
    </row>
    <row r="478" spans="2:72" ht="13.15">
      <c r="C478" s="9" t="s">
        <v>279</v>
      </c>
      <c r="D478" s="49" t="str">
        <f t="shared" ref="D478:Y478" si="246">IF(ISNUMBER(D480),D480,IF(ISNUMBER(D479),D479,"…"))</f>
        <v>…</v>
      </c>
      <c r="E478" s="49" t="str">
        <f t="shared" si="246"/>
        <v>…</v>
      </c>
      <c r="F478" s="49" t="str">
        <f t="shared" si="246"/>
        <v>…</v>
      </c>
      <c r="G478" s="49" t="str">
        <f t="shared" si="246"/>
        <v>…</v>
      </c>
      <c r="H478" s="49" t="str">
        <f t="shared" si="246"/>
        <v>…</v>
      </c>
      <c r="I478" s="49" t="str">
        <f t="shared" si="246"/>
        <v>…</v>
      </c>
      <c r="J478" s="49" t="str">
        <f t="shared" si="246"/>
        <v>…</v>
      </c>
      <c r="K478" s="49" t="str">
        <f t="shared" si="246"/>
        <v>…</v>
      </c>
      <c r="L478" s="49">
        <f t="shared" si="246"/>
        <v>-161.38</v>
      </c>
      <c r="M478" s="49">
        <f>IF(ISNUMBER(M480),M480,IF(ISNUMBER(M479),M479,"…"))</f>
        <v>-161.65299999999999</v>
      </c>
      <c r="N478" s="49">
        <f t="shared" si="246"/>
        <v>-169.363</v>
      </c>
      <c r="O478" s="49">
        <f t="shared" si="246"/>
        <v>-184.91</v>
      </c>
      <c r="P478" s="49">
        <f t="shared" si="246"/>
        <v>-175.64699999999999</v>
      </c>
      <c r="Q478" s="49">
        <f t="shared" si="246"/>
        <v>-188.904</v>
      </c>
      <c r="R478" s="49">
        <f t="shared" si="246"/>
        <v>-300.79399999999998</v>
      </c>
      <c r="S478" s="49">
        <f t="shared" si="246"/>
        <v>-352.154</v>
      </c>
      <c r="T478" s="49">
        <f t="shared" si="246"/>
        <v>-357.01799999999997</v>
      </c>
      <c r="U478" s="49">
        <f t="shared" si="246"/>
        <v>-352.31599999999997</v>
      </c>
      <c r="V478" s="49" t="str">
        <f t="shared" si="246"/>
        <v>…</v>
      </c>
      <c r="W478" s="49" t="str">
        <f t="shared" si="246"/>
        <v>…</v>
      </c>
      <c r="X478" s="49" t="str">
        <f t="shared" si="246"/>
        <v>…</v>
      </c>
      <c r="Y478" s="49" t="str">
        <f t="shared" si="246"/>
        <v>…</v>
      </c>
      <c r="Z478" s="49"/>
      <c r="AA478" s="49"/>
      <c r="AD478" s="24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49"/>
      <c r="AZ478" s="5"/>
    </row>
    <row r="479" spans="2:72">
      <c r="B479" s="5" t="s">
        <v>280</v>
      </c>
      <c r="C479" s="44" t="s">
        <v>154</v>
      </c>
      <c r="D479" s="99" t="s">
        <v>289</v>
      </c>
      <c r="E479" s="99" t="s">
        <v>289</v>
      </c>
      <c r="F479" s="99" t="s">
        <v>289</v>
      </c>
      <c r="G479" s="99" t="s">
        <v>289</v>
      </c>
      <c r="H479" s="99" t="s">
        <v>289</v>
      </c>
      <c r="I479" s="99" t="s">
        <v>289</v>
      </c>
      <c r="J479" s="99" t="s">
        <v>289</v>
      </c>
      <c r="K479" s="99" t="s">
        <v>289</v>
      </c>
      <c r="L479" s="99">
        <v>-161.38</v>
      </c>
      <c r="M479" s="99">
        <v>-161.65299999999999</v>
      </c>
      <c r="N479" s="99">
        <v>-169.363</v>
      </c>
      <c r="O479" s="99">
        <v>-184.91</v>
      </c>
      <c r="P479" s="99">
        <v>-175.64699999999999</v>
      </c>
      <c r="Q479" s="99">
        <v>-188.904</v>
      </c>
      <c r="R479" s="99">
        <v>-300.79399999999998</v>
      </c>
      <c r="S479" s="99">
        <v>-352.154</v>
      </c>
      <c r="T479" s="99">
        <v>-357.01799999999997</v>
      </c>
      <c r="U479" s="99">
        <v>-352.31599999999997</v>
      </c>
      <c r="V479" s="99" t="s">
        <v>289</v>
      </c>
      <c r="W479" s="99"/>
      <c r="X479" s="99"/>
      <c r="Y479" s="99"/>
      <c r="Z479" s="99"/>
      <c r="AA479" s="99"/>
      <c r="AD479" s="24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99"/>
      <c r="AZ479" s="5"/>
    </row>
    <row r="480" spans="2:72">
      <c r="B480" s="5" t="s">
        <v>281</v>
      </c>
      <c r="C480" s="44" t="s">
        <v>161</v>
      </c>
      <c r="D480" s="99" t="s">
        <v>289</v>
      </c>
      <c r="E480" s="99" t="s">
        <v>289</v>
      </c>
      <c r="F480" s="99" t="s">
        <v>289</v>
      </c>
      <c r="G480" s="99" t="s">
        <v>289</v>
      </c>
      <c r="H480" s="99" t="s">
        <v>289</v>
      </c>
      <c r="I480" s="99" t="s">
        <v>289</v>
      </c>
      <c r="J480" s="99" t="s">
        <v>289</v>
      </c>
      <c r="K480" s="99" t="s">
        <v>289</v>
      </c>
      <c r="L480" s="99" t="s">
        <v>289</v>
      </c>
      <c r="M480" s="99" t="s">
        <v>289</v>
      </c>
      <c r="N480" s="99" t="s">
        <v>289</v>
      </c>
      <c r="O480" s="99" t="s">
        <v>289</v>
      </c>
      <c r="P480" s="99" t="s">
        <v>289</v>
      </c>
      <c r="Q480" s="99" t="s">
        <v>289</v>
      </c>
      <c r="R480" s="99" t="s">
        <v>289</v>
      </c>
      <c r="S480" s="99" t="s">
        <v>289</v>
      </c>
      <c r="T480" s="99" t="s">
        <v>289</v>
      </c>
      <c r="U480" s="99" t="s">
        <v>289</v>
      </c>
      <c r="V480" s="99" t="s">
        <v>289</v>
      </c>
      <c r="W480" s="99"/>
      <c r="X480" s="99"/>
      <c r="Y480" s="99"/>
      <c r="Z480" s="99"/>
      <c r="AA480" s="99"/>
      <c r="AD480" s="24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99"/>
      <c r="AZ480" s="5"/>
    </row>
    <row r="481" spans="2:52" ht="13.15">
      <c r="C481" s="9"/>
      <c r="AD481" s="24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Z481" s="5"/>
    </row>
    <row r="482" spans="2:52" ht="13.15">
      <c r="C482" s="9"/>
      <c r="AD482" s="24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Z482" s="5"/>
    </row>
    <row r="483" spans="2:52" ht="13.15">
      <c r="C483" s="9" t="s">
        <v>282</v>
      </c>
      <c r="AD483" s="24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Z483" s="5"/>
    </row>
    <row r="484" spans="2:52" ht="13.15">
      <c r="C484" s="9"/>
      <c r="AD484" s="24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Z484" s="5"/>
    </row>
    <row r="485" spans="2:52" ht="13.15">
      <c r="C485" s="9" t="s">
        <v>1743</v>
      </c>
      <c r="N485" s="25"/>
      <c r="AD485" s="24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Z485" s="5"/>
    </row>
    <row r="486" spans="2:52">
      <c r="C486" s="38" t="s">
        <v>354</v>
      </c>
      <c r="D486" s="116" t="str">
        <f t="shared" ref="D486:V486" si="247">D363</f>
        <v>…</v>
      </c>
      <c r="E486" s="116" t="str">
        <f t="shared" si="247"/>
        <v>…</v>
      </c>
      <c r="F486" s="116" t="str">
        <f t="shared" si="247"/>
        <v>…</v>
      </c>
      <c r="G486" s="116" t="str">
        <f t="shared" si="247"/>
        <v>…</v>
      </c>
      <c r="H486" s="116" t="str">
        <f t="shared" si="247"/>
        <v>…</v>
      </c>
      <c r="I486" s="116" t="str">
        <f t="shared" si="247"/>
        <v>…</v>
      </c>
      <c r="J486" s="116" t="str">
        <f t="shared" si="247"/>
        <v>…</v>
      </c>
      <c r="K486" s="116" t="str">
        <f t="shared" si="247"/>
        <v>…</v>
      </c>
      <c r="L486" s="116" t="str">
        <f t="shared" si="247"/>
        <v>…</v>
      </c>
      <c r="M486" s="116">
        <f t="shared" si="247"/>
        <v>2218.8620000000001</v>
      </c>
      <c r="N486" s="116">
        <f t="shared" si="247"/>
        <v>2844.6550000000002</v>
      </c>
      <c r="O486" s="116">
        <f t="shared" si="247"/>
        <v>2019.8230000000001</v>
      </c>
      <c r="P486" s="116">
        <f t="shared" si="247"/>
        <v>1887.453</v>
      </c>
      <c r="Q486" s="116">
        <f t="shared" si="247"/>
        <v>2081.0770000000002</v>
      </c>
      <c r="R486" s="46">
        <f t="shared" si="247"/>
        <v>2477.326</v>
      </c>
      <c r="S486" s="46">
        <f t="shared" si="247"/>
        <v>2641.201</v>
      </c>
      <c r="T486" s="46">
        <f t="shared" si="247"/>
        <v>3075.8829999999998</v>
      </c>
      <c r="U486" s="46">
        <f t="shared" si="247"/>
        <v>3363.7190000000001</v>
      </c>
      <c r="V486" s="46" t="str">
        <f t="shared" si="247"/>
        <v>…</v>
      </c>
      <c r="W486" s="46" t="str">
        <f>W363</f>
        <v>…</v>
      </c>
      <c r="X486" s="46" t="str">
        <f>X363</f>
        <v>…</v>
      </c>
      <c r="Y486" s="46" t="str">
        <f>Y363</f>
        <v>…</v>
      </c>
      <c r="Z486" s="46"/>
      <c r="AA486" s="46"/>
      <c r="AD486" s="24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46"/>
      <c r="AZ486" s="5"/>
    </row>
    <row r="487" spans="2:52" ht="13.15">
      <c r="C487" s="9" t="s">
        <v>284</v>
      </c>
      <c r="D487" s="116" t="str">
        <f t="shared" ref="D487:Y487" si="248">D367</f>
        <v>…</v>
      </c>
      <c r="E487" s="116" t="str">
        <f t="shared" si="248"/>
        <v>…</v>
      </c>
      <c r="F487" s="116" t="str">
        <f t="shared" si="248"/>
        <v>…</v>
      </c>
      <c r="G487" s="116" t="str">
        <f t="shared" si="248"/>
        <v>…</v>
      </c>
      <c r="H487" s="116" t="str">
        <f t="shared" si="248"/>
        <v>…</v>
      </c>
      <c r="I487" s="116" t="str">
        <f t="shared" si="248"/>
        <v>…</v>
      </c>
      <c r="J487" s="116" t="str">
        <f t="shared" si="248"/>
        <v>…</v>
      </c>
      <c r="K487" s="116" t="str">
        <f t="shared" si="248"/>
        <v>…</v>
      </c>
      <c r="L487" s="116" t="str">
        <f t="shared" si="248"/>
        <v>…</v>
      </c>
      <c r="M487" s="116">
        <f t="shared" si="248"/>
        <v>567.81399999999996</v>
      </c>
      <c r="N487" s="116">
        <f t="shared" si="248"/>
        <v>585.18499999999995</v>
      </c>
      <c r="O487" s="116">
        <f t="shared" si="248"/>
        <v>626.13</v>
      </c>
      <c r="P487" s="116">
        <f t="shared" si="248"/>
        <v>669.28300000000002</v>
      </c>
      <c r="Q487" s="116">
        <f t="shared" si="248"/>
        <v>710.26</v>
      </c>
      <c r="R487" s="46">
        <f t="shared" si="248"/>
        <v>850.55</v>
      </c>
      <c r="S487" s="46">
        <f t="shared" si="248"/>
        <v>1069.652</v>
      </c>
      <c r="T487" s="46">
        <f t="shared" si="248"/>
        <v>1226.6300000000001</v>
      </c>
      <c r="U487" s="46">
        <f t="shared" si="248"/>
        <v>1353.165</v>
      </c>
      <c r="V487" s="46" t="str">
        <f t="shared" si="248"/>
        <v>…</v>
      </c>
      <c r="W487" s="46" t="str">
        <f t="shared" si="248"/>
        <v>…</v>
      </c>
      <c r="X487" s="46" t="str">
        <f t="shared" si="248"/>
        <v>…</v>
      </c>
      <c r="Y487" s="46" t="str">
        <f t="shared" si="248"/>
        <v>…</v>
      </c>
      <c r="Z487" s="46"/>
      <c r="AA487" s="46"/>
      <c r="AD487" s="24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46"/>
      <c r="AZ487" s="5"/>
    </row>
    <row r="488" spans="2:52" ht="13.15">
      <c r="C488" s="9" t="s">
        <v>283</v>
      </c>
      <c r="D488" s="116">
        <f t="shared" ref="D488:Y488" si="249">D433</f>
        <v>0</v>
      </c>
      <c r="E488" s="116">
        <f t="shared" si="249"/>
        <v>0</v>
      </c>
      <c r="F488" s="116">
        <f t="shared" si="249"/>
        <v>0</v>
      </c>
      <c r="G488" s="116">
        <f t="shared" si="249"/>
        <v>0</v>
      </c>
      <c r="H488" s="116">
        <f t="shared" si="249"/>
        <v>0</v>
      </c>
      <c r="I488" s="116">
        <f t="shared" si="249"/>
        <v>0</v>
      </c>
      <c r="J488" s="116">
        <f t="shared" si="249"/>
        <v>0</v>
      </c>
      <c r="K488" s="116">
        <f t="shared" si="249"/>
        <v>0</v>
      </c>
      <c r="L488" s="116">
        <f t="shared" si="249"/>
        <v>0</v>
      </c>
      <c r="M488" s="116">
        <f t="shared" si="249"/>
        <v>37.911000000000001</v>
      </c>
      <c r="N488" s="116">
        <f>N433</f>
        <v>47.430999999999997</v>
      </c>
      <c r="O488" s="116">
        <f t="shared" si="249"/>
        <v>11.836</v>
      </c>
      <c r="P488" s="116">
        <f t="shared" si="249"/>
        <v>33.935000000000002</v>
      </c>
      <c r="Q488" s="116">
        <f t="shared" si="249"/>
        <v>30.038</v>
      </c>
      <c r="R488" s="46">
        <f t="shared" si="249"/>
        <v>32.134</v>
      </c>
      <c r="S488" s="46">
        <f t="shared" si="249"/>
        <v>38.716000000000001</v>
      </c>
      <c r="T488" s="46">
        <f t="shared" si="249"/>
        <v>42.841000000000001</v>
      </c>
      <c r="U488" s="46">
        <f t="shared" si="249"/>
        <v>54.509</v>
      </c>
      <c r="V488" s="46">
        <f t="shared" si="249"/>
        <v>0</v>
      </c>
      <c r="W488" s="46">
        <f t="shared" si="249"/>
        <v>0</v>
      </c>
      <c r="X488" s="46">
        <f t="shared" si="249"/>
        <v>0</v>
      </c>
      <c r="Y488" s="46">
        <f t="shared" si="249"/>
        <v>0</v>
      </c>
      <c r="Z488" s="46"/>
      <c r="AA488" s="46"/>
      <c r="AD488" s="24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46"/>
      <c r="AZ488" s="5"/>
    </row>
    <row r="489" spans="2:52" ht="13.15">
      <c r="C489" s="9" t="s">
        <v>285</v>
      </c>
      <c r="D489" s="116" t="str">
        <f t="shared" ref="D489:P489" si="250">IF(D11="no","…",SUM(D375,D390,D399,D409,D412,D417,D420,D423,D450))</f>
        <v>…</v>
      </c>
      <c r="E489" s="116" t="str">
        <f t="shared" si="250"/>
        <v>…</v>
      </c>
      <c r="F489" s="116" t="str">
        <f t="shared" si="250"/>
        <v>…</v>
      </c>
      <c r="G489" s="116" t="str">
        <f t="shared" si="250"/>
        <v>…</v>
      </c>
      <c r="H489" s="116" t="str">
        <f t="shared" si="250"/>
        <v>…</v>
      </c>
      <c r="I489" s="116" t="str">
        <f t="shared" si="250"/>
        <v>…</v>
      </c>
      <c r="J489" s="116" t="str">
        <f t="shared" si="250"/>
        <v>…</v>
      </c>
      <c r="K489" s="116" t="str">
        <f t="shared" si="250"/>
        <v>…</v>
      </c>
      <c r="L489" s="116" t="str">
        <f t="shared" si="250"/>
        <v>…</v>
      </c>
      <c r="M489" s="116">
        <f t="shared" si="250"/>
        <v>1070.8879999999999</v>
      </c>
      <c r="N489" s="116">
        <f t="shared" si="250"/>
        <v>1164.1559999999999</v>
      </c>
      <c r="O489" s="116">
        <f t="shared" si="250"/>
        <v>1217.6100000000001</v>
      </c>
      <c r="P489" s="116">
        <f t="shared" si="250"/>
        <v>1258.933</v>
      </c>
      <c r="Q489" s="116">
        <f t="shared" ref="Q489:Y489" si="251">IF(Q11="no","…",SUM(Q375,Q390,Q399,Q409,Q412,Q417,Q420,Q423,Q450,-Q488))</f>
        <v>1289.6909999999998</v>
      </c>
      <c r="R489" s="46">
        <f t="shared" si="251"/>
        <v>1459.5889999999999</v>
      </c>
      <c r="S489" s="46">
        <f t="shared" si="251"/>
        <v>1658.087</v>
      </c>
      <c r="T489" s="46">
        <f t="shared" si="251"/>
        <v>1873.8520000000001</v>
      </c>
      <c r="U489" s="46">
        <f t="shared" si="251"/>
        <v>2037.6030000000001</v>
      </c>
      <c r="V489" s="46" t="str">
        <f t="shared" si="251"/>
        <v>…</v>
      </c>
      <c r="W489" s="46" t="str">
        <f t="shared" si="251"/>
        <v>…</v>
      </c>
      <c r="X489" s="46" t="str">
        <f t="shared" si="251"/>
        <v>…</v>
      </c>
      <c r="Y489" s="46" t="str">
        <f t="shared" si="251"/>
        <v>…</v>
      </c>
      <c r="Z489" s="46"/>
      <c r="AA489" s="46"/>
      <c r="AD489" s="24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46"/>
      <c r="AZ489" s="5"/>
    </row>
    <row r="490" spans="2:52" ht="13.15">
      <c r="C490" s="9" t="s">
        <v>220</v>
      </c>
      <c r="D490" s="116" t="str">
        <f t="shared" ref="D490:V490" si="252">D358</f>
        <v>…</v>
      </c>
      <c r="E490" s="116" t="str">
        <f t="shared" si="252"/>
        <v>…</v>
      </c>
      <c r="F490" s="116" t="str">
        <f t="shared" si="252"/>
        <v>…</v>
      </c>
      <c r="G490" s="116" t="str">
        <f t="shared" si="252"/>
        <v>…</v>
      </c>
      <c r="H490" s="116" t="str">
        <f t="shared" si="252"/>
        <v>…</v>
      </c>
      <c r="I490" s="116" t="str">
        <f t="shared" si="252"/>
        <v>…</v>
      </c>
      <c r="J490" s="116" t="str">
        <f t="shared" si="252"/>
        <v>…</v>
      </c>
      <c r="K490" s="116" t="str">
        <f t="shared" si="252"/>
        <v>…</v>
      </c>
      <c r="L490" s="116" t="str">
        <f t="shared" si="252"/>
        <v>…</v>
      </c>
      <c r="M490" s="116">
        <f t="shared" si="252"/>
        <v>3895.4749999999999</v>
      </c>
      <c r="N490" s="116">
        <f t="shared" si="252"/>
        <v>4641.4269999999997</v>
      </c>
      <c r="O490" s="116">
        <f t="shared" si="252"/>
        <v>3875.3989999999999</v>
      </c>
      <c r="P490" s="116">
        <f t="shared" si="252"/>
        <v>3849.6039999999998</v>
      </c>
      <c r="Q490" s="116">
        <f t="shared" si="252"/>
        <v>4141.1040000000003</v>
      </c>
      <c r="R490" s="46">
        <f t="shared" si="252"/>
        <v>4851.7330000000002</v>
      </c>
      <c r="S490" s="46">
        <f t="shared" si="252"/>
        <v>5446.3720000000003</v>
      </c>
      <c r="T490" s="46">
        <f t="shared" si="252"/>
        <v>6262.0469999999996</v>
      </c>
      <c r="U490" s="46">
        <f t="shared" si="252"/>
        <v>6863.5050000000001</v>
      </c>
      <c r="V490" s="46" t="str">
        <f t="shared" si="252"/>
        <v>…</v>
      </c>
      <c r="W490" s="46" t="str">
        <f>W358</f>
        <v>…</v>
      </c>
      <c r="X490" s="46" t="str">
        <f>X358</f>
        <v>…</v>
      </c>
      <c r="Y490" s="46" t="str">
        <f>Y358</f>
        <v>…</v>
      </c>
      <c r="Z490" s="46"/>
      <c r="AA490" s="46"/>
      <c r="AD490" s="24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46"/>
      <c r="AZ490" s="5"/>
    </row>
    <row r="491" spans="2:52" ht="13.15">
      <c r="C491" s="9"/>
      <c r="AD491" s="24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Z491" s="5"/>
    </row>
    <row r="492" spans="2:52" ht="13.15">
      <c r="C492" s="9"/>
      <c r="AD492" s="24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Z492" s="5"/>
    </row>
    <row r="493" spans="2:52" ht="13.15">
      <c r="C493" s="50" t="s">
        <v>116</v>
      </c>
      <c r="D493" s="93" t="str">
        <f t="shared" ref="D493:Y493" si="253">IF(D11="yes",SUM(D490)-SUM(D486:D489),"…")</f>
        <v>…</v>
      </c>
      <c r="E493" s="93" t="str">
        <f t="shared" si="253"/>
        <v>…</v>
      </c>
      <c r="F493" s="93" t="str">
        <f t="shared" si="253"/>
        <v>…</v>
      </c>
      <c r="G493" s="93" t="str">
        <f t="shared" si="253"/>
        <v>…</v>
      </c>
      <c r="H493" s="93" t="str">
        <f t="shared" si="253"/>
        <v>…</v>
      </c>
      <c r="I493" s="93" t="str">
        <f t="shared" si="253"/>
        <v>…</v>
      </c>
      <c r="J493" s="93" t="str">
        <f t="shared" si="253"/>
        <v>…</v>
      </c>
      <c r="K493" s="93" t="str">
        <f t="shared" si="253"/>
        <v>…</v>
      </c>
      <c r="L493" s="93" t="str">
        <f t="shared" si="253"/>
        <v>…</v>
      </c>
      <c r="M493" s="93">
        <f t="shared" si="253"/>
        <v>0</v>
      </c>
      <c r="N493" s="93">
        <f t="shared" si="253"/>
        <v>0</v>
      </c>
      <c r="O493" s="93">
        <f t="shared" si="253"/>
        <v>0</v>
      </c>
      <c r="P493" s="46">
        <f t="shared" si="253"/>
        <v>0</v>
      </c>
      <c r="Q493" s="46">
        <f t="shared" si="253"/>
        <v>30.037999999999556</v>
      </c>
      <c r="R493" s="46">
        <f t="shared" si="253"/>
        <v>32.134000000000015</v>
      </c>
      <c r="S493" s="46">
        <f t="shared" si="253"/>
        <v>38.716000000000349</v>
      </c>
      <c r="T493" s="46">
        <f t="shared" si="253"/>
        <v>42.84099999999944</v>
      </c>
      <c r="U493" s="46">
        <f t="shared" si="253"/>
        <v>54.509000000000015</v>
      </c>
      <c r="V493" s="46" t="str">
        <f t="shared" si="253"/>
        <v>…</v>
      </c>
      <c r="W493" s="46" t="str">
        <f t="shared" si="253"/>
        <v>…</v>
      </c>
      <c r="X493" s="46" t="str">
        <f t="shared" si="253"/>
        <v>…</v>
      </c>
      <c r="Y493" s="46" t="str">
        <f t="shared" si="253"/>
        <v>…</v>
      </c>
      <c r="Z493" s="46"/>
      <c r="AA493" s="46"/>
      <c r="AD493" s="24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46"/>
      <c r="AZ493" s="5"/>
    </row>
    <row r="494" spans="2:52" ht="13.15">
      <c r="C494" s="9"/>
      <c r="AD494" s="24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Z494" s="5"/>
    </row>
    <row r="495" spans="2:52" ht="13.15">
      <c r="C495" s="9"/>
      <c r="AD495" s="24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Z495" s="5"/>
    </row>
    <row r="496" spans="2:52" ht="13.15">
      <c r="B496" s="5" t="s">
        <v>404</v>
      </c>
      <c r="C496" s="9"/>
      <c r="D496" s="16" t="s">
        <v>289</v>
      </c>
      <c r="E496" s="16" t="s">
        <v>289</v>
      </c>
      <c r="F496" s="16" t="s">
        <v>289</v>
      </c>
      <c r="G496" s="16" t="s">
        <v>289</v>
      </c>
      <c r="H496" s="16" t="s">
        <v>289</v>
      </c>
      <c r="I496" s="16" t="s">
        <v>289</v>
      </c>
      <c r="J496" s="16" t="s">
        <v>289</v>
      </c>
      <c r="K496" s="16" t="s">
        <v>289</v>
      </c>
      <c r="L496" s="16">
        <v>-6.5789999999999997</v>
      </c>
      <c r="M496" s="16">
        <v>-9.0129999999999999</v>
      </c>
      <c r="N496" s="16">
        <v>-16.707999999999998</v>
      </c>
      <c r="O496" s="16">
        <v>-12.114000000000001</v>
      </c>
      <c r="P496" s="99">
        <v>-3.403</v>
      </c>
      <c r="Q496" s="99">
        <v>2.4279999999999999</v>
      </c>
      <c r="R496" s="99">
        <v>1.0309999999999999</v>
      </c>
      <c r="S496" s="99">
        <v>11.051</v>
      </c>
      <c r="T496" s="99">
        <v>30.561</v>
      </c>
      <c r="U496" s="99">
        <v>17.763999999999999</v>
      </c>
      <c r="V496" s="99" t="s">
        <v>289</v>
      </c>
      <c r="W496" s="99"/>
      <c r="X496" s="99"/>
      <c r="Y496" s="99"/>
      <c r="Z496" s="99"/>
      <c r="AA496" s="99"/>
      <c r="AD496" s="24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99"/>
      <c r="AZ496" s="5"/>
    </row>
    <row r="497" spans="2:60" ht="13.15">
      <c r="B497" s="5" t="s">
        <v>405</v>
      </c>
      <c r="C497" s="9"/>
      <c r="D497" s="16" t="s">
        <v>289</v>
      </c>
      <c r="E497" s="16" t="s">
        <v>289</v>
      </c>
      <c r="F497" s="16" t="s">
        <v>289</v>
      </c>
      <c r="G497" s="16" t="s">
        <v>289</v>
      </c>
      <c r="H497" s="16" t="s">
        <v>289</v>
      </c>
      <c r="I497" s="16" t="s">
        <v>289</v>
      </c>
      <c r="J497" s="16" t="s">
        <v>289</v>
      </c>
      <c r="K497" s="16" t="s">
        <v>289</v>
      </c>
      <c r="L497" s="16">
        <v>0</v>
      </c>
      <c r="M497" s="16">
        <v>0</v>
      </c>
      <c r="N497" s="16">
        <v>0</v>
      </c>
      <c r="O497" s="16">
        <v>0</v>
      </c>
      <c r="P497" s="99">
        <v>0</v>
      </c>
      <c r="Q497" s="99">
        <v>0</v>
      </c>
      <c r="R497" s="99">
        <v>0</v>
      </c>
      <c r="S497" s="99">
        <v>0</v>
      </c>
      <c r="T497" s="99">
        <v>0</v>
      </c>
      <c r="U497" s="99">
        <v>0</v>
      </c>
      <c r="V497" s="99" t="s">
        <v>289</v>
      </c>
      <c r="W497" s="99"/>
      <c r="X497" s="99"/>
      <c r="Y497" s="99"/>
      <c r="Z497" s="99"/>
      <c r="AA497" s="99"/>
      <c r="AD497" s="24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99"/>
      <c r="AZ497" s="5"/>
    </row>
    <row r="498" spans="2:60" ht="13.15">
      <c r="B498" s="5" t="s">
        <v>406</v>
      </c>
      <c r="C498" s="9"/>
      <c r="D498" s="16" t="s">
        <v>289</v>
      </c>
      <c r="E498" s="16" t="s">
        <v>289</v>
      </c>
      <c r="F498" s="16" t="s">
        <v>289</v>
      </c>
      <c r="G498" s="16" t="s">
        <v>289</v>
      </c>
      <c r="H498" s="16" t="s">
        <v>289</v>
      </c>
      <c r="I498" s="16" t="s">
        <v>289</v>
      </c>
      <c r="J498" s="16" t="s">
        <v>289</v>
      </c>
      <c r="K498" s="16" t="s">
        <v>289</v>
      </c>
      <c r="L498" s="16" t="s">
        <v>289</v>
      </c>
      <c r="M498" s="16">
        <v>37.911000000000001</v>
      </c>
      <c r="N498" s="16">
        <v>47.430999999999997</v>
      </c>
      <c r="O498" s="16">
        <v>11.836</v>
      </c>
      <c r="P498" s="99">
        <v>33.935000000000002</v>
      </c>
      <c r="Q498" s="99">
        <v>30.038</v>
      </c>
      <c r="R498" s="99">
        <v>32.134</v>
      </c>
      <c r="S498" s="99">
        <v>38.716000000000001</v>
      </c>
      <c r="T498" s="99">
        <v>42.841000000000001</v>
      </c>
      <c r="U498" s="99">
        <v>54.509</v>
      </c>
      <c r="V498" s="99" t="s">
        <v>289</v>
      </c>
      <c r="W498" s="99"/>
      <c r="X498" s="99"/>
      <c r="Y498" s="99"/>
      <c r="Z498" s="99"/>
      <c r="AA498" s="99"/>
      <c r="AD498" s="24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99"/>
      <c r="AZ498" s="5"/>
    </row>
    <row r="499" spans="2:60" ht="13.15">
      <c r="B499" s="5" t="s">
        <v>410</v>
      </c>
      <c r="C499" s="9"/>
      <c r="D499" s="25" t="s">
        <v>289</v>
      </c>
      <c r="E499" s="25" t="s">
        <v>289</v>
      </c>
      <c r="F499" s="25" t="s">
        <v>289</v>
      </c>
      <c r="G499" s="25" t="s">
        <v>289</v>
      </c>
      <c r="H499" s="25" t="s">
        <v>289</v>
      </c>
      <c r="I499" s="25" t="s">
        <v>289</v>
      </c>
      <c r="J499" s="25" t="s">
        <v>289</v>
      </c>
      <c r="K499" s="25" t="s">
        <v>289</v>
      </c>
      <c r="L499" s="25" t="s">
        <v>289</v>
      </c>
      <c r="M499" s="25" t="s">
        <v>289</v>
      </c>
      <c r="N499" s="25" t="s">
        <v>289</v>
      </c>
      <c r="O499" s="25" t="s">
        <v>289</v>
      </c>
      <c r="P499" s="20" t="s">
        <v>289</v>
      </c>
      <c r="Q499" s="20" t="s">
        <v>289</v>
      </c>
      <c r="R499" s="20" t="s">
        <v>289</v>
      </c>
      <c r="S499" s="20" t="s">
        <v>289</v>
      </c>
      <c r="T499" s="20" t="s">
        <v>289</v>
      </c>
      <c r="U499" s="20" t="s">
        <v>289</v>
      </c>
      <c r="V499" s="20" t="s">
        <v>289</v>
      </c>
      <c r="AD499" s="24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Z499" s="5"/>
    </row>
    <row r="500" spans="2:60" ht="13.15">
      <c r="B500" s="5" t="s">
        <v>411</v>
      </c>
      <c r="C500" s="9"/>
      <c r="D500" s="25" t="s">
        <v>289</v>
      </c>
      <c r="E500" s="25" t="s">
        <v>289</v>
      </c>
      <c r="F500" s="25" t="s">
        <v>289</v>
      </c>
      <c r="G500" s="25" t="s">
        <v>289</v>
      </c>
      <c r="H500" s="25" t="s">
        <v>289</v>
      </c>
      <c r="I500" s="25" t="s">
        <v>289</v>
      </c>
      <c r="J500" s="25" t="s">
        <v>289</v>
      </c>
      <c r="K500" s="25" t="s">
        <v>289</v>
      </c>
      <c r="L500" s="25" t="s">
        <v>289</v>
      </c>
      <c r="M500" s="25" t="s">
        <v>289</v>
      </c>
      <c r="N500" s="25" t="s">
        <v>289</v>
      </c>
      <c r="O500" s="25" t="s">
        <v>289</v>
      </c>
      <c r="P500" s="20" t="s">
        <v>289</v>
      </c>
      <c r="Q500" s="20" t="s">
        <v>289</v>
      </c>
      <c r="R500" s="20" t="s">
        <v>289</v>
      </c>
      <c r="S500" s="20" t="s">
        <v>289</v>
      </c>
      <c r="T500" s="20" t="s">
        <v>289</v>
      </c>
      <c r="U500" s="20" t="s">
        <v>289</v>
      </c>
      <c r="V500" s="20" t="s">
        <v>289</v>
      </c>
      <c r="AD500" s="24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Z500" s="5"/>
    </row>
    <row r="501" spans="2:60" ht="13.15">
      <c r="C501" s="9"/>
      <c r="AD501" s="24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Z501" s="5"/>
    </row>
    <row r="503" spans="2:60" ht="13.15">
      <c r="C503" s="117" t="s">
        <v>2986</v>
      </c>
      <c r="D503" s="118"/>
      <c r="E503" s="118"/>
      <c r="F503" s="118"/>
      <c r="G503" s="118"/>
      <c r="H503" s="118"/>
      <c r="I503" s="118"/>
      <c r="J503" s="118"/>
      <c r="K503" s="118"/>
      <c r="L503" s="118"/>
      <c r="M503" s="118"/>
      <c r="N503" s="118"/>
      <c r="O503" s="118"/>
      <c r="P503" s="118"/>
      <c r="Q503" s="118"/>
      <c r="R503" s="118"/>
      <c r="S503" s="118"/>
      <c r="T503" s="118"/>
      <c r="U503" s="118"/>
      <c r="V503" s="118"/>
      <c r="W503" s="118"/>
      <c r="X503" s="118"/>
      <c r="Y503" s="118"/>
      <c r="Z503" s="118"/>
      <c r="AA503" s="118"/>
      <c r="AB503" s="118"/>
      <c r="AC503" s="118"/>
      <c r="AD503" s="119"/>
      <c r="AE503" s="120"/>
      <c r="AF503" s="120"/>
      <c r="AG503" s="120"/>
      <c r="AH503" s="120"/>
      <c r="AI503" s="120"/>
      <c r="AJ503" s="120"/>
      <c r="AK503" s="120"/>
      <c r="AL503" s="120"/>
      <c r="AM503" s="120"/>
      <c r="AN503" s="120"/>
      <c r="AO503" s="120"/>
      <c r="AP503" s="120"/>
      <c r="AQ503" s="120"/>
      <c r="AR503" s="120"/>
      <c r="AS503" s="120"/>
      <c r="AT503" s="120"/>
      <c r="AU503" s="120"/>
      <c r="AV503" s="120"/>
      <c r="AW503" s="120"/>
      <c r="AX503" s="120"/>
      <c r="AY503" s="118"/>
      <c r="AZ503" s="120"/>
      <c r="BA503" s="120"/>
      <c r="BB503" s="120"/>
      <c r="BC503" s="120"/>
      <c r="BD503" s="120"/>
      <c r="BE503" s="120"/>
      <c r="BF503" s="120"/>
      <c r="BG503" s="120"/>
      <c r="BH503" s="120"/>
    </row>
    <row r="504" spans="2:60" ht="13.15">
      <c r="C504" s="9"/>
      <c r="AD504" s="24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Z504" s="5"/>
    </row>
    <row r="505" spans="2:60" ht="13.15">
      <c r="C505" s="9" t="str">
        <f t="shared" ref="C505:R505" si="254">C325</f>
        <v>EBITDA (Bloomberg)</v>
      </c>
      <c r="D505" s="36" t="str">
        <f t="shared" si="254"/>
        <v>…</v>
      </c>
      <c r="E505" s="36" t="str">
        <f t="shared" si="254"/>
        <v>…</v>
      </c>
      <c r="F505" s="36" t="str">
        <f t="shared" si="254"/>
        <v>…</v>
      </c>
      <c r="G505" s="36" t="str">
        <f t="shared" si="254"/>
        <v>…</v>
      </c>
      <c r="H505" s="36" t="str">
        <f t="shared" si="254"/>
        <v>…</v>
      </c>
      <c r="I505" s="36" t="str">
        <f t="shared" si="254"/>
        <v>…</v>
      </c>
      <c r="J505" s="36" t="str">
        <f t="shared" si="254"/>
        <v>…</v>
      </c>
      <c r="K505" s="36" t="str">
        <f t="shared" si="254"/>
        <v>…</v>
      </c>
      <c r="L505" s="36">
        <f t="shared" si="254"/>
        <v>573.03700000000003</v>
      </c>
      <c r="M505" s="36">
        <f t="shared" si="254"/>
        <v>633.79899999999998</v>
      </c>
      <c r="N505" s="36">
        <f t="shared" si="254"/>
        <v>678.45</v>
      </c>
      <c r="O505" s="36">
        <f t="shared" si="254"/>
        <v>719.077</v>
      </c>
      <c r="P505" s="36">
        <f t="shared" si="254"/>
        <v>842.79899999999998</v>
      </c>
      <c r="Q505" s="36">
        <f t="shared" si="254"/>
        <v>1036.0219999999999</v>
      </c>
      <c r="R505" s="36">
        <f t="shared" si="254"/>
        <v>1115.2550000000001</v>
      </c>
      <c r="AD505" s="24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Z505" s="5"/>
    </row>
    <row r="506" spans="2:60" ht="13.15">
      <c r="C506" s="9"/>
      <c r="AD506" s="24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Z506" s="5"/>
    </row>
    <row r="507" spans="2:60">
      <c r="C507" s="5" t="s">
        <v>3027</v>
      </c>
      <c r="D507" s="36">
        <f t="shared" ref="D507:Q507" si="255">SUM(D526,D531,D537,D543,D545)</f>
        <v>0</v>
      </c>
      <c r="E507" s="36">
        <f t="shared" si="255"/>
        <v>0</v>
      </c>
      <c r="F507" s="36">
        <f t="shared" si="255"/>
        <v>0</v>
      </c>
      <c r="G507" s="36">
        <f t="shared" si="255"/>
        <v>0</v>
      </c>
      <c r="H507" s="36">
        <f t="shared" si="255"/>
        <v>0</v>
      </c>
      <c r="I507" s="36">
        <f t="shared" si="255"/>
        <v>0</v>
      </c>
      <c r="J507" s="36">
        <f t="shared" si="255"/>
        <v>0</v>
      </c>
      <c r="K507" s="36">
        <f t="shared" si="255"/>
        <v>0</v>
      </c>
      <c r="L507" s="36">
        <f t="shared" si="255"/>
        <v>39.456999999999994</v>
      </c>
      <c r="M507" s="36">
        <f t="shared" si="255"/>
        <v>-72.414999999999992</v>
      </c>
      <c r="N507" s="36">
        <f t="shared" si="255"/>
        <v>-38.751999999999995</v>
      </c>
      <c r="O507" s="36">
        <f t="shared" si="255"/>
        <v>-78.77600000000001</v>
      </c>
      <c r="P507" s="36">
        <f t="shared" si="255"/>
        <v>90.292000000000002</v>
      </c>
      <c r="Q507" s="36">
        <f t="shared" si="255"/>
        <v>-31.562000000000005</v>
      </c>
      <c r="R507" s="36">
        <f>SUM(R526,R531,R537,R543,R545)</f>
        <v>102.886</v>
      </c>
      <c r="AD507" s="24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Z507" s="5"/>
    </row>
    <row r="508" spans="2:60">
      <c r="C508" s="5" t="s">
        <v>3060</v>
      </c>
      <c r="D508" s="36">
        <f t="shared" ref="D508:O508" si="256">SUM(D549)</f>
        <v>0</v>
      </c>
      <c r="E508" s="36">
        <f t="shared" si="256"/>
        <v>0</v>
      </c>
      <c r="F508" s="36">
        <f t="shared" si="256"/>
        <v>0</v>
      </c>
      <c r="G508" s="36">
        <f t="shared" si="256"/>
        <v>0</v>
      </c>
      <c r="H508" s="36">
        <f t="shared" si="256"/>
        <v>0</v>
      </c>
      <c r="I508" s="36">
        <f t="shared" si="256"/>
        <v>0</v>
      </c>
      <c r="J508" s="36">
        <f t="shared" si="256"/>
        <v>0</v>
      </c>
      <c r="K508" s="36">
        <f t="shared" si="256"/>
        <v>0</v>
      </c>
      <c r="L508" s="36">
        <f t="shared" si="256"/>
        <v>0</v>
      </c>
      <c r="M508" s="36">
        <f t="shared" si="256"/>
        <v>0</v>
      </c>
      <c r="N508" s="36">
        <f t="shared" si="256"/>
        <v>0</v>
      </c>
      <c r="O508" s="36">
        <f t="shared" si="256"/>
        <v>0</v>
      </c>
      <c r="P508" s="36">
        <f>SUM(P549)</f>
        <v>-20.8</v>
      </c>
      <c r="Q508" s="36">
        <f>SUM(Q549)</f>
        <v>0</v>
      </c>
      <c r="R508" s="36">
        <f>SUM(R549)</f>
        <v>0</v>
      </c>
      <c r="AD508" s="24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Z508" s="5"/>
    </row>
    <row r="509" spans="2:60">
      <c r="AD509" s="24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Z509" s="5"/>
    </row>
    <row r="510" spans="2:60">
      <c r="C510" s="5" t="s">
        <v>3024</v>
      </c>
      <c r="D510" s="36">
        <f t="shared" ref="D510:R510" si="257">SUM(D552:D553)</f>
        <v>0</v>
      </c>
      <c r="E510" s="36">
        <f t="shared" si="257"/>
        <v>0</v>
      </c>
      <c r="F510" s="36">
        <f t="shared" si="257"/>
        <v>0</v>
      </c>
      <c r="G510" s="36">
        <f t="shared" si="257"/>
        <v>0</v>
      </c>
      <c r="H510" s="36">
        <f t="shared" si="257"/>
        <v>0</v>
      </c>
      <c r="I510" s="36">
        <f t="shared" si="257"/>
        <v>0</v>
      </c>
      <c r="J510" s="36">
        <f t="shared" si="257"/>
        <v>0</v>
      </c>
      <c r="K510" s="36">
        <f t="shared" si="257"/>
        <v>0</v>
      </c>
      <c r="L510" s="36">
        <f t="shared" si="257"/>
        <v>0</v>
      </c>
      <c r="M510" s="36">
        <f t="shared" si="257"/>
        <v>0</v>
      </c>
      <c r="N510" s="36">
        <f t="shared" si="257"/>
        <v>0</v>
      </c>
      <c r="O510" s="36">
        <f t="shared" si="257"/>
        <v>0</v>
      </c>
      <c r="P510" s="36">
        <f t="shared" si="257"/>
        <v>0</v>
      </c>
      <c r="Q510" s="36">
        <f t="shared" si="257"/>
        <v>0</v>
      </c>
      <c r="R510" s="36">
        <f t="shared" si="257"/>
        <v>0</v>
      </c>
      <c r="AD510" s="24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Z510" s="5"/>
    </row>
    <row r="511" spans="2:60">
      <c r="C511" s="5" t="str">
        <f>C561</f>
        <v>Oper./Non-rec. items not in EBITDA</v>
      </c>
      <c r="D511" s="5">
        <f t="shared" ref="D511:R511" si="258">D561</f>
        <v>0</v>
      </c>
      <c r="E511" s="5">
        <f t="shared" si="258"/>
        <v>0</v>
      </c>
      <c r="F511" s="5">
        <f t="shared" si="258"/>
        <v>0</v>
      </c>
      <c r="G511" s="5">
        <f t="shared" si="258"/>
        <v>0</v>
      </c>
      <c r="H511" s="5">
        <f t="shared" si="258"/>
        <v>0</v>
      </c>
      <c r="I511" s="5">
        <f t="shared" si="258"/>
        <v>0</v>
      </c>
      <c r="J511" s="5">
        <f t="shared" si="258"/>
        <v>0</v>
      </c>
      <c r="K511" s="5">
        <f t="shared" si="258"/>
        <v>0</v>
      </c>
      <c r="L511" s="5">
        <f t="shared" si="258"/>
        <v>0</v>
      </c>
      <c r="M511" s="5">
        <f t="shared" si="258"/>
        <v>0</v>
      </c>
      <c r="N511" s="5">
        <f t="shared" si="258"/>
        <v>0</v>
      </c>
      <c r="O511" s="5">
        <f t="shared" si="258"/>
        <v>0</v>
      </c>
      <c r="P511" s="5">
        <f t="shared" si="258"/>
        <v>0</v>
      </c>
      <c r="Q511" s="5">
        <f t="shared" si="258"/>
        <v>0</v>
      </c>
      <c r="R511" s="5">
        <f t="shared" si="258"/>
        <v>0</v>
      </c>
      <c r="AD511" s="24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Z511" s="5"/>
    </row>
    <row r="512" spans="2:60">
      <c r="C512" s="5" t="str">
        <f>C558</f>
        <v>Oper./Rec. items not in EBITDA</v>
      </c>
      <c r="D512" s="5">
        <f t="shared" ref="D512:R512" si="259">D558</f>
        <v>0</v>
      </c>
      <c r="E512" s="5">
        <f t="shared" si="259"/>
        <v>0</v>
      </c>
      <c r="F512" s="5">
        <f t="shared" si="259"/>
        <v>0</v>
      </c>
      <c r="G512" s="5">
        <f t="shared" si="259"/>
        <v>0</v>
      </c>
      <c r="H512" s="5">
        <f t="shared" si="259"/>
        <v>0</v>
      </c>
      <c r="I512" s="5">
        <f t="shared" si="259"/>
        <v>0</v>
      </c>
      <c r="J512" s="5">
        <f t="shared" si="259"/>
        <v>0</v>
      </c>
      <c r="K512" s="5">
        <f t="shared" si="259"/>
        <v>0</v>
      </c>
      <c r="L512" s="5">
        <f t="shared" si="259"/>
        <v>0</v>
      </c>
      <c r="M512" s="5">
        <f t="shared" si="259"/>
        <v>0</v>
      </c>
      <c r="N512" s="5">
        <f t="shared" si="259"/>
        <v>0</v>
      </c>
      <c r="O512" s="5">
        <f t="shared" si="259"/>
        <v>0</v>
      </c>
      <c r="P512" s="5">
        <f t="shared" si="259"/>
        <v>-2</v>
      </c>
      <c r="Q512" s="5">
        <f t="shared" si="259"/>
        <v>-4.8</v>
      </c>
      <c r="R512" s="5">
        <f t="shared" si="259"/>
        <v>-6.9</v>
      </c>
      <c r="AD512" s="24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Z512" s="5"/>
    </row>
    <row r="513" spans="2:52">
      <c r="C513" s="5" t="str">
        <f>C565</f>
        <v>Other Items</v>
      </c>
      <c r="D513" s="5">
        <f t="shared" ref="D513:R513" si="260">D565</f>
        <v>0</v>
      </c>
      <c r="E513" s="5">
        <f t="shared" si="260"/>
        <v>0</v>
      </c>
      <c r="F513" s="5">
        <f t="shared" si="260"/>
        <v>0</v>
      </c>
      <c r="G513" s="5">
        <f t="shared" si="260"/>
        <v>0</v>
      </c>
      <c r="H513" s="5">
        <f t="shared" si="260"/>
        <v>0</v>
      </c>
      <c r="I513" s="5">
        <f t="shared" si="260"/>
        <v>0</v>
      </c>
      <c r="J513" s="5">
        <f t="shared" si="260"/>
        <v>0</v>
      </c>
      <c r="K513" s="5">
        <f t="shared" si="260"/>
        <v>0</v>
      </c>
      <c r="L513" s="5">
        <f t="shared" si="260"/>
        <v>0</v>
      </c>
      <c r="M513" s="5">
        <f t="shared" si="260"/>
        <v>0</v>
      </c>
      <c r="N513" s="5">
        <f t="shared" si="260"/>
        <v>0</v>
      </c>
      <c r="O513" s="5">
        <f t="shared" si="260"/>
        <v>0</v>
      </c>
      <c r="P513" s="5">
        <f t="shared" si="260"/>
        <v>0</v>
      </c>
      <c r="Q513" s="5">
        <f t="shared" si="260"/>
        <v>0</v>
      </c>
      <c r="R513" s="5">
        <f t="shared" si="260"/>
        <v>0</v>
      </c>
    </row>
    <row r="514" spans="2:52" ht="13.15">
      <c r="C514" s="9" t="s">
        <v>3059</v>
      </c>
      <c r="D514" s="124">
        <f t="shared" ref="D514:Q514" si="261">SUM(D505:D513)</f>
        <v>0</v>
      </c>
      <c r="E514" s="124">
        <f t="shared" si="261"/>
        <v>0</v>
      </c>
      <c r="F514" s="124">
        <f t="shared" si="261"/>
        <v>0</v>
      </c>
      <c r="G514" s="124">
        <f t="shared" si="261"/>
        <v>0</v>
      </c>
      <c r="H514" s="124">
        <f t="shared" si="261"/>
        <v>0</v>
      </c>
      <c r="I514" s="124">
        <f t="shared" si="261"/>
        <v>0</v>
      </c>
      <c r="J514" s="124">
        <f t="shared" si="261"/>
        <v>0</v>
      </c>
      <c r="K514" s="124">
        <f t="shared" si="261"/>
        <v>0</v>
      </c>
      <c r="L514" s="124">
        <f t="shared" si="261"/>
        <v>612.49400000000003</v>
      </c>
      <c r="M514" s="124">
        <f t="shared" si="261"/>
        <v>561.38400000000001</v>
      </c>
      <c r="N514" s="124">
        <f t="shared" si="261"/>
        <v>639.69800000000009</v>
      </c>
      <c r="O514" s="124">
        <f t="shared" si="261"/>
        <v>640.30099999999993</v>
      </c>
      <c r="P514" s="124">
        <f t="shared" si="261"/>
        <v>910.29100000000005</v>
      </c>
      <c r="Q514" s="124">
        <f t="shared" si="261"/>
        <v>999.66</v>
      </c>
      <c r="R514" s="124">
        <f>SUM(R505:R513)</f>
        <v>1211.241</v>
      </c>
      <c r="AD514" s="24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Z514" s="5"/>
    </row>
    <row r="515" spans="2:52">
      <c r="C515" s="5" t="s">
        <v>3061</v>
      </c>
      <c r="D515" s="20" t="str">
        <f t="shared" ref="D515:Q515" si="262">D568</f>
        <v>n.a.</v>
      </c>
      <c r="E515" s="20" t="str">
        <f t="shared" si="262"/>
        <v>n.a.</v>
      </c>
      <c r="F515" s="20" t="str">
        <f t="shared" si="262"/>
        <v>n.a.</v>
      </c>
      <c r="G515" s="20" t="str">
        <f t="shared" si="262"/>
        <v>n.a.</v>
      </c>
      <c r="H515" s="20" t="str">
        <f t="shared" si="262"/>
        <v>n.a.</v>
      </c>
      <c r="I515" s="5" t="str">
        <f t="shared" si="262"/>
        <v>n.a.</v>
      </c>
      <c r="J515" s="5" t="str">
        <f t="shared" si="262"/>
        <v>n.a.</v>
      </c>
      <c r="K515" s="5" t="str">
        <f t="shared" si="262"/>
        <v>n.a.</v>
      </c>
      <c r="L515" s="5" t="str">
        <f t="shared" si="262"/>
        <v>n.a.</v>
      </c>
      <c r="M515" s="5" t="str">
        <f t="shared" si="262"/>
        <v>n.a.</v>
      </c>
      <c r="N515" s="5" t="str">
        <f t="shared" si="262"/>
        <v>n.a.</v>
      </c>
      <c r="O515" s="5" t="str">
        <f t="shared" si="262"/>
        <v>n.a.</v>
      </c>
      <c r="P515" s="5" t="str">
        <f t="shared" si="262"/>
        <v>n.a.</v>
      </c>
      <c r="Q515" s="5" t="str">
        <f t="shared" si="262"/>
        <v>n.a.</v>
      </c>
      <c r="R515" s="5" t="str">
        <f>R568</f>
        <v>n.a.</v>
      </c>
      <c r="AD515" s="24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Z515" s="5"/>
    </row>
    <row r="516" spans="2:52" ht="13.15">
      <c r="C516" s="9" t="s">
        <v>3062</v>
      </c>
      <c r="D516" s="124">
        <f t="shared" ref="D516:Q516" si="263">SUM(D514:D515)</f>
        <v>0</v>
      </c>
      <c r="E516" s="124">
        <f t="shared" si="263"/>
        <v>0</v>
      </c>
      <c r="F516" s="124">
        <f t="shared" si="263"/>
        <v>0</v>
      </c>
      <c r="G516" s="124">
        <f t="shared" si="263"/>
        <v>0</v>
      </c>
      <c r="H516" s="124">
        <f t="shared" si="263"/>
        <v>0</v>
      </c>
      <c r="I516" s="124">
        <f t="shared" si="263"/>
        <v>0</v>
      </c>
      <c r="J516" s="124">
        <f t="shared" si="263"/>
        <v>0</v>
      </c>
      <c r="K516" s="124">
        <f t="shared" si="263"/>
        <v>0</v>
      </c>
      <c r="L516" s="124">
        <f t="shared" si="263"/>
        <v>612.49400000000003</v>
      </c>
      <c r="M516" s="124">
        <f t="shared" si="263"/>
        <v>561.38400000000001</v>
      </c>
      <c r="N516" s="124">
        <f t="shared" si="263"/>
        <v>639.69800000000009</v>
      </c>
      <c r="O516" s="124">
        <f t="shared" si="263"/>
        <v>640.30099999999993</v>
      </c>
      <c r="P516" s="124">
        <f t="shared" si="263"/>
        <v>910.29100000000005</v>
      </c>
      <c r="Q516" s="124">
        <f t="shared" si="263"/>
        <v>999.66</v>
      </c>
      <c r="R516" s="124">
        <f>SUM(R514:R515)</f>
        <v>1211.241</v>
      </c>
      <c r="AD516" s="24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Z516" s="5"/>
    </row>
    <row r="518" spans="2:52">
      <c r="B518" s="5" t="s">
        <v>2665</v>
      </c>
      <c r="C518" s="5" t="str">
        <f>B518</f>
        <v>ARD_TOT_CASH_FLOWS_FROM_OPS</v>
      </c>
      <c r="D518" s="99" t="s">
        <v>289</v>
      </c>
      <c r="E518" s="99" t="s">
        <v>289</v>
      </c>
      <c r="F518" s="99" t="s">
        <v>289</v>
      </c>
      <c r="G518" s="99" t="s">
        <v>289</v>
      </c>
      <c r="H518" s="99" t="s">
        <v>289</v>
      </c>
      <c r="I518" s="99" t="s">
        <v>289</v>
      </c>
      <c r="J518" s="99" t="s">
        <v>289</v>
      </c>
      <c r="K518" s="99" t="s">
        <v>289</v>
      </c>
      <c r="L518" s="99">
        <v>462.52</v>
      </c>
      <c r="M518" s="99">
        <v>454.01400000000001</v>
      </c>
      <c r="N518" s="99">
        <v>426.06700000000001</v>
      </c>
      <c r="O518" s="99">
        <v>707.26800000000003</v>
      </c>
      <c r="P518" s="99">
        <v>1005.299</v>
      </c>
      <c r="Q518" s="99">
        <v>662.79899999999998</v>
      </c>
      <c r="R518" s="99">
        <v>934.04100000000005</v>
      </c>
      <c r="S518" s="20">
        <v>1306.0930000000001</v>
      </c>
      <c r="T518" s="20">
        <v>838.21100000000001</v>
      </c>
      <c r="U518" s="20">
        <v>1282.7260000000001</v>
      </c>
      <c r="V518" s="20" t="s">
        <v>289</v>
      </c>
      <c r="AD518" s="24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Z518" s="5"/>
    </row>
    <row r="519" spans="2:52" ht="13.15">
      <c r="C519" s="9"/>
      <c r="D519" s="36"/>
      <c r="E519" s="36"/>
      <c r="F519" s="36"/>
      <c r="G519" s="36"/>
      <c r="H519" s="36"/>
      <c r="I519" s="36" t="e">
        <f t="shared" ref="I519:R519" si="264">I516-I577+I572-I518</f>
        <v>#VALUE!</v>
      </c>
      <c r="J519" s="36" t="e">
        <f t="shared" si="264"/>
        <v>#VALUE!</v>
      </c>
      <c r="K519" s="36" t="e">
        <f t="shared" si="264"/>
        <v>#VALUE!</v>
      </c>
      <c r="L519" s="36" t="e">
        <f t="shared" si="264"/>
        <v>#VALUE!</v>
      </c>
      <c r="M519" s="36" t="e">
        <f t="shared" si="264"/>
        <v>#VALUE!</v>
      </c>
      <c r="N519" s="36" t="e">
        <f t="shared" si="264"/>
        <v>#VALUE!</v>
      </c>
      <c r="O519" s="36" t="e">
        <f t="shared" si="264"/>
        <v>#VALUE!</v>
      </c>
      <c r="P519" s="36" t="e">
        <f t="shared" si="264"/>
        <v>#VALUE!</v>
      </c>
      <c r="Q519" s="36" t="e">
        <f t="shared" si="264"/>
        <v>#VALUE!</v>
      </c>
      <c r="R519" s="36" t="e">
        <f t="shared" si="264"/>
        <v>#VALUE!</v>
      </c>
      <c r="AD519" s="24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Z519" s="5"/>
    </row>
    <row r="520" spans="2:52" ht="13.15">
      <c r="C520" s="9"/>
      <c r="AD520" s="24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Z520" s="5"/>
    </row>
    <row r="521" spans="2:52" ht="13.15">
      <c r="C521" s="9"/>
      <c r="AD521" s="24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Z521" s="5"/>
    </row>
    <row r="522" spans="2:52">
      <c r="B522" s="5" t="s">
        <v>2666</v>
      </c>
      <c r="C522" s="44" t="str">
        <f>B522</f>
        <v>ARDR_CHG_IN_ACCOUNTS_RECEIVABLE</v>
      </c>
      <c r="D522" s="99" t="s">
        <v>289</v>
      </c>
      <c r="E522" s="99" t="s">
        <v>289</v>
      </c>
      <c r="F522" s="99" t="s">
        <v>289</v>
      </c>
      <c r="G522" s="99" t="s">
        <v>289</v>
      </c>
      <c r="H522" s="99" t="s">
        <v>289</v>
      </c>
      <c r="I522" s="99" t="s">
        <v>289</v>
      </c>
      <c r="J522" s="99" t="s">
        <v>289</v>
      </c>
      <c r="K522" s="99" t="s">
        <v>289</v>
      </c>
      <c r="L522" s="99" t="s">
        <v>289</v>
      </c>
      <c r="M522" s="99" t="s">
        <v>289</v>
      </c>
      <c r="N522" s="99" t="s">
        <v>289</v>
      </c>
      <c r="O522" s="99" t="s">
        <v>289</v>
      </c>
      <c r="P522" s="99" t="s">
        <v>289</v>
      </c>
      <c r="Q522" s="99" t="s">
        <v>289</v>
      </c>
      <c r="R522" s="99" t="s">
        <v>289</v>
      </c>
      <c r="S522" s="20" t="s">
        <v>289</v>
      </c>
      <c r="T522" s="20" t="s">
        <v>289</v>
      </c>
      <c r="U522" s="20" t="s">
        <v>289</v>
      </c>
      <c r="V522" s="20" t="s">
        <v>289</v>
      </c>
      <c r="AD522" s="24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Z522" s="5"/>
    </row>
    <row r="523" spans="2:52">
      <c r="B523" s="5" t="s">
        <v>2672</v>
      </c>
      <c r="C523" s="44" t="str">
        <f>B523</f>
        <v>ARD_CHG_IN_ACCOUNTS_RECEIVABLE</v>
      </c>
      <c r="D523" s="99" t="s">
        <v>289</v>
      </c>
      <c r="E523" s="99" t="s">
        <v>289</v>
      </c>
      <c r="F523" s="99" t="s">
        <v>289</v>
      </c>
      <c r="G523" s="99" t="s">
        <v>289</v>
      </c>
      <c r="H523" s="99" t="s">
        <v>289</v>
      </c>
      <c r="I523" s="99" t="s">
        <v>289</v>
      </c>
      <c r="J523" s="99" t="s">
        <v>289</v>
      </c>
      <c r="K523" s="99" t="s">
        <v>289</v>
      </c>
      <c r="L523" s="99">
        <v>8.8569999999999993</v>
      </c>
      <c r="M523" s="99">
        <v>-81.385999999999996</v>
      </c>
      <c r="N523" s="99">
        <v>0.82399999999999995</v>
      </c>
      <c r="O523" s="99">
        <v>15.693</v>
      </c>
      <c r="P523" s="99">
        <v>-88.846999999999994</v>
      </c>
      <c r="Q523" s="99">
        <v>-1.7450000000000001</v>
      </c>
      <c r="R523" s="99">
        <v>26.89</v>
      </c>
      <c r="S523" s="20">
        <v>-22.376999999999999</v>
      </c>
      <c r="T523" s="20">
        <v>44.476999999999997</v>
      </c>
      <c r="U523" s="20">
        <v>1.7709999999999999</v>
      </c>
      <c r="V523" s="20" t="s">
        <v>289</v>
      </c>
      <c r="AD523" s="24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Z523" s="5"/>
    </row>
    <row r="524" spans="2:52" ht="13.15">
      <c r="C524" s="121"/>
      <c r="AD524" s="24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Z524" s="5"/>
    </row>
    <row r="525" spans="2:52">
      <c r="B525" s="5" t="s">
        <v>2681</v>
      </c>
      <c r="C525" s="44" t="str">
        <f>B525</f>
        <v>CF_ACCT_RCV_UNBILLED_REV</v>
      </c>
      <c r="D525" s="99" t="s">
        <v>289</v>
      </c>
      <c r="E525" s="99" t="s">
        <v>289</v>
      </c>
      <c r="F525" s="99" t="s">
        <v>289</v>
      </c>
      <c r="G525" s="99" t="s">
        <v>289</v>
      </c>
      <c r="H525" s="99" t="s">
        <v>289</v>
      </c>
      <c r="I525" s="99" t="s">
        <v>289</v>
      </c>
      <c r="J525" s="99" t="s">
        <v>289</v>
      </c>
      <c r="K525" s="99" t="s">
        <v>289</v>
      </c>
      <c r="L525" s="99">
        <v>8.8569999999999993</v>
      </c>
      <c r="M525" s="99">
        <v>-81.385999999999996</v>
      </c>
      <c r="N525" s="99">
        <v>0.82399999999999995</v>
      </c>
      <c r="O525" s="99">
        <v>15.693</v>
      </c>
      <c r="P525" s="99">
        <v>-88.846999999999994</v>
      </c>
      <c r="Q525" s="99">
        <v>-1.7450000000000001</v>
      </c>
      <c r="R525" s="99">
        <v>26.89</v>
      </c>
      <c r="S525" s="20">
        <v>-22.376999999999999</v>
      </c>
      <c r="T525" s="20">
        <v>44.476999999999997</v>
      </c>
      <c r="U525" s="20">
        <v>1.7709999999999999</v>
      </c>
      <c r="V525" s="20" t="s">
        <v>289</v>
      </c>
      <c r="AD525" s="24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Z525" s="5"/>
    </row>
    <row r="526" spans="2:52" ht="13.15">
      <c r="C526" s="9" t="s">
        <v>2987</v>
      </c>
      <c r="D526" s="122">
        <f t="shared" ref="D526:R526" si="265">SUM(D522:D524)</f>
        <v>0</v>
      </c>
      <c r="E526" s="122">
        <f t="shared" si="265"/>
        <v>0</v>
      </c>
      <c r="F526" s="122">
        <f t="shared" si="265"/>
        <v>0</v>
      </c>
      <c r="G526" s="122">
        <f t="shared" si="265"/>
        <v>0</v>
      </c>
      <c r="H526" s="122">
        <f t="shared" si="265"/>
        <v>0</v>
      </c>
      <c r="I526" s="122">
        <f t="shared" si="265"/>
        <v>0</v>
      </c>
      <c r="J526" s="122">
        <f t="shared" si="265"/>
        <v>0</v>
      </c>
      <c r="K526" s="122">
        <f t="shared" si="265"/>
        <v>0</v>
      </c>
      <c r="L526" s="122">
        <f t="shared" si="265"/>
        <v>8.8569999999999993</v>
      </c>
      <c r="M526" s="122">
        <f t="shared" si="265"/>
        <v>-81.385999999999996</v>
      </c>
      <c r="N526" s="122">
        <f t="shared" si="265"/>
        <v>0.82399999999999995</v>
      </c>
      <c r="O526" s="122">
        <f t="shared" si="265"/>
        <v>15.693</v>
      </c>
      <c r="P526" s="122">
        <f t="shared" si="265"/>
        <v>-88.846999999999994</v>
      </c>
      <c r="Q526" s="122">
        <f t="shared" si="265"/>
        <v>-1.7450000000000001</v>
      </c>
      <c r="R526" s="122">
        <f t="shared" si="265"/>
        <v>26.89</v>
      </c>
      <c r="AD526" s="24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Z526" s="5"/>
    </row>
    <row r="528" spans="2:52">
      <c r="B528" s="5" t="s">
        <v>2667</v>
      </c>
      <c r="C528" s="44" t="str">
        <f>B528</f>
        <v>ARD_CHANGE_IN_ACCOUNTS_PAYABLE</v>
      </c>
      <c r="D528" s="99" t="s">
        <v>289</v>
      </c>
      <c r="E528" s="99" t="s">
        <v>289</v>
      </c>
      <c r="F528" s="99" t="s">
        <v>289</v>
      </c>
      <c r="G528" s="99" t="s">
        <v>289</v>
      </c>
      <c r="H528" s="99" t="s">
        <v>289</v>
      </c>
      <c r="I528" s="99" t="s">
        <v>289</v>
      </c>
      <c r="J528" s="99" t="s">
        <v>289</v>
      </c>
      <c r="K528" s="99" t="s">
        <v>289</v>
      </c>
      <c r="L528" s="99">
        <v>24.77</v>
      </c>
      <c r="M528" s="99">
        <v>14.26</v>
      </c>
      <c r="N528" s="99">
        <v>12.986000000000001</v>
      </c>
      <c r="O528" s="99">
        <v>-45.792000000000002</v>
      </c>
      <c r="P528" s="99">
        <v>106.163</v>
      </c>
      <c r="Q528" s="99">
        <v>29.332999999999998</v>
      </c>
      <c r="R528" s="99">
        <v>40.317</v>
      </c>
      <c r="S528" s="20">
        <v>53.94</v>
      </c>
      <c r="T528" s="20">
        <v>8.5939999999999994</v>
      </c>
      <c r="U528" s="20">
        <v>72.567999999999998</v>
      </c>
      <c r="V528" s="20" t="s">
        <v>289</v>
      </c>
      <c r="AD528" s="24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Z528" s="5"/>
    </row>
    <row r="529" spans="2:52">
      <c r="C529" s="44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AD529" s="24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Z529" s="5"/>
    </row>
    <row r="530" spans="2:52" ht="14.25">
      <c r="B530" t="s">
        <v>2985</v>
      </c>
      <c r="C530" s="44" t="str">
        <f>B530</f>
        <v>CF_CHANGE_IN_ACCOUNTS_PAYABLE</v>
      </c>
      <c r="D530" s="99" t="s">
        <v>289</v>
      </c>
      <c r="E530" s="99" t="s">
        <v>289</v>
      </c>
      <c r="F530" s="99" t="s">
        <v>289</v>
      </c>
      <c r="G530" s="99" t="s">
        <v>289</v>
      </c>
      <c r="H530" s="99" t="s">
        <v>289</v>
      </c>
      <c r="I530" s="99" t="s">
        <v>289</v>
      </c>
      <c r="J530" s="99" t="s">
        <v>289</v>
      </c>
      <c r="K530" s="99" t="s">
        <v>289</v>
      </c>
      <c r="L530" s="99">
        <v>24.77</v>
      </c>
      <c r="M530" s="99">
        <v>14.26</v>
      </c>
      <c r="N530" s="99">
        <v>12.986000000000001</v>
      </c>
      <c r="O530" s="99">
        <v>-45.792000000000002</v>
      </c>
      <c r="P530" s="99">
        <v>106.163</v>
      </c>
      <c r="Q530" s="99">
        <v>29.332999999999998</v>
      </c>
      <c r="R530" s="99">
        <v>40.317</v>
      </c>
      <c r="S530" s="20">
        <v>53.94</v>
      </c>
      <c r="T530" s="20">
        <v>8.5939999999999994</v>
      </c>
      <c r="U530" s="20">
        <v>72.567999999999998</v>
      </c>
      <c r="V530" s="20" t="s">
        <v>289</v>
      </c>
    </row>
    <row r="531" spans="2:52" ht="13.15">
      <c r="C531" s="9" t="s">
        <v>3021</v>
      </c>
      <c r="D531" s="122">
        <f>SUM(D528:D530)</f>
        <v>0</v>
      </c>
      <c r="E531" s="122">
        <f>SUM(E528:E530)</f>
        <v>0</v>
      </c>
      <c r="F531" s="122">
        <f t="shared" ref="F531:R531" si="266">SUM(F528:F530)</f>
        <v>0</v>
      </c>
      <c r="G531" s="122">
        <f t="shared" si="266"/>
        <v>0</v>
      </c>
      <c r="H531" s="122">
        <f t="shared" si="266"/>
        <v>0</v>
      </c>
      <c r="I531" s="122">
        <f t="shared" si="266"/>
        <v>0</v>
      </c>
      <c r="J531" s="122">
        <f t="shared" si="266"/>
        <v>0</v>
      </c>
      <c r="K531" s="122">
        <f t="shared" si="266"/>
        <v>0</v>
      </c>
      <c r="L531" s="122">
        <f t="shared" si="266"/>
        <v>49.54</v>
      </c>
      <c r="M531" s="122">
        <f t="shared" si="266"/>
        <v>28.52</v>
      </c>
      <c r="N531" s="122">
        <f t="shared" si="266"/>
        <v>25.972000000000001</v>
      </c>
      <c r="O531" s="122">
        <f t="shared" si="266"/>
        <v>-91.584000000000003</v>
      </c>
      <c r="P531" s="122">
        <f t="shared" si="266"/>
        <v>212.32599999999999</v>
      </c>
      <c r="Q531" s="122">
        <f t="shared" si="266"/>
        <v>58.665999999999997</v>
      </c>
      <c r="R531" s="122">
        <f t="shared" si="266"/>
        <v>80.634</v>
      </c>
    </row>
    <row r="533" spans="2:52">
      <c r="B533" s="5" t="s">
        <v>2676</v>
      </c>
      <c r="C533" s="44" t="str">
        <f>B533</f>
        <v>ARDR_CHANGE_IN_INVENTORIES</v>
      </c>
      <c r="D533" s="99" t="s">
        <v>289</v>
      </c>
      <c r="E533" s="99" t="s">
        <v>289</v>
      </c>
      <c r="F533" s="99" t="s">
        <v>289</v>
      </c>
      <c r="G533" s="99" t="s">
        <v>289</v>
      </c>
      <c r="H533" s="99" t="s">
        <v>289</v>
      </c>
      <c r="I533" s="99" t="s">
        <v>289</v>
      </c>
      <c r="J533" s="99" t="s">
        <v>289</v>
      </c>
      <c r="K533" s="99" t="s">
        <v>289</v>
      </c>
      <c r="L533" s="99" t="s">
        <v>289</v>
      </c>
      <c r="M533" s="99" t="s">
        <v>289</v>
      </c>
      <c r="N533" s="99" t="s">
        <v>289</v>
      </c>
      <c r="O533" s="99" t="s">
        <v>289</v>
      </c>
      <c r="P533" s="99" t="s">
        <v>289</v>
      </c>
      <c r="Q533" s="99" t="s">
        <v>289</v>
      </c>
      <c r="R533" s="99" t="s">
        <v>289</v>
      </c>
      <c r="S533" s="20" t="s">
        <v>289</v>
      </c>
      <c r="T533" s="20" t="s">
        <v>289</v>
      </c>
      <c r="U533" s="20" t="s">
        <v>289</v>
      </c>
      <c r="V533" s="20" t="s">
        <v>289</v>
      </c>
      <c r="AD533" s="24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Z533" s="5"/>
    </row>
    <row r="534" spans="2:52">
      <c r="B534" s="5" t="s">
        <v>2668</v>
      </c>
      <c r="C534" s="44" t="str">
        <f>B534</f>
        <v>ARD_CHANGE_IN_INVENTORIES</v>
      </c>
      <c r="D534" s="99" t="s">
        <v>289</v>
      </c>
      <c r="E534" s="99" t="s">
        <v>289</v>
      </c>
      <c r="F534" s="99" t="s">
        <v>289</v>
      </c>
      <c r="G534" s="99" t="s">
        <v>289</v>
      </c>
      <c r="H534" s="99" t="s">
        <v>289</v>
      </c>
      <c r="I534" s="99" t="s">
        <v>289</v>
      </c>
      <c r="J534" s="99" t="s">
        <v>289</v>
      </c>
      <c r="K534" s="99" t="s">
        <v>289</v>
      </c>
      <c r="L534" s="99">
        <v>-18.940000000000001</v>
      </c>
      <c r="M534" s="99">
        <v>-19.548999999999999</v>
      </c>
      <c r="N534" s="99">
        <v>-65.548000000000002</v>
      </c>
      <c r="O534" s="99">
        <v>-2.8849999999999998</v>
      </c>
      <c r="P534" s="99">
        <v>-33.186999999999998</v>
      </c>
      <c r="Q534" s="99">
        <v>-88.483000000000004</v>
      </c>
      <c r="R534" s="99">
        <v>-4.6379999999999999</v>
      </c>
      <c r="S534" s="20">
        <v>-40.627000000000002</v>
      </c>
      <c r="T534" s="20">
        <v>-67.796999999999997</v>
      </c>
      <c r="U534" s="20">
        <v>-81.308999999999997</v>
      </c>
      <c r="V534" s="20" t="s">
        <v>289</v>
      </c>
      <c r="AD534" s="24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Z534" s="5"/>
    </row>
    <row r="535" spans="2:52" ht="13.15">
      <c r="C535" s="121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AD535" s="24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Z535" s="5"/>
    </row>
    <row r="536" spans="2:52">
      <c r="B536" s="5" t="s">
        <v>2682</v>
      </c>
      <c r="C536" s="44" t="str">
        <f>B536</f>
        <v>CF_CHANGE_IN_INVENTORIES</v>
      </c>
      <c r="D536" s="99" t="s">
        <v>289</v>
      </c>
      <c r="E536" s="99" t="s">
        <v>289</v>
      </c>
      <c r="F536" s="99" t="s">
        <v>289</v>
      </c>
      <c r="G536" s="99" t="s">
        <v>289</v>
      </c>
      <c r="H536" s="99" t="s">
        <v>289</v>
      </c>
      <c r="I536" s="99" t="s">
        <v>289</v>
      </c>
      <c r="J536" s="99" t="s">
        <v>289</v>
      </c>
      <c r="K536" s="99" t="s">
        <v>289</v>
      </c>
      <c r="L536" s="99">
        <v>-18.940000000000001</v>
      </c>
      <c r="M536" s="99">
        <v>-19.548999999999999</v>
      </c>
      <c r="N536" s="99">
        <v>-65.548000000000002</v>
      </c>
      <c r="O536" s="99">
        <v>-2.8849999999999998</v>
      </c>
      <c r="P536" s="99">
        <v>-33.186999999999998</v>
      </c>
      <c r="Q536" s="99">
        <v>-88.483000000000004</v>
      </c>
      <c r="R536" s="99">
        <v>-4.6379999999999999</v>
      </c>
      <c r="S536" s="20">
        <v>-40.627000000000002</v>
      </c>
      <c r="T536" s="20">
        <v>-67.796999999999997</v>
      </c>
      <c r="U536" s="20">
        <v>-81.308999999999997</v>
      </c>
      <c r="V536" s="20" t="s">
        <v>289</v>
      </c>
      <c r="AD536" s="24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Z536" s="5"/>
    </row>
    <row r="537" spans="2:52" ht="13.15">
      <c r="C537" s="9" t="s">
        <v>2988</v>
      </c>
      <c r="D537" s="122">
        <f t="shared" ref="D537:R537" si="267">SUM(D533:D535)</f>
        <v>0</v>
      </c>
      <c r="E537" s="122">
        <f t="shared" si="267"/>
        <v>0</v>
      </c>
      <c r="F537" s="122">
        <f t="shared" si="267"/>
        <v>0</v>
      </c>
      <c r="G537" s="122">
        <f t="shared" si="267"/>
        <v>0</v>
      </c>
      <c r="H537" s="122">
        <f t="shared" si="267"/>
        <v>0</v>
      </c>
      <c r="I537" s="122">
        <f t="shared" si="267"/>
        <v>0</v>
      </c>
      <c r="J537" s="122">
        <f t="shared" si="267"/>
        <v>0</v>
      </c>
      <c r="K537" s="122">
        <f t="shared" si="267"/>
        <v>0</v>
      </c>
      <c r="L537" s="122">
        <f t="shared" si="267"/>
        <v>-18.940000000000001</v>
      </c>
      <c r="M537" s="122">
        <f t="shared" si="267"/>
        <v>-19.548999999999999</v>
      </c>
      <c r="N537" s="122">
        <f t="shared" si="267"/>
        <v>-65.548000000000002</v>
      </c>
      <c r="O537" s="122">
        <f t="shared" si="267"/>
        <v>-2.8849999999999998</v>
      </c>
      <c r="P537" s="122">
        <f t="shared" si="267"/>
        <v>-33.186999999999998</v>
      </c>
      <c r="Q537" s="122">
        <f t="shared" si="267"/>
        <v>-88.483000000000004</v>
      </c>
      <c r="R537" s="122">
        <f t="shared" si="267"/>
        <v>-4.6379999999999999</v>
      </c>
    </row>
    <row r="539" spans="2:52">
      <c r="B539" s="5" t="s">
        <v>2673</v>
      </c>
      <c r="C539" s="44" t="str">
        <f>B539</f>
        <v>ARD_CHG_IN_OTHER_CURRENT_LIAB</v>
      </c>
      <c r="D539" s="99" t="s">
        <v>289</v>
      </c>
      <c r="E539" s="99" t="s">
        <v>289</v>
      </c>
      <c r="F539" s="99" t="s">
        <v>289</v>
      </c>
      <c r="G539" s="99" t="s">
        <v>289</v>
      </c>
      <c r="H539" s="99" t="s">
        <v>289</v>
      </c>
      <c r="I539" s="99" t="s">
        <v>289</v>
      </c>
      <c r="J539" s="99" t="s">
        <v>289</v>
      </c>
      <c r="K539" s="99" t="s">
        <v>289</v>
      </c>
      <c r="L539" s="99" t="s">
        <v>289</v>
      </c>
      <c r="M539" s="99" t="s">
        <v>289</v>
      </c>
      <c r="N539" s="99" t="s">
        <v>289</v>
      </c>
      <c r="O539" s="99" t="s">
        <v>289</v>
      </c>
      <c r="P539" s="99" t="s">
        <v>289</v>
      </c>
      <c r="Q539" s="99" t="s">
        <v>289</v>
      </c>
      <c r="R539" s="99" t="s">
        <v>289</v>
      </c>
      <c r="S539" s="20" t="s">
        <v>289</v>
      </c>
      <c r="T539" s="20" t="s">
        <v>289</v>
      </c>
      <c r="U539" s="20" t="s">
        <v>289</v>
      </c>
      <c r="V539" s="20" t="s">
        <v>289</v>
      </c>
      <c r="AD539" s="24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Z539" s="5"/>
    </row>
    <row r="540" spans="2:52">
      <c r="B540" s="5" t="s">
        <v>2675</v>
      </c>
      <c r="C540" s="44" t="str">
        <f>B540</f>
        <v>ARD_INCR_DECR_IN_TRADE_OTHER_REC</v>
      </c>
      <c r="D540" s="99" t="s">
        <v>289</v>
      </c>
      <c r="E540" s="99" t="s">
        <v>289</v>
      </c>
      <c r="F540" s="99" t="s">
        <v>289</v>
      </c>
      <c r="G540" s="99" t="s">
        <v>289</v>
      </c>
      <c r="H540" s="99" t="s">
        <v>289</v>
      </c>
      <c r="I540" s="99" t="s">
        <v>289</v>
      </c>
      <c r="J540" s="99" t="s">
        <v>289</v>
      </c>
      <c r="K540" s="99" t="s">
        <v>289</v>
      </c>
      <c r="L540" s="99" t="s">
        <v>289</v>
      </c>
      <c r="M540" s="99" t="s">
        <v>289</v>
      </c>
      <c r="N540" s="99" t="s">
        <v>289</v>
      </c>
      <c r="O540" s="99" t="s">
        <v>289</v>
      </c>
      <c r="P540" s="99" t="s">
        <v>289</v>
      </c>
      <c r="Q540" s="99" t="s">
        <v>289</v>
      </c>
      <c r="R540" s="99" t="s">
        <v>289</v>
      </c>
      <c r="S540" s="20" t="s">
        <v>289</v>
      </c>
      <c r="T540" s="20" t="s">
        <v>289</v>
      </c>
      <c r="U540" s="20" t="s">
        <v>289</v>
      </c>
      <c r="V540" s="20" t="s">
        <v>289</v>
      </c>
      <c r="AD540" s="24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Z540" s="5"/>
    </row>
    <row r="541" spans="2:52" ht="13.15">
      <c r="C541" s="121"/>
    </row>
    <row r="542" spans="2:52">
      <c r="B542" s="5" t="s">
        <v>2683</v>
      </c>
      <c r="C542" s="44" t="str">
        <f>B542</f>
        <v>CF_INC_DEC_IN_OT_OP_AST_LIAB</v>
      </c>
      <c r="D542" s="99" t="s">
        <v>289</v>
      </c>
      <c r="E542" s="99" t="s">
        <v>289</v>
      </c>
      <c r="F542" s="99" t="s">
        <v>289</v>
      </c>
      <c r="G542" s="99" t="s">
        <v>289</v>
      </c>
      <c r="H542" s="99" t="s">
        <v>289</v>
      </c>
      <c r="I542" s="99" t="s">
        <v>289</v>
      </c>
      <c r="J542" s="99" t="s">
        <v>289</v>
      </c>
      <c r="K542" s="99" t="s">
        <v>289</v>
      </c>
      <c r="L542" s="99" t="s">
        <v>289</v>
      </c>
      <c r="M542" s="99" t="s">
        <v>289</v>
      </c>
      <c r="N542" s="99" t="s">
        <v>289</v>
      </c>
      <c r="O542" s="99" t="s">
        <v>289</v>
      </c>
      <c r="P542" s="99" t="s">
        <v>289</v>
      </c>
      <c r="Q542" s="99" t="s">
        <v>289</v>
      </c>
      <c r="R542" s="99" t="s">
        <v>289</v>
      </c>
      <c r="S542" s="20" t="s">
        <v>289</v>
      </c>
      <c r="T542" s="20" t="s">
        <v>289</v>
      </c>
      <c r="U542" s="20" t="s">
        <v>289</v>
      </c>
      <c r="V542" s="20" t="s">
        <v>289</v>
      </c>
      <c r="AD542" s="24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Z542" s="5"/>
    </row>
    <row r="543" spans="2:52" ht="13.15">
      <c r="C543" s="9" t="s">
        <v>2989</v>
      </c>
      <c r="D543" s="122">
        <f t="shared" ref="D543:R543" si="268">SUM(D539:D542)</f>
        <v>0</v>
      </c>
      <c r="E543" s="122">
        <f t="shared" si="268"/>
        <v>0</v>
      </c>
      <c r="F543" s="122">
        <f t="shared" si="268"/>
        <v>0</v>
      </c>
      <c r="G543" s="122">
        <f t="shared" si="268"/>
        <v>0</v>
      </c>
      <c r="H543" s="122">
        <f t="shared" si="268"/>
        <v>0</v>
      </c>
      <c r="I543" s="122">
        <f t="shared" si="268"/>
        <v>0</v>
      </c>
      <c r="J543" s="122">
        <f t="shared" si="268"/>
        <v>0</v>
      </c>
      <c r="K543" s="122">
        <f t="shared" si="268"/>
        <v>0</v>
      </c>
      <c r="L543" s="122">
        <f t="shared" si="268"/>
        <v>0</v>
      </c>
      <c r="M543" s="122">
        <f t="shared" si="268"/>
        <v>0</v>
      </c>
      <c r="N543" s="122">
        <f t="shared" si="268"/>
        <v>0</v>
      </c>
      <c r="O543" s="122">
        <f t="shared" si="268"/>
        <v>0</v>
      </c>
      <c r="P543" s="122">
        <f t="shared" si="268"/>
        <v>0</v>
      </c>
      <c r="Q543" s="122">
        <f t="shared" si="268"/>
        <v>0</v>
      </c>
      <c r="R543" s="122">
        <f t="shared" si="268"/>
        <v>0</v>
      </c>
    </row>
    <row r="544" spans="2:52" ht="13.15">
      <c r="C544" s="9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</row>
    <row r="545" spans="2:52">
      <c r="B545" s="5" t="s">
        <v>3022</v>
      </c>
      <c r="C545" s="44" t="str">
        <f>B545</f>
        <v>ARD_NET_CHG_IN_WORKING_CAPITAL</v>
      </c>
      <c r="D545" s="99" t="s">
        <v>289</v>
      </c>
      <c r="E545" s="99" t="s">
        <v>289</v>
      </c>
      <c r="F545" s="99" t="s">
        <v>289</v>
      </c>
      <c r="G545" s="99" t="s">
        <v>289</v>
      </c>
      <c r="H545" s="99" t="s">
        <v>289</v>
      </c>
      <c r="I545" s="99" t="s">
        <v>289</v>
      </c>
      <c r="J545" s="99" t="s">
        <v>289</v>
      </c>
      <c r="K545" s="99" t="s">
        <v>289</v>
      </c>
      <c r="L545" s="99" t="s">
        <v>289</v>
      </c>
      <c r="M545" s="99" t="s">
        <v>289</v>
      </c>
      <c r="N545" s="99" t="s">
        <v>289</v>
      </c>
      <c r="O545" s="99" t="s">
        <v>289</v>
      </c>
      <c r="P545" s="99" t="s">
        <v>289</v>
      </c>
      <c r="Q545" s="99" t="s">
        <v>289</v>
      </c>
      <c r="R545" s="99" t="s">
        <v>289</v>
      </c>
      <c r="S545" s="20" t="s">
        <v>289</v>
      </c>
      <c r="T545" s="20" t="s">
        <v>289</v>
      </c>
      <c r="U545" s="20" t="s">
        <v>289</v>
      </c>
      <c r="V545" s="20" t="s">
        <v>289</v>
      </c>
    </row>
    <row r="546" spans="2:52">
      <c r="C546" s="44"/>
    </row>
    <row r="547" spans="2:52">
      <c r="B547" s="5" t="s">
        <v>3114</v>
      </c>
      <c r="C547" s="44" t="s">
        <v>2494</v>
      </c>
      <c r="D547" s="99" t="s">
        <v>289</v>
      </c>
      <c r="E547" s="99" t="s">
        <v>289</v>
      </c>
      <c r="F547" s="99" t="s">
        <v>289</v>
      </c>
      <c r="G547" s="99" t="s">
        <v>289</v>
      </c>
      <c r="H547" s="99" t="s">
        <v>289</v>
      </c>
      <c r="I547" s="99" t="s">
        <v>289</v>
      </c>
      <c r="J547" s="99" t="s">
        <v>289</v>
      </c>
      <c r="K547" s="99" t="s">
        <v>289</v>
      </c>
      <c r="L547" s="99" t="s">
        <v>289</v>
      </c>
      <c r="M547" s="99" t="s">
        <v>289</v>
      </c>
      <c r="N547" s="99" t="s">
        <v>289</v>
      </c>
      <c r="O547" s="99" t="s">
        <v>289</v>
      </c>
      <c r="P547" s="99">
        <v>-20.8</v>
      </c>
      <c r="Q547" s="99" t="s">
        <v>289</v>
      </c>
      <c r="R547" s="99" t="s">
        <v>289</v>
      </c>
    </row>
    <row r="548" spans="2:52">
      <c r="B548" s="5" t="s">
        <v>2494</v>
      </c>
      <c r="C548" s="44" t="str">
        <f>B548</f>
        <v>ARDR_CHANGE_OTHER_PROVISIONS</v>
      </c>
      <c r="D548" s="99" t="s">
        <v>289</v>
      </c>
      <c r="E548" s="99" t="s">
        <v>289</v>
      </c>
      <c r="F548" s="99" t="s">
        <v>289</v>
      </c>
      <c r="G548" s="99" t="s">
        <v>289</v>
      </c>
      <c r="H548" s="99" t="s">
        <v>289</v>
      </c>
      <c r="I548" s="99" t="s">
        <v>289</v>
      </c>
      <c r="J548" s="99" t="s">
        <v>289</v>
      </c>
      <c r="K548" s="99" t="s">
        <v>289</v>
      </c>
      <c r="L548" s="99" t="s">
        <v>289</v>
      </c>
      <c r="M548" s="99" t="s">
        <v>289</v>
      </c>
      <c r="N548" s="99" t="s">
        <v>289</v>
      </c>
      <c r="O548" s="99" t="s">
        <v>289</v>
      </c>
      <c r="P548" s="99" t="s">
        <v>289</v>
      </c>
      <c r="Q548" s="99" t="s">
        <v>289</v>
      </c>
      <c r="R548" s="99" t="s">
        <v>289</v>
      </c>
      <c r="S548" s="20" t="s">
        <v>289</v>
      </c>
      <c r="T548" s="20" t="s">
        <v>289</v>
      </c>
      <c r="U548" s="20" t="s">
        <v>289</v>
      </c>
      <c r="V548" s="20" t="s">
        <v>289</v>
      </c>
      <c r="AD548" s="24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Z548" s="5"/>
    </row>
    <row r="549" spans="2:52" ht="13.15">
      <c r="C549" s="9" t="s">
        <v>3026</v>
      </c>
      <c r="D549" s="122">
        <f>SUM(D547:D548)</f>
        <v>0</v>
      </c>
      <c r="E549" s="122">
        <f>SUM(E547:E548)</f>
        <v>0</v>
      </c>
      <c r="F549" s="122">
        <f>SUM(F547:F548)</f>
        <v>0</v>
      </c>
      <c r="G549" s="122">
        <f t="shared" ref="G549:R549" si="269">SUM(G547:G548)</f>
        <v>0</v>
      </c>
      <c r="H549" s="122">
        <f t="shared" si="269"/>
        <v>0</v>
      </c>
      <c r="I549" s="122">
        <f t="shared" si="269"/>
        <v>0</v>
      </c>
      <c r="J549" s="122">
        <f t="shared" si="269"/>
        <v>0</v>
      </c>
      <c r="K549" s="122">
        <f t="shared" si="269"/>
        <v>0</v>
      </c>
      <c r="L549" s="122">
        <f t="shared" si="269"/>
        <v>0</v>
      </c>
      <c r="M549" s="122">
        <f t="shared" si="269"/>
        <v>0</v>
      </c>
      <c r="N549" s="122">
        <f t="shared" si="269"/>
        <v>0</v>
      </c>
      <c r="O549" s="122">
        <f t="shared" si="269"/>
        <v>0</v>
      </c>
      <c r="P549" s="122">
        <f t="shared" si="269"/>
        <v>-20.8</v>
      </c>
      <c r="Q549" s="122">
        <f t="shared" si="269"/>
        <v>0</v>
      </c>
      <c r="R549" s="122">
        <f t="shared" si="269"/>
        <v>0</v>
      </c>
    </row>
    <row r="552" spans="2:52">
      <c r="B552" s="5" t="s">
        <v>3023</v>
      </c>
      <c r="C552" s="44" t="str">
        <f>B552</f>
        <v>ARD_STOCK_BASED_COMPENSATION</v>
      </c>
      <c r="D552" s="99" t="s">
        <v>289</v>
      </c>
      <c r="E552" s="99" t="s">
        <v>289</v>
      </c>
      <c r="F552" s="99" t="s">
        <v>289</v>
      </c>
      <c r="G552" s="99" t="s">
        <v>289</v>
      </c>
      <c r="H552" s="99" t="s">
        <v>289</v>
      </c>
      <c r="I552" s="99" t="s">
        <v>289</v>
      </c>
      <c r="J552" s="99" t="s">
        <v>289</v>
      </c>
      <c r="K552" s="99" t="s">
        <v>289</v>
      </c>
      <c r="L552" s="99" t="s">
        <v>289</v>
      </c>
      <c r="M552" s="99" t="s">
        <v>289</v>
      </c>
      <c r="N552" s="99" t="s">
        <v>289</v>
      </c>
      <c r="O552" s="99" t="s">
        <v>289</v>
      </c>
      <c r="P552" s="99" t="s">
        <v>289</v>
      </c>
      <c r="Q552" s="99" t="s">
        <v>289</v>
      </c>
      <c r="R552" s="99" t="s">
        <v>289</v>
      </c>
      <c r="S552" s="20" t="s">
        <v>289</v>
      </c>
      <c r="T552" s="20" t="s">
        <v>289</v>
      </c>
      <c r="U552" s="20" t="s">
        <v>289</v>
      </c>
      <c r="V552" s="20" t="s">
        <v>289</v>
      </c>
      <c r="AD552" s="24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Z552" s="5"/>
    </row>
    <row r="553" spans="2:52">
      <c r="B553" s="5" t="s">
        <v>2492</v>
      </c>
      <c r="C553" s="44" t="str">
        <f>B553</f>
        <v>ARDR_STOCK_BASED_COMPENSATION</v>
      </c>
      <c r="D553" s="99" t="s">
        <v>289</v>
      </c>
      <c r="E553" s="99" t="s">
        <v>289</v>
      </c>
      <c r="F553" s="99" t="s">
        <v>289</v>
      </c>
      <c r="G553" s="99" t="s">
        <v>289</v>
      </c>
      <c r="H553" s="99" t="s">
        <v>289</v>
      </c>
      <c r="I553" s="99" t="s">
        <v>289</v>
      </c>
      <c r="J553" s="99" t="s">
        <v>289</v>
      </c>
      <c r="K553" s="99" t="s">
        <v>289</v>
      </c>
      <c r="L553" s="99" t="s">
        <v>289</v>
      </c>
      <c r="M553" s="99" t="s">
        <v>289</v>
      </c>
      <c r="N553" s="99" t="s">
        <v>289</v>
      </c>
      <c r="O553" s="99" t="s">
        <v>289</v>
      </c>
      <c r="P553" s="99" t="s">
        <v>289</v>
      </c>
      <c r="Q553" s="99" t="s">
        <v>289</v>
      </c>
      <c r="R553" s="99" t="s">
        <v>289</v>
      </c>
      <c r="S553" s="20" t="s">
        <v>289</v>
      </c>
      <c r="T553" s="20" t="s">
        <v>289</v>
      </c>
      <c r="U553" s="20" t="s">
        <v>289</v>
      </c>
      <c r="V553" s="20" t="s">
        <v>289</v>
      </c>
      <c r="AD553" s="24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Z553" s="5"/>
    </row>
    <row r="554" spans="2:52" ht="13.15">
      <c r="C554" s="9" t="s">
        <v>3025</v>
      </c>
      <c r="D554" s="122">
        <f t="shared" ref="D554:Q554" si="270">SUM(D552:D553)</f>
        <v>0</v>
      </c>
      <c r="E554" s="122">
        <f t="shared" si="270"/>
        <v>0</v>
      </c>
      <c r="F554" s="122">
        <f t="shared" si="270"/>
        <v>0</v>
      </c>
      <c r="G554" s="122">
        <f t="shared" si="270"/>
        <v>0</v>
      </c>
      <c r="H554" s="122">
        <f t="shared" si="270"/>
        <v>0</v>
      </c>
      <c r="I554" s="122">
        <f t="shared" si="270"/>
        <v>0</v>
      </c>
      <c r="J554" s="122">
        <f t="shared" si="270"/>
        <v>0</v>
      </c>
      <c r="K554" s="122">
        <f t="shared" si="270"/>
        <v>0</v>
      </c>
      <c r="L554" s="122">
        <f t="shared" si="270"/>
        <v>0</v>
      </c>
      <c r="M554" s="122">
        <f t="shared" si="270"/>
        <v>0</v>
      </c>
      <c r="N554" s="122">
        <f t="shared" si="270"/>
        <v>0</v>
      </c>
      <c r="O554" s="122">
        <f t="shared" si="270"/>
        <v>0</v>
      </c>
      <c r="P554" s="122">
        <f t="shared" si="270"/>
        <v>0</v>
      </c>
      <c r="Q554" s="122">
        <f t="shared" si="270"/>
        <v>0</v>
      </c>
      <c r="R554" s="122">
        <f>SUM(R552:R553)</f>
        <v>0</v>
      </c>
      <c r="AD554" s="24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Z554" s="5"/>
    </row>
    <row r="557" spans="2:52">
      <c r="B557" s="5" t="s">
        <v>3068</v>
      </c>
      <c r="C557" s="44" t="s">
        <v>3068</v>
      </c>
      <c r="D557" s="16" t="s">
        <v>289</v>
      </c>
      <c r="E557" s="16" t="s">
        <v>289</v>
      </c>
      <c r="F557" s="16" t="s">
        <v>289</v>
      </c>
      <c r="G557" s="16" t="s">
        <v>289</v>
      </c>
      <c r="H557" s="16" t="s">
        <v>289</v>
      </c>
      <c r="I557" s="16" t="s">
        <v>289</v>
      </c>
      <c r="J557" s="16" t="s">
        <v>289</v>
      </c>
      <c r="K557" s="99" t="s">
        <v>289</v>
      </c>
      <c r="L557" s="99" t="s">
        <v>289</v>
      </c>
      <c r="M557" s="99" t="s">
        <v>289</v>
      </c>
      <c r="N557" s="99" t="s">
        <v>289</v>
      </c>
      <c r="O557" s="99" t="s">
        <v>289</v>
      </c>
      <c r="P557" s="99">
        <v>-2</v>
      </c>
      <c r="Q557" s="99">
        <v>-4.8</v>
      </c>
      <c r="R557" s="99">
        <v>-6.9</v>
      </c>
      <c r="AD557" s="24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Z557" s="5"/>
    </row>
    <row r="558" spans="2:52" ht="13.15">
      <c r="C558" s="9" t="s">
        <v>3066</v>
      </c>
      <c r="D558" s="122">
        <f t="shared" ref="D558:R558" si="271">SUM(D556:D557)</f>
        <v>0</v>
      </c>
      <c r="E558" s="122">
        <f t="shared" si="271"/>
        <v>0</v>
      </c>
      <c r="F558" s="122">
        <f t="shared" si="271"/>
        <v>0</v>
      </c>
      <c r="G558" s="122">
        <f t="shared" si="271"/>
        <v>0</v>
      </c>
      <c r="H558" s="122">
        <f t="shared" si="271"/>
        <v>0</v>
      </c>
      <c r="I558" s="122">
        <f t="shared" si="271"/>
        <v>0</v>
      </c>
      <c r="J558" s="122">
        <f t="shared" si="271"/>
        <v>0</v>
      </c>
      <c r="K558" s="122">
        <f t="shared" si="271"/>
        <v>0</v>
      </c>
      <c r="L558" s="122">
        <f t="shared" si="271"/>
        <v>0</v>
      </c>
      <c r="M558" s="122">
        <f t="shared" si="271"/>
        <v>0</v>
      </c>
      <c r="N558" s="122">
        <f t="shared" si="271"/>
        <v>0</v>
      </c>
      <c r="O558" s="122">
        <f t="shared" si="271"/>
        <v>0</v>
      </c>
      <c r="P558" s="122">
        <f t="shared" si="271"/>
        <v>-2</v>
      </c>
      <c r="Q558" s="122">
        <f t="shared" si="271"/>
        <v>-4.8</v>
      </c>
      <c r="R558" s="122">
        <f t="shared" si="271"/>
        <v>-6.9</v>
      </c>
      <c r="AD558" s="24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Z558" s="5"/>
    </row>
    <row r="560" spans="2:52">
      <c r="B560" s="5" t="s">
        <v>2493</v>
      </c>
      <c r="C560" s="44" t="str">
        <f>B560</f>
        <v>ARDR_OTHER_NON_CASH_ITEMS</v>
      </c>
      <c r="D560" s="16" t="s">
        <v>289</v>
      </c>
      <c r="E560" s="16" t="s">
        <v>289</v>
      </c>
      <c r="F560" s="16" t="s">
        <v>289</v>
      </c>
      <c r="G560" s="16" t="s">
        <v>289</v>
      </c>
      <c r="H560" s="16" t="s">
        <v>289</v>
      </c>
      <c r="I560" s="16" t="s">
        <v>289</v>
      </c>
      <c r="J560" s="16" t="s">
        <v>289</v>
      </c>
      <c r="K560" s="99" t="s">
        <v>289</v>
      </c>
      <c r="L560" s="99" t="s">
        <v>289</v>
      </c>
      <c r="M560" s="99" t="s">
        <v>289</v>
      </c>
      <c r="N560" s="99" t="s">
        <v>289</v>
      </c>
      <c r="O560" s="99" t="s">
        <v>289</v>
      </c>
      <c r="P560" s="99" t="s">
        <v>289</v>
      </c>
      <c r="Q560" s="99" t="s">
        <v>289</v>
      </c>
      <c r="R560" s="99" t="s">
        <v>289</v>
      </c>
      <c r="S560" s="20" t="s">
        <v>289</v>
      </c>
      <c r="T560" s="20" t="s">
        <v>289</v>
      </c>
      <c r="U560" s="20" t="s">
        <v>289</v>
      </c>
      <c r="V560" s="20" t="s">
        <v>289</v>
      </c>
      <c r="AD560" s="24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Z560" s="5"/>
    </row>
    <row r="561" spans="2:52" ht="13.15">
      <c r="C561" s="9" t="s">
        <v>3067</v>
      </c>
      <c r="D561" s="122">
        <f t="shared" ref="D561:Q561" si="272">SUM(D559:D560)</f>
        <v>0</v>
      </c>
      <c r="E561" s="122">
        <f t="shared" si="272"/>
        <v>0</v>
      </c>
      <c r="F561" s="122">
        <f t="shared" si="272"/>
        <v>0</v>
      </c>
      <c r="G561" s="122">
        <f t="shared" si="272"/>
        <v>0</v>
      </c>
      <c r="H561" s="122">
        <f t="shared" si="272"/>
        <v>0</v>
      </c>
      <c r="I561" s="122">
        <f t="shared" si="272"/>
        <v>0</v>
      </c>
      <c r="J561" s="122">
        <f t="shared" si="272"/>
        <v>0</v>
      </c>
      <c r="K561" s="122">
        <f t="shared" si="272"/>
        <v>0</v>
      </c>
      <c r="L561" s="122">
        <f t="shared" si="272"/>
        <v>0</v>
      </c>
      <c r="M561" s="122">
        <f t="shared" si="272"/>
        <v>0</v>
      </c>
      <c r="N561" s="122">
        <f t="shared" si="272"/>
        <v>0</v>
      </c>
      <c r="O561" s="122">
        <f t="shared" si="272"/>
        <v>0</v>
      </c>
      <c r="P561" s="122">
        <f t="shared" si="272"/>
        <v>0</v>
      </c>
      <c r="Q561" s="122">
        <f t="shared" si="272"/>
        <v>0</v>
      </c>
      <c r="R561" s="122">
        <f>SUM(R559:R560)</f>
        <v>0</v>
      </c>
      <c r="AD561" s="24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Z561" s="5"/>
    </row>
    <row r="562" spans="2:52" ht="13.15">
      <c r="C562" s="9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AD562" s="24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Z562" s="5"/>
    </row>
    <row r="563" spans="2:52">
      <c r="B563" s="5" t="s">
        <v>3065</v>
      </c>
      <c r="C563" s="44" t="str">
        <f>B563</f>
        <v>ARD_GAIN_LOSS_SALES_FIXED_ASSETS</v>
      </c>
      <c r="D563" s="20" t="s">
        <v>289</v>
      </c>
      <c r="E563" s="20" t="s">
        <v>289</v>
      </c>
      <c r="F563" s="20" t="s">
        <v>289</v>
      </c>
      <c r="G563" s="20" t="s">
        <v>289</v>
      </c>
      <c r="H563" s="20" t="s">
        <v>289</v>
      </c>
      <c r="I563" s="20" t="s">
        <v>289</v>
      </c>
      <c r="J563" s="20" t="s">
        <v>289</v>
      </c>
      <c r="K563" s="20" t="s">
        <v>289</v>
      </c>
      <c r="L563" s="20" t="s">
        <v>289</v>
      </c>
      <c r="M563" s="20" t="s">
        <v>289</v>
      </c>
      <c r="N563" s="20" t="s">
        <v>289</v>
      </c>
      <c r="O563" s="20" t="s">
        <v>289</v>
      </c>
      <c r="P563" s="20" t="s">
        <v>289</v>
      </c>
      <c r="Q563" s="20" t="s">
        <v>289</v>
      </c>
      <c r="R563" s="20" t="s">
        <v>289</v>
      </c>
      <c r="S563" s="20" t="s">
        <v>289</v>
      </c>
      <c r="T563" s="20" t="s">
        <v>289</v>
      </c>
      <c r="U563" s="20" t="s">
        <v>289</v>
      </c>
      <c r="V563" s="20" t="s">
        <v>289</v>
      </c>
    </row>
    <row r="564" spans="2:52">
      <c r="B564" s="5" t="s">
        <v>2495</v>
      </c>
      <c r="C564" s="44" t="str">
        <f>B564</f>
        <v>ARDR_GAIN_LOSS_SALES_FIX_ASSETS</v>
      </c>
      <c r="D564" s="16" t="s">
        <v>289</v>
      </c>
      <c r="E564" s="16" t="s">
        <v>289</v>
      </c>
      <c r="F564" s="16" t="s">
        <v>289</v>
      </c>
      <c r="G564" s="16" t="s">
        <v>289</v>
      </c>
      <c r="H564" s="16" t="s">
        <v>289</v>
      </c>
      <c r="I564" s="16" t="s">
        <v>289</v>
      </c>
      <c r="J564" s="16" t="s">
        <v>289</v>
      </c>
      <c r="K564" s="99" t="s">
        <v>289</v>
      </c>
      <c r="L564" s="99" t="s">
        <v>289</v>
      </c>
      <c r="M564" s="99" t="s">
        <v>289</v>
      </c>
      <c r="N564" s="99" t="s">
        <v>289</v>
      </c>
      <c r="O564" s="99" t="s">
        <v>289</v>
      </c>
      <c r="P564" s="99" t="s">
        <v>289</v>
      </c>
      <c r="Q564" s="99" t="s">
        <v>289</v>
      </c>
      <c r="R564" s="99" t="s">
        <v>289</v>
      </c>
      <c r="S564" s="20" t="s">
        <v>289</v>
      </c>
      <c r="T564" s="20" t="s">
        <v>289</v>
      </c>
      <c r="U564" s="20" t="s">
        <v>289</v>
      </c>
      <c r="V564" s="20" t="s">
        <v>289</v>
      </c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Z564" s="5"/>
    </row>
    <row r="565" spans="2:52" ht="13.15">
      <c r="C565" s="9" t="s">
        <v>3028</v>
      </c>
      <c r="D565" s="122">
        <f t="shared" ref="D565:R565" si="273">SUM(D563:D564)</f>
        <v>0</v>
      </c>
      <c r="E565" s="122">
        <f t="shared" si="273"/>
        <v>0</v>
      </c>
      <c r="F565" s="122">
        <f t="shared" si="273"/>
        <v>0</v>
      </c>
      <c r="G565" s="122">
        <f t="shared" si="273"/>
        <v>0</v>
      </c>
      <c r="H565" s="122">
        <f t="shared" si="273"/>
        <v>0</v>
      </c>
      <c r="I565" s="122">
        <f t="shared" si="273"/>
        <v>0</v>
      </c>
      <c r="J565" s="122">
        <f t="shared" si="273"/>
        <v>0</v>
      </c>
      <c r="K565" s="122">
        <f t="shared" si="273"/>
        <v>0</v>
      </c>
      <c r="L565" s="122">
        <f t="shared" si="273"/>
        <v>0</v>
      </c>
      <c r="M565" s="122">
        <f t="shared" si="273"/>
        <v>0</v>
      </c>
      <c r="N565" s="122">
        <f t="shared" si="273"/>
        <v>0</v>
      </c>
      <c r="O565" s="122">
        <f t="shared" si="273"/>
        <v>0</v>
      </c>
      <c r="P565" s="122">
        <f t="shared" si="273"/>
        <v>0</v>
      </c>
      <c r="Q565" s="122">
        <f t="shared" si="273"/>
        <v>0</v>
      </c>
      <c r="R565" s="122">
        <f t="shared" si="273"/>
        <v>0</v>
      </c>
      <c r="AD565" s="24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Z565" s="5"/>
    </row>
    <row r="566" spans="2:52" ht="13.15">
      <c r="C566" s="9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AD566" s="24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Z566" s="5"/>
    </row>
    <row r="567" spans="2:52" ht="13.15">
      <c r="C567" s="9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AD567" s="24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Z567" s="5"/>
    </row>
    <row r="568" spans="2:52">
      <c r="B568" s="5" t="s">
        <v>2498</v>
      </c>
      <c r="C568" s="44" t="str">
        <f>B568</f>
        <v>ARD_CASH_PAID_FOR_TAXES</v>
      </c>
      <c r="D568" s="16" t="s">
        <v>289</v>
      </c>
      <c r="E568" s="16" t="s">
        <v>289</v>
      </c>
      <c r="F568" s="16" t="s">
        <v>289</v>
      </c>
      <c r="G568" s="16" t="s">
        <v>289</v>
      </c>
      <c r="H568" s="16" t="s">
        <v>289</v>
      </c>
      <c r="I568" s="16" t="s">
        <v>289</v>
      </c>
      <c r="J568" s="16" t="s">
        <v>289</v>
      </c>
      <c r="K568" s="99" t="s">
        <v>289</v>
      </c>
      <c r="L568" s="99" t="s">
        <v>289</v>
      </c>
      <c r="M568" s="99" t="s">
        <v>289</v>
      </c>
      <c r="N568" s="99" t="s">
        <v>289</v>
      </c>
      <c r="O568" s="99" t="s">
        <v>289</v>
      </c>
      <c r="P568" s="99" t="s">
        <v>289</v>
      </c>
      <c r="Q568" s="99" t="s">
        <v>289</v>
      </c>
      <c r="R568" s="99" t="s">
        <v>289</v>
      </c>
      <c r="S568" s="20" t="s">
        <v>289</v>
      </c>
      <c r="T568" s="20" t="s">
        <v>289</v>
      </c>
      <c r="U568" s="20" t="s">
        <v>289</v>
      </c>
      <c r="V568" s="20" t="s">
        <v>289</v>
      </c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Z568" s="5"/>
    </row>
    <row r="569" spans="2:52" ht="13.15">
      <c r="D569" s="122">
        <f t="shared" ref="D569:R569" si="274">SUM(D567:D568)</f>
        <v>0</v>
      </c>
      <c r="E569" s="122">
        <f t="shared" si="274"/>
        <v>0</v>
      </c>
      <c r="F569" s="122">
        <f t="shared" si="274"/>
        <v>0</v>
      </c>
      <c r="G569" s="122">
        <f t="shared" si="274"/>
        <v>0</v>
      </c>
      <c r="H569" s="122">
        <f t="shared" si="274"/>
        <v>0</v>
      </c>
      <c r="I569" s="122">
        <f t="shared" si="274"/>
        <v>0</v>
      </c>
      <c r="J569" s="122">
        <f t="shared" si="274"/>
        <v>0</v>
      </c>
      <c r="K569" s="122">
        <f t="shared" si="274"/>
        <v>0</v>
      </c>
      <c r="L569" s="122">
        <f t="shared" si="274"/>
        <v>0</v>
      </c>
      <c r="M569" s="122">
        <f t="shared" si="274"/>
        <v>0</v>
      </c>
      <c r="N569" s="122">
        <f t="shared" si="274"/>
        <v>0</v>
      </c>
      <c r="O569" s="122">
        <f t="shared" si="274"/>
        <v>0</v>
      </c>
      <c r="P569" s="122">
        <f t="shared" si="274"/>
        <v>0</v>
      </c>
      <c r="Q569" s="122">
        <f t="shared" si="274"/>
        <v>0</v>
      </c>
      <c r="R569" s="122">
        <f t="shared" si="274"/>
        <v>0</v>
      </c>
      <c r="AD569" s="24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Z569" s="5"/>
    </row>
    <row r="570" spans="2:52">
      <c r="B570" s="5" t="s">
        <v>3063</v>
      </c>
      <c r="C570" s="44"/>
      <c r="D570" s="16" t="s">
        <v>289</v>
      </c>
      <c r="E570" s="16" t="s">
        <v>289</v>
      </c>
      <c r="F570" s="16" t="s">
        <v>289</v>
      </c>
      <c r="G570" s="16" t="s">
        <v>289</v>
      </c>
      <c r="H570" s="16" t="s">
        <v>289</v>
      </c>
      <c r="I570" s="16" t="s">
        <v>289</v>
      </c>
      <c r="J570" s="16" t="s">
        <v>289</v>
      </c>
      <c r="K570" s="99" t="s">
        <v>289</v>
      </c>
      <c r="L570" s="99">
        <v>134.322</v>
      </c>
      <c r="M570" s="99">
        <v>138.78399999999999</v>
      </c>
      <c r="N570" s="99">
        <v>140.91999999999999</v>
      </c>
      <c r="O570" s="99">
        <v>145.017</v>
      </c>
      <c r="P570" s="99">
        <v>252.02600000000001</v>
      </c>
      <c r="Q570" s="99">
        <v>215.48599999999999</v>
      </c>
      <c r="R570" s="99">
        <v>87.745000000000005</v>
      </c>
      <c r="S570" s="20">
        <v>33.479999999999997</v>
      </c>
      <c r="T570" s="20">
        <v>91.051000000000002</v>
      </c>
      <c r="U570" s="20">
        <v>109.001</v>
      </c>
      <c r="V570" s="20" t="s">
        <v>289</v>
      </c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Z570" s="5"/>
    </row>
    <row r="571" spans="2:52">
      <c r="C571" s="44"/>
      <c r="D571" s="16"/>
      <c r="E571" s="16"/>
      <c r="F571" s="16"/>
      <c r="G571" s="16"/>
      <c r="H571" s="16"/>
      <c r="I571" s="16"/>
      <c r="J571" s="16"/>
      <c r="K571" s="99"/>
      <c r="L571" s="99"/>
      <c r="M571" s="99"/>
      <c r="N571" s="99"/>
      <c r="O571" s="99"/>
      <c r="P571" s="99"/>
      <c r="Q571" s="99"/>
      <c r="R571" s="99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Z571" s="5"/>
    </row>
    <row r="572" spans="2:52">
      <c r="B572" s="5" t="s">
        <v>2497</v>
      </c>
      <c r="C572" s="44" t="str">
        <f>B572</f>
        <v>ARD_CASH_PAID_FOR_INTEREST</v>
      </c>
      <c r="D572" s="16" t="s">
        <v>289</v>
      </c>
      <c r="E572" s="16" t="s">
        <v>289</v>
      </c>
      <c r="F572" s="16" t="s">
        <v>289</v>
      </c>
      <c r="G572" s="16" t="s">
        <v>289</v>
      </c>
      <c r="H572" s="16" t="s">
        <v>289</v>
      </c>
      <c r="I572" s="16" t="s">
        <v>289</v>
      </c>
      <c r="J572" s="16" t="s">
        <v>289</v>
      </c>
      <c r="K572" s="99" t="s">
        <v>289</v>
      </c>
      <c r="L572" s="99" t="s">
        <v>289</v>
      </c>
      <c r="M572" s="99" t="s">
        <v>289</v>
      </c>
      <c r="N572" s="99" t="s">
        <v>289</v>
      </c>
      <c r="O572" s="99" t="s">
        <v>289</v>
      </c>
      <c r="P572" s="99" t="s">
        <v>289</v>
      </c>
      <c r="Q572" s="99" t="s">
        <v>289</v>
      </c>
      <c r="R572" s="99" t="s">
        <v>289</v>
      </c>
      <c r="S572" s="20" t="s">
        <v>289</v>
      </c>
      <c r="T572" s="20" t="s">
        <v>289</v>
      </c>
      <c r="U572" s="20" t="s">
        <v>289</v>
      </c>
      <c r="V572" s="20" t="s">
        <v>289</v>
      </c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Z572" s="5"/>
    </row>
    <row r="573" spans="2:52" ht="13.15">
      <c r="D573" s="122">
        <f t="shared" ref="D573:R573" si="275">SUM(D570:D572)</f>
        <v>0</v>
      </c>
      <c r="E573" s="122">
        <f t="shared" si="275"/>
        <v>0</v>
      </c>
      <c r="F573" s="122">
        <f t="shared" si="275"/>
        <v>0</v>
      </c>
      <c r="G573" s="122">
        <f t="shared" si="275"/>
        <v>0</v>
      </c>
      <c r="H573" s="122">
        <f t="shared" si="275"/>
        <v>0</v>
      </c>
      <c r="I573" s="122">
        <f t="shared" si="275"/>
        <v>0</v>
      </c>
      <c r="J573" s="122">
        <f t="shared" si="275"/>
        <v>0</v>
      </c>
      <c r="K573" s="122">
        <f t="shared" si="275"/>
        <v>0</v>
      </c>
      <c r="L573" s="122">
        <f t="shared" si="275"/>
        <v>134.322</v>
      </c>
      <c r="M573" s="122">
        <f t="shared" si="275"/>
        <v>138.78399999999999</v>
      </c>
      <c r="N573" s="122">
        <f t="shared" si="275"/>
        <v>140.91999999999999</v>
      </c>
      <c r="O573" s="122">
        <f t="shared" si="275"/>
        <v>145.017</v>
      </c>
      <c r="P573" s="122">
        <f t="shared" si="275"/>
        <v>252.02600000000001</v>
      </c>
      <c r="Q573" s="122">
        <f t="shared" si="275"/>
        <v>215.48599999999999</v>
      </c>
      <c r="R573" s="122">
        <f t="shared" si="275"/>
        <v>87.745000000000005</v>
      </c>
      <c r="AD573" s="24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Z573" s="5"/>
    </row>
    <row r="574" spans="2:52">
      <c r="B574" s="5" t="s">
        <v>3064</v>
      </c>
      <c r="D574" s="20" t="s">
        <v>289</v>
      </c>
      <c r="E574" s="20" t="s">
        <v>289</v>
      </c>
      <c r="F574" s="20" t="s">
        <v>289</v>
      </c>
      <c r="G574" s="20" t="s">
        <v>289</v>
      </c>
      <c r="H574" s="20" t="s">
        <v>289</v>
      </c>
      <c r="I574" s="20" t="s">
        <v>289</v>
      </c>
      <c r="J574" s="20" t="s">
        <v>289</v>
      </c>
      <c r="K574" s="20" t="s">
        <v>289</v>
      </c>
      <c r="L574" s="20" t="s">
        <v>289</v>
      </c>
      <c r="M574" s="20" t="s">
        <v>289</v>
      </c>
      <c r="N574" s="20" t="s">
        <v>289</v>
      </c>
      <c r="O574" s="20" t="s">
        <v>289</v>
      </c>
      <c r="P574" s="20" t="s">
        <v>289</v>
      </c>
      <c r="Q574" s="20" t="s">
        <v>289</v>
      </c>
      <c r="R574" s="20" t="s">
        <v>289</v>
      </c>
      <c r="S574" s="20" t="s">
        <v>289</v>
      </c>
      <c r="T574" s="20" t="s">
        <v>289</v>
      </c>
      <c r="U574" s="20" t="s">
        <v>289</v>
      </c>
      <c r="V574" s="20" t="s">
        <v>289</v>
      </c>
      <c r="AD574" s="24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Z574" s="5"/>
    </row>
    <row r="575" spans="2:52">
      <c r="AD575" s="24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Z575" s="5"/>
    </row>
    <row r="576" spans="2:52">
      <c r="B576" s="5" t="s">
        <v>2496</v>
      </c>
      <c r="C576" s="44" t="str">
        <f>B576</f>
        <v>ARD_INT_REC_FROM_INVESTING_ACT</v>
      </c>
      <c r="D576" s="16" t="s">
        <v>289</v>
      </c>
      <c r="E576" s="16" t="s">
        <v>289</v>
      </c>
      <c r="F576" s="16" t="s">
        <v>289</v>
      </c>
      <c r="G576" s="16" t="s">
        <v>289</v>
      </c>
      <c r="H576" s="16" t="s">
        <v>289</v>
      </c>
      <c r="I576" s="16" t="s">
        <v>289</v>
      </c>
      <c r="J576" s="16" t="s">
        <v>289</v>
      </c>
      <c r="K576" s="99" t="s">
        <v>289</v>
      </c>
      <c r="L576" s="99" t="s">
        <v>289</v>
      </c>
      <c r="M576" s="99" t="s">
        <v>289</v>
      </c>
      <c r="N576" s="99" t="s">
        <v>289</v>
      </c>
      <c r="O576" s="99" t="s">
        <v>289</v>
      </c>
      <c r="P576" s="99" t="s">
        <v>289</v>
      </c>
      <c r="Q576" s="99" t="s">
        <v>289</v>
      </c>
      <c r="R576" s="99" t="s">
        <v>289</v>
      </c>
      <c r="S576" s="20" t="s">
        <v>289</v>
      </c>
      <c r="T576" s="20" t="s">
        <v>289</v>
      </c>
      <c r="U576" s="20" t="s">
        <v>289</v>
      </c>
      <c r="V576" s="20" t="s">
        <v>289</v>
      </c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Z576" s="5"/>
    </row>
    <row r="577" spans="2:52" ht="13.15">
      <c r="D577" s="122">
        <f>SUM(D574:D576)</f>
        <v>0</v>
      </c>
      <c r="E577" s="122">
        <f>SUM(E574:E576)</f>
        <v>0</v>
      </c>
      <c r="F577" s="122">
        <f>SUM(F574:F576)</f>
        <v>0</v>
      </c>
      <c r="G577" s="122">
        <f t="shared" ref="G577:R577" si="276">SUM(G574:G576)</f>
        <v>0</v>
      </c>
      <c r="H577" s="122">
        <f t="shared" si="276"/>
        <v>0</v>
      </c>
      <c r="I577" s="122">
        <f t="shared" si="276"/>
        <v>0</v>
      </c>
      <c r="J577" s="122">
        <f t="shared" si="276"/>
        <v>0</v>
      </c>
      <c r="K577" s="122">
        <f t="shared" si="276"/>
        <v>0</v>
      </c>
      <c r="L577" s="122">
        <f t="shared" si="276"/>
        <v>0</v>
      </c>
      <c r="M577" s="122">
        <f t="shared" si="276"/>
        <v>0</v>
      </c>
      <c r="N577" s="122">
        <f t="shared" si="276"/>
        <v>0</v>
      </c>
      <c r="O577" s="122">
        <f t="shared" si="276"/>
        <v>0</v>
      </c>
      <c r="P577" s="122">
        <f t="shared" si="276"/>
        <v>0</v>
      </c>
      <c r="Q577" s="122">
        <f t="shared" si="276"/>
        <v>0</v>
      </c>
      <c r="R577" s="122">
        <f t="shared" si="276"/>
        <v>0</v>
      </c>
      <c r="AD577" s="24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Z577" s="5"/>
    </row>
    <row r="578" spans="2:52" ht="13.15"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AD578" s="24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Z578" s="5"/>
    </row>
    <row r="579" spans="2:52" ht="13.15"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AD579" s="24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Z579" s="5"/>
    </row>
    <row r="580" spans="2:52" ht="13.15"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AD580" s="24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Z580" s="5"/>
    </row>
    <row r="582" spans="2:52">
      <c r="B582" s="5" t="s">
        <v>2490</v>
      </c>
      <c r="C582" s="123" t="str">
        <f>B582</f>
        <v>CF_CASH_FROM_OPER</v>
      </c>
      <c r="D582" s="99" t="s">
        <v>289</v>
      </c>
      <c r="E582" s="99" t="s">
        <v>289</v>
      </c>
      <c r="F582" s="99" t="s">
        <v>289</v>
      </c>
      <c r="G582" s="99" t="s">
        <v>289</v>
      </c>
      <c r="H582" s="99" t="s">
        <v>289</v>
      </c>
      <c r="I582" s="99" t="s">
        <v>289</v>
      </c>
      <c r="J582" s="99" t="s">
        <v>289</v>
      </c>
      <c r="K582" s="99" t="s">
        <v>289</v>
      </c>
      <c r="L582" s="99">
        <v>462.52</v>
      </c>
      <c r="M582" s="99">
        <v>454.01400000000001</v>
      </c>
      <c r="N582" s="99">
        <v>426.06700000000001</v>
      </c>
      <c r="O582" s="99">
        <v>707.26800000000003</v>
      </c>
      <c r="P582" s="99">
        <v>1005.299</v>
      </c>
      <c r="Q582" s="99">
        <v>662.79899999999998</v>
      </c>
      <c r="R582" s="99">
        <v>934.04100000000005</v>
      </c>
      <c r="S582" s="20">
        <v>1306.0930000000001</v>
      </c>
      <c r="T582" s="20">
        <v>838.21100000000001</v>
      </c>
      <c r="U582" s="20">
        <v>1282.7260000000001</v>
      </c>
      <c r="V582" s="20" t="s">
        <v>289</v>
      </c>
      <c r="AD582" s="24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Z582" s="5"/>
    </row>
    <row r="583" spans="2:52">
      <c r="B583" s="5" t="s">
        <v>2491</v>
      </c>
      <c r="C583" s="5" t="str">
        <f>B583</f>
        <v>CF_FREE_CASH_FLOW_FIRM</v>
      </c>
      <c r="D583" s="99" t="s">
        <v>289</v>
      </c>
      <c r="E583" s="99" t="s">
        <v>289</v>
      </c>
      <c r="F583" s="99" t="s">
        <v>289</v>
      </c>
      <c r="G583" s="99" t="s">
        <v>289</v>
      </c>
      <c r="H583" s="99" t="s">
        <v>289</v>
      </c>
      <c r="I583" s="99" t="s">
        <v>289</v>
      </c>
      <c r="J583" s="99" t="s">
        <v>289</v>
      </c>
      <c r="K583" s="99" t="s">
        <v>289</v>
      </c>
      <c r="L583" s="99">
        <v>306.35759999999999</v>
      </c>
      <c r="M583" s="99">
        <v>296.49979999999999</v>
      </c>
      <c r="N583" s="99">
        <v>261.98989999999998</v>
      </c>
      <c r="O583" s="99">
        <v>537.23249999999996</v>
      </c>
      <c r="P583" s="99">
        <v>851.58550000000002</v>
      </c>
      <c r="Q583" s="99">
        <v>493.2199</v>
      </c>
      <c r="R583" s="99">
        <v>655.3211</v>
      </c>
      <c r="S583" s="20">
        <v>978.70770000000005</v>
      </c>
      <c r="T583" s="20">
        <v>498.10840000000002</v>
      </c>
      <c r="U583" s="20">
        <v>942.79480000000001</v>
      </c>
      <c r="V583" s="20" t="s">
        <v>289</v>
      </c>
      <c r="AD583" s="24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Z583" s="5"/>
    </row>
    <row r="584" spans="2:52" ht="14.25">
      <c r="B584"/>
    </row>
    <row r="586" spans="2:52">
      <c r="B586" s="5" t="s">
        <v>2669</v>
      </c>
      <c r="C586" s="44" t="str">
        <f t="shared" ref="C586:C593" si="277">B586</f>
        <v>ARD_CHANGE_IN_OTHER_CUR_ASSETS</v>
      </c>
      <c r="D586" s="99" t="s">
        <v>289</v>
      </c>
      <c r="E586" s="99" t="s">
        <v>289</v>
      </c>
      <c r="F586" s="99" t="s">
        <v>289</v>
      </c>
      <c r="G586" s="99" t="s">
        <v>289</v>
      </c>
      <c r="H586" s="99" t="s">
        <v>289</v>
      </c>
      <c r="I586" s="99" t="s">
        <v>289</v>
      </c>
      <c r="J586" s="99" t="s">
        <v>289</v>
      </c>
      <c r="K586" s="99" t="s">
        <v>289</v>
      </c>
      <c r="L586" s="99" t="s">
        <v>289</v>
      </c>
      <c r="M586" s="99" t="s">
        <v>289</v>
      </c>
      <c r="N586" s="99" t="s">
        <v>289</v>
      </c>
      <c r="O586" s="99" t="s">
        <v>289</v>
      </c>
      <c r="P586" s="99" t="s">
        <v>289</v>
      </c>
      <c r="Q586" s="99" t="s">
        <v>289</v>
      </c>
      <c r="R586" s="99" t="s">
        <v>289</v>
      </c>
      <c r="S586" s="20" t="s">
        <v>289</v>
      </c>
      <c r="T586" s="20" t="s">
        <v>289</v>
      </c>
      <c r="U586" s="20" t="s">
        <v>289</v>
      </c>
      <c r="V586" s="20" t="s">
        <v>289</v>
      </c>
      <c r="AD586" s="24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Z586" s="5"/>
    </row>
    <row r="587" spans="2:52">
      <c r="B587" s="5" t="s">
        <v>2670</v>
      </c>
      <c r="C587" s="44" t="str">
        <f t="shared" si="277"/>
        <v>ARD_CHANGE_IN_PREPAID_EXP</v>
      </c>
      <c r="D587" s="99" t="s">
        <v>289</v>
      </c>
      <c r="E587" s="99" t="s">
        <v>289</v>
      </c>
      <c r="F587" s="99" t="s">
        <v>289</v>
      </c>
      <c r="G587" s="99" t="s">
        <v>289</v>
      </c>
      <c r="H587" s="99" t="s">
        <v>289</v>
      </c>
      <c r="I587" s="99" t="s">
        <v>289</v>
      </c>
      <c r="J587" s="99" t="s">
        <v>289</v>
      </c>
      <c r="K587" s="99" t="s">
        <v>289</v>
      </c>
      <c r="L587" s="99" t="s">
        <v>289</v>
      </c>
      <c r="M587" s="99" t="s">
        <v>289</v>
      </c>
      <c r="N587" s="99" t="s">
        <v>289</v>
      </c>
      <c r="O587" s="99" t="s">
        <v>289</v>
      </c>
      <c r="P587" s="99" t="s">
        <v>289</v>
      </c>
      <c r="Q587" s="99" t="s">
        <v>289</v>
      </c>
      <c r="R587" s="99" t="s">
        <v>289</v>
      </c>
      <c r="S587" s="20" t="s">
        <v>289</v>
      </c>
      <c r="T587" s="20" t="s">
        <v>289</v>
      </c>
      <c r="U587" s="20" t="s">
        <v>289</v>
      </c>
      <c r="V587" s="20" t="s">
        <v>289</v>
      </c>
      <c r="AD587" s="24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Z587" s="5"/>
    </row>
    <row r="588" spans="2:52">
      <c r="B588" s="5" t="s">
        <v>2671</v>
      </c>
      <c r="C588" s="44" t="str">
        <f t="shared" si="277"/>
        <v>ARD_CHG_IN_ACC_COMP_PAY_EXP</v>
      </c>
      <c r="D588" s="99" t="s">
        <v>289</v>
      </c>
      <c r="E588" s="99" t="s">
        <v>289</v>
      </c>
      <c r="F588" s="99" t="s">
        <v>289</v>
      </c>
      <c r="G588" s="99" t="s">
        <v>289</v>
      </c>
      <c r="H588" s="99" t="s">
        <v>289</v>
      </c>
      <c r="I588" s="99" t="s">
        <v>289</v>
      </c>
      <c r="J588" s="99" t="s">
        <v>289</v>
      </c>
      <c r="K588" s="99" t="s">
        <v>289</v>
      </c>
      <c r="L588" s="99" t="s">
        <v>289</v>
      </c>
      <c r="M588" s="99" t="s">
        <v>289</v>
      </c>
      <c r="N588" s="99" t="s">
        <v>289</v>
      </c>
      <c r="O588" s="99" t="s">
        <v>289</v>
      </c>
      <c r="P588" s="99" t="s">
        <v>289</v>
      </c>
      <c r="Q588" s="99" t="s">
        <v>289</v>
      </c>
      <c r="R588" s="99" t="s">
        <v>289</v>
      </c>
      <c r="S588" s="20" t="s">
        <v>289</v>
      </c>
      <c r="T588" s="20" t="s">
        <v>289</v>
      </c>
      <c r="U588" s="20" t="s">
        <v>289</v>
      </c>
      <c r="V588" s="20" t="s">
        <v>289</v>
      </c>
      <c r="AD588" s="24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Z588" s="5"/>
    </row>
    <row r="589" spans="2:52">
      <c r="B589" s="5" t="s">
        <v>2674</v>
      </c>
      <c r="C589" s="44" t="str">
        <f t="shared" si="277"/>
        <v>ARD_CHNG_TRADE_PAY_OTH_CUR_LIAB</v>
      </c>
      <c r="D589" s="99" t="s">
        <v>289</v>
      </c>
      <c r="E589" s="99" t="s">
        <v>289</v>
      </c>
      <c r="F589" s="99" t="s">
        <v>289</v>
      </c>
      <c r="G589" s="99" t="s">
        <v>289</v>
      </c>
      <c r="H589" s="99" t="s">
        <v>289</v>
      </c>
      <c r="I589" s="99" t="s">
        <v>289</v>
      </c>
      <c r="J589" s="99" t="s">
        <v>289</v>
      </c>
      <c r="K589" s="99" t="s">
        <v>289</v>
      </c>
      <c r="L589" s="99" t="s">
        <v>289</v>
      </c>
      <c r="M589" s="99" t="s">
        <v>289</v>
      </c>
      <c r="N589" s="99" t="s">
        <v>289</v>
      </c>
      <c r="O589" s="99" t="s">
        <v>289</v>
      </c>
      <c r="P589" s="99" t="s">
        <v>289</v>
      </c>
      <c r="Q589" s="99" t="s">
        <v>289</v>
      </c>
      <c r="R589" s="99" t="s">
        <v>289</v>
      </c>
      <c r="S589" s="20" t="s">
        <v>289</v>
      </c>
      <c r="T589" s="20" t="s">
        <v>289</v>
      </c>
      <c r="U589" s="20" t="s">
        <v>289</v>
      </c>
      <c r="V589" s="20" t="s">
        <v>289</v>
      </c>
      <c r="AD589" s="24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Z589" s="5"/>
    </row>
    <row r="590" spans="2:52">
      <c r="B590" s="5" t="s">
        <v>2677</v>
      </c>
      <c r="C590" s="44" t="str">
        <f t="shared" si="277"/>
        <v>ARDR_CHG_IN_INC_TAX_PAYABLE_REC</v>
      </c>
      <c r="D590" s="99" t="s">
        <v>289</v>
      </c>
      <c r="E590" s="99" t="s">
        <v>289</v>
      </c>
      <c r="F590" s="99" t="s">
        <v>289</v>
      </c>
      <c r="G590" s="99" t="s">
        <v>289</v>
      </c>
      <c r="H590" s="99" t="s">
        <v>289</v>
      </c>
      <c r="I590" s="99" t="s">
        <v>289</v>
      </c>
      <c r="J590" s="99" t="s">
        <v>289</v>
      </c>
      <c r="K590" s="99" t="s">
        <v>289</v>
      </c>
      <c r="L590" s="99" t="s">
        <v>289</v>
      </c>
      <c r="M590" s="99" t="s">
        <v>289</v>
      </c>
      <c r="N590" s="99" t="s">
        <v>289</v>
      </c>
      <c r="O590" s="99" t="s">
        <v>289</v>
      </c>
      <c r="P590" s="99" t="s">
        <v>289</v>
      </c>
      <c r="Q590" s="99" t="s">
        <v>289</v>
      </c>
      <c r="R590" s="99" t="s">
        <v>289</v>
      </c>
      <c r="S590" s="20" t="s">
        <v>289</v>
      </c>
      <c r="T590" s="20" t="s">
        <v>289</v>
      </c>
      <c r="U590" s="20" t="s">
        <v>289</v>
      </c>
      <c r="V590" s="20" t="s">
        <v>289</v>
      </c>
      <c r="AD590" s="24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Z590" s="5"/>
    </row>
    <row r="591" spans="2:52">
      <c r="B591" s="5" t="s">
        <v>2678</v>
      </c>
      <c r="C591" s="44" t="str">
        <f t="shared" si="277"/>
        <v>ARDR_CHNG_TRADE_PAY_OTH_CUR_LIAB</v>
      </c>
      <c r="D591" s="99" t="s">
        <v>289</v>
      </c>
      <c r="E591" s="99" t="s">
        <v>289</v>
      </c>
      <c r="F591" s="99" t="s">
        <v>289</v>
      </c>
      <c r="G591" s="99" t="s">
        <v>289</v>
      </c>
      <c r="H591" s="99" t="s">
        <v>289</v>
      </c>
      <c r="I591" s="99" t="s">
        <v>289</v>
      </c>
      <c r="J591" s="99" t="s">
        <v>289</v>
      </c>
      <c r="K591" s="99" t="s">
        <v>289</v>
      </c>
      <c r="L591" s="99" t="s">
        <v>289</v>
      </c>
      <c r="M591" s="99" t="s">
        <v>289</v>
      </c>
      <c r="N591" s="99" t="s">
        <v>289</v>
      </c>
      <c r="O591" s="99" t="s">
        <v>289</v>
      </c>
      <c r="P591" s="99" t="s">
        <v>289</v>
      </c>
      <c r="Q591" s="99" t="s">
        <v>289</v>
      </c>
      <c r="R591" s="99" t="s">
        <v>289</v>
      </c>
      <c r="S591" s="20" t="s">
        <v>289</v>
      </c>
      <c r="T591" s="20" t="s">
        <v>289</v>
      </c>
      <c r="U591" s="20" t="s">
        <v>289</v>
      </c>
      <c r="V591" s="20" t="s">
        <v>289</v>
      </c>
      <c r="AD591" s="24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Z591" s="5"/>
    </row>
    <row r="592" spans="2:52">
      <c r="B592" s="5" t="s">
        <v>2679</v>
      </c>
      <c r="C592" s="44" t="str">
        <f t="shared" si="277"/>
        <v>ARDR_INCR_DECR_IN_PROVISIONS</v>
      </c>
      <c r="D592" s="99" t="s">
        <v>289</v>
      </c>
      <c r="E592" s="99" t="s">
        <v>289</v>
      </c>
      <c r="F592" s="99" t="s">
        <v>289</v>
      </c>
      <c r="G592" s="99" t="s">
        <v>289</v>
      </c>
      <c r="H592" s="99" t="s">
        <v>289</v>
      </c>
      <c r="I592" s="99" t="s">
        <v>289</v>
      </c>
      <c r="J592" s="99" t="s">
        <v>289</v>
      </c>
      <c r="K592" s="99" t="s">
        <v>289</v>
      </c>
      <c r="L592" s="99" t="s">
        <v>289</v>
      </c>
      <c r="M592" s="99" t="s">
        <v>289</v>
      </c>
      <c r="N592" s="99" t="s">
        <v>289</v>
      </c>
      <c r="O592" s="99" t="s">
        <v>289</v>
      </c>
      <c r="P592" s="99" t="s">
        <v>289</v>
      </c>
      <c r="Q592" s="99" t="s">
        <v>289</v>
      </c>
      <c r="R592" s="99" t="s">
        <v>289</v>
      </c>
      <c r="S592" s="20" t="s">
        <v>289</v>
      </c>
      <c r="T592" s="20" t="s">
        <v>289</v>
      </c>
      <c r="U592" s="20" t="s">
        <v>289</v>
      </c>
      <c r="V592" s="20" t="s">
        <v>289</v>
      </c>
      <c r="AD592" s="24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Z592" s="5"/>
    </row>
    <row r="593" spans="2:52">
      <c r="B593" s="5" t="s">
        <v>2680</v>
      </c>
      <c r="C593" s="44" t="str">
        <f t="shared" si="277"/>
        <v>ARDR_INCR_DECR_IN_TRADE_OTH_REC</v>
      </c>
      <c r="D593" s="99" t="s">
        <v>289</v>
      </c>
      <c r="E593" s="99" t="s">
        <v>289</v>
      </c>
      <c r="F593" s="99" t="s">
        <v>289</v>
      </c>
      <c r="G593" s="99" t="s">
        <v>289</v>
      </c>
      <c r="H593" s="99" t="s">
        <v>289</v>
      </c>
      <c r="I593" s="99" t="s">
        <v>289</v>
      </c>
      <c r="J593" s="99" t="s">
        <v>289</v>
      </c>
      <c r="K593" s="99" t="s">
        <v>289</v>
      </c>
      <c r="L593" s="99" t="s">
        <v>289</v>
      </c>
      <c r="M593" s="99" t="s">
        <v>289</v>
      </c>
      <c r="N593" s="99" t="s">
        <v>289</v>
      </c>
      <c r="O593" s="99" t="s">
        <v>289</v>
      </c>
      <c r="P593" s="99" t="s">
        <v>289</v>
      </c>
      <c r="Q593" s="99" t="s">
        <v>289</v>
      </c>
      <c r="R593" s="99" t="s">
        <v>289</v>
      </c>
      <c r="S593" s="20" t="s">
        <v>289</v>
      </c>
      <c r="T593" s="20" t="s">
        <v>289</v>
      </c>
      <c r="U593" s="20" t="s">
        <v>289</v>
      </c>
      <c r="V593" s="20" t="s">
        <v>289</v>
      </c>
      <c r="AD593" s="24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Z593" s="5"/>
    </row>
    <row r="597" spans="2:52">
      <c r="AD597" s="24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Z597" s="5"/>
    </row>
    <row r="598" spans="2:52">
      <c r="AD598" s="24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Z598" s="5"/>
    </row>
    <row r="599" spans="2:52">
      <c r="AD599" s="24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Z599" s="5"/>
    </row>
    <row r="602" spans="2:52" ht="13.15">
      <c r="B602" s="5" t="s">
        <v>2665</v>
      </c>
      <c r="C602" s="9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Z602" s="5"/>
    </row>
    <row r="603" spans="2:52">
      <c r="B603" s="5" t="s">
        <v>2499</v>
      </c>
      <c r="C603" s="44" t="str">
        <f>B603</f>
        <v>OTHER_NON_CASH_ADJ_LESS_DETAILED</v>
      </c>
      <c r="D603" s="99" t="s">
        <v>289</v>
      </c>
      <c r="E603" s="99" t="s">
        <v>289</v>
      </c>
      <c r="F603" s="99" t="s">
        <v>289</v>
      </c>
      <c r="G603" s="99" t="s">
        <v>289</v>
      </c>
      <c r="H603" s="99" t="s">
        <v>289</v>
      </c>
      <c r="I603" s="99" t="s">
        <v>289</v>
      </c>
      <c r="J603" s="99" t="s">
        <v>289</v>
      </c>
      <c r="K603" s="99" t="s">
        <v>289</v>
      </c>
      <c r="L603" s="99">
        <v>-15.11</v>
      </c>
      <c r="M603" s="99">
        <v>29.664999999999999</v>
      </c>
      <c r="N603" s="99">
        <v>-72.548000000000002</v>
      </c>
      <c r="O603" s="99">
        <v>177.679</v>
      </c>
      <c r="P603" s="99">
        <v>374.69099999999997</v>
      </c>
      <c r="Q603" s="99">
        <v>-72.305000000000007</v>
      </c>
      <c r="R603" s="99">
        <v>-201.95400000000001</v>
      </c>
      <c r="S603" s="20">
        <v>267.39299999999997</v>
      </c>
      <c r="T603" s="20">
        <v>-181.517</v>
      </c>
      <c r="U603" s="20">
        <v>2.94</v>
      </c>
      <c r="V603" s="20" t="s">
        <v>289</v>
      </c>
      <c r="AD603" s="24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Z603" s="5"/>
    </row>
    <row r="604" spans="2:52" ht="14.25">
      <c r="B604" t="s">
        <v>2990</v>
      </c>
      <c r="C604" s="44" t="str">
        <f>B604</f>
        <v>CF_CHNG_NON_CASH_WORK_CAP</v>
      </c>
      <c r="D604" s="99" t="s">
        <v>289</v>
      </c>
      <c r="E604" s="99" t="s">
        <v>289</v>
      </c>
      <c r="F604" s="99" t="s">
        <v>289</v>
      </c>
      <c r="G604" s="99" t="s">
        <v>289</v>
      </c>
      <c r="H604" s="99" t="s">
        <v>289</v>
      </c>
      <c r="I604" s="99" t="s">
        <v>289</v>
      </c>
      <c r="J604" s="99" t="s">
        <v>289</v>
      </c>
      <c r="K604" s="99" t="s">
        <v>289</v>
      </c>
      <c r="L604" s="99">
        <v>14.686999999999999</v>
      </c>
      <c r="M604" s="99">
        <v>-86.674999999999997</v>
      </c>
      <c r="N604" s="99">
        <v>-51.738</v>
      </c>
      <c r="O604" s="99">
        <v>-32.984000000000002</v>
      </c>
      <c r="P604" s="99">
        <v>-15.871</v>
      </c>
      <c r="Q604" s="99">
        <v>-60.895000000000003</v>
      </c>
      <c r="R604" s="99">
        <v>62.569000000000003</v>
      </c>
      <c r="S604" s="20">
        <v>-9.0640000000000001</v>
      </c>
      <c r="T604" s="20">
        <v>-14.726000000000001</v>
      </c>
      <c r="U604" s="20">
        <v>-6.97</v>
      </c>
      <c r="V604" s="20" t="s">
        <v>289</v>
      </c>
    </row>
    <row r="605" spans="2:52">
      <c r="B605" s="5" t="s">
        <v>2684</v>
      </c>
      <c r="C605" s="44" t="str">
        <f>B605</f>
        <v>INC_DEC_IN_OT_OP_AST_LIAB_DETAIL</v>
      </c>
      <c r="D605" s="99" t="s">
        <v>289</v>
      </c>
      <c r="E605" s="99" t="s">
        <v>289</v>
      </c>
      <c r="F605" s="99" t="s">
        <v>289</v>
      </c>
      <c r="G605" s="99" t="s">
        <v>289</v>
      </c>
      <c r="H605" s="99" t="s">
        <v>289</v>
      </c>
      <c r="I605" s="99" t="s">
        <v>289</v>
      </c>
      <c r="J605" s="99" t="s">
        <v>289</v>
      </c>
      <c r="K605" s="99" t="s">
        <v>289</v>
      </c>
      <c r="L605" s="99">
        <v>0</v>
      </c>
      <c r="M605" s="99">
        <v>0</v>
      </c>
      <c r="N605" s="99">
        <v>0</v>
      </c>
      <c r="O605" s="99">
        <v>0</v>
      </c>
      <c r="P605" s="99">
        <v>0</v>
      </c>
      <c r="Q605" s="99">
        <v>0</v>
      </c>
      <c r="R605" s="99">
        <v>0</v>
      </c>
      <c r="S605" s="20">
        <v>0</v>
      </c>
      <c r="T605" s="20">
        <v>0</v>
      </c>
      <c r="U605" s="20">
        <v>0</v>
      </c>
      <c r="V605" s="20" t="s">
        <v>289</v>
      </c>
      <c r="AD605" s="24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Z605" s="5"/>
    </row>
    <row r="606" spans="2:52" ht="13.15">
      <c r="C606" s="9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Z606" s="5"/>
    </row>
    <row r="607" spans="2:52">
      <c r="B607" s="5" t="s">
        <v>1778</v>
      </c>
      <c r="C607" s="44" t="str">
        <f>B607</f>
        <v>CF_ACQ_OF_FXD_&amp;_INTANGIBLES</v>
      </c>
      <c r="D607" s="115" t="s">
        <v>289</v>
      </c>
      <c r="E607" s="115" t="s">
        <v>289</v>
      </c>
      <c r="F607" s="115" t="s">
        <v>289</v>
      </c>
      <c r="G607" s="115" t="s">
        <v>289</v>
      </c>
      <c r="H607" s="115" t="s">
        <v>289</v>
      </c>
      <c r="I607" s="115" t="s">
        <v>289</v>
      </c>
      <c r="J607" s="115" t="s">
        <v>289</v>
      </c>
      <c r="K607" s="115" t="s">
        <v>289</v>
      </c>
      <c r="L607" s="115">
        <v>-258.35199999999998</v>
      </c>
      <c r="M607" s="115">
        <v>-270.90300000000002</v>
      </c>
      <c r="N607" s="115">
        <v>-329.99799999999999</v>
      </c>
      <c r="O607" s="115">
        <v>-355.94299999999998</v>
      </c>
      <c r="P607" s="115">
        <v>-341.98700000000002</v>
      </c>
      <c r="Q607" s="115">
        <v>-391.41</v>
      </c>
      <c r="R607" s="115">
        <v>-638.33600000000001</v>
      </c>
      <c r="S607" s="20">
        <v>-705.61199999999997</v>
      </c>
      <c r="T607" s="20">
        <v>-708.99599999999998</v>
      </c>
      <c r="U607" s="20">
        <v>-737.14300000000003</v>
      </c>
      <c r="V607" s="20" t="s">
        <v>289</v>
      </c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Z607" s="5"/>
    </row>
    <row r="608" spans="2:52">
      <c r="B608" s="5" t="s">
        <v>1779</v>
      </c>
      <c r="C608" s="44" t="str">
        <f>B608</f>
        <v>CF_ACQUISITION_OF_INTANG_ASSETS</v>
      </c>
      <c r="D608" s="115" t="s">
        <v>289</v>
      </c>
      <c r="E608" s="115" t="s">
        <v>289</v>
      </c>
      <c r="F608" s="115" t="s">
        <v>289</v>
      </c>
      <c r="G608" s="115" t="s">
        <v>289</v>
      </c>
      <c r="H608" s="115" t="s">
        <v>289</v>
      </c>
      <c r="I608" s="115" t="s">
        <v>289</v>
      </c>
      <c r="J608" s="115" t="s">
        <v>289</v>
      </c>
      <c r="K608" s="115" t="s">
        <v>289</v>
      </c>
      <c r="L608" s="115">
        <v>-96.971999999999994</v>
      </c>
      <c r="M608" s="115">
        <v>-109.25</v>
      </c>
      <c r="N608" s="115">
        <v>-160.63499999999999</v>
      </c>
      <c r="O608" s="115">
        <v>-171.03299999999999</v>
      </c>
      <c r="P608" s="115">
        <v>-166.34</v>
      </c>
      <c r="Q608" s="115">
        <v>-202.506</v>
      </c>
      <c r="R608" s="115">
        <v>-337.54199999999997</v>
      </c>
      <c r="S608" s="20">
        <v>-353.45800000000003</v>
      </c>
      <c r="T608" s="20">
        <v>-351.97800000000001</v>
      </c>
      <c r="U608" s="20">
        <v>-384.827</v>
      </c>
      <c r="V608" s="20" t="s">
        <v>289</v>
      </c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Z608" s="5"/>
    </row>
    <row r="629" spans="2:70">
      <c r="B629" s="5" t="s">
        <v>1780</v>
      </c>
      <c r="C629" s="44" t="str">
        <f>B629</f>
        <v>ARDR_PURCHASE_OF_INTANGIBLES</v>
      </c>
      <c r="D629" s="16" t="s">
        <v>289</v>
      </c>
      <c r="E629" s="16" t="s">
        <v>289</v>
      </c>
      <c r="F629" s="16" t="s">
        <v>289</v>
      </c>
      <c r="G629" s="16" t="s">
        <v>289</v>
      </c>
      <c r="H629" s="16" t="s">
        <v>289</v>
      </c>
      <c r="I629" s="16" t="s">
        <v>289</v>
      </c>
      <c r="J629" s="16" t="s">
        <v>289</v>
      </c>
      <c r="K629" s="16" t="s">
        <v>289</v>
      </c>
      <c r="L629" s="16" t="s">
        <v>289</v>
      </c>
      <c r="M629" s="16" t="s">
        <v>289</v>
      </c>
      <c r="N629" s="16" t="s">
        <v>289</v>
      </c>
      <c r="O629" s="16" t="s">
        <v>289</v>
      </c>
      <c r="P629" s="16" t="s">
        <v>289</v>
      </c>
      <c r="Q629" s="16" t="s">
        <v>289</v>
      </c>
      <c r="R629" s="16" t="s">
        <v>289</v>
      </c>
      <c r="S629" s="20" t="s">
        <v>289</v>
      </c>
      <c r="T629" s="20" t="s">
        <v>289</v>
      </c>
      <c r="U629" s="20" t="s">
        <v>289</v>
      </c>
      <c r="V629" s="20" t="s">
        <v>289</v>
      </c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Z629" s="5"/>
    </row>
    <row r="630" spans="2:70">
      <c r="B630" s="5" t="s">
        <v>1781</v>
      </c>
      <c r="C630" s="44" t="str">
        <f>B630</f>
        <v>ARD_ADDITIONS_FIXED_INTANG_ASSET</v>
      </c>
      <c r="D630" s="16" t="s">
        <v>289</v>
      </c>
      <c r="E630" s="16" t="s">
        <v>289</v>
      </c>
      <c r="F630" s="16" t="s">
        <v>289</v>
      </c>
      <c r="G630" s="16" t="s">
        <v>289</v>
      </c>
      <c r="H630" s="16" t="s">
        <v>289</v>
      </c>
      <c r="I630" s="16" t="s">
        <v>289</v>
      </c>
      <c r="J630" s="16" t="s">
        <v>289</v>
      </c>
      <c r="K630" s="16" t="s">
        <v>289</v>
      </c>
      <c r="L630" s="16" t="s">
        <v>289</v>
      </c>
      <c r="M630" s="16" t="s">
        <v>289</v>
      </c>
      <c r="N630" s="16" t="s">
        <v>289</v>
      </c>
      <c r="O630" s="16" t="s">
        <v>289</v>
      </c>
      <c r="P630" s="16" t="s">
        <v>289</v>
      </c>
      <c r="Q630" s="16" t="s">
        <v>289</v>
      </c>
      <c r="R630" s="16" t="s">
        <v>289</v>
      </c>
      <c r="S630" s="20" t="s">
        <v>289</v>
      </c>
      <c r="T630" s="20" t="s">
        <v>289</v>
      </c>
      <c r="U630" s="20" t="s">
        <v>289</v>
      </c>
      <c r="V630" s="20" t="s">
        <v>289</v>
      </c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Z630" s="5"/>
    </row>
    <row r="631" spans="2:70">
      <c r="B631" s="5" t="s">
        <v>1782</v>
      </c>
      <c r="C631" s="44" t="str">
        <f>B631</f>
        <v>IS_R&amp;D_GAAP</v>
      </c>
      <c r="D631" s="16" t="s">
        <v>289</v>
      </c>
      <c r="E631" s="16" t="s">
        <v>289</v>
      </c>
      <c r="F631" s="16" t="s">
        <v>289</v>
      </c>
      <c r="G631" s="16" t="s">
        <v>289</v>
      </c>
      <c r="H631" s="16" t="s">
        <v>289</v>
      </c>
      <c r="I631" s="16" t="s">
        <v>289</v>
      </c>
      <c r="J631" s="16" t="s">
        <v>289</v>
      </c>
      <c r="K631" s="16" t="s">
        <v>289</v>
      </c>
      <c r="L631" s="16" t="s">
        <v>289</v>
      </c>
      <c r="M631" s="16" t="s">
        <v>289</v>
      </c>
      <c r="N631" s="16" t="s">
        <v>289</v>
      </c>
      <c r="O631" s="16" t="s">
        <v>289</v>
      </c>
      <c r="P631" s="16" t="s">
        <v>289</v>
      </c>
      <c r="Q631" s="16" t="s">
        <v>289</v>
      </c>
      <c r="R631" s="16" t="s">
        <v>289</v>
      </c>
      <c r="S631" s="20" t="s">
        <v>289</v>
      </c>
      <c r="T631" s="20" t="s">
        <v>289</v>
      </c>
      <c r="U631" s="20" t="s">
        <v>289</v>
      </c>
      <c r="V631" s="20" t="s">
        <v>289</v>
      </c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Z631" s="5"/>
    </row>
    <row r="632" spans="2:70">
      <c r="B632" s="5" t="s">
        <v>1783</v>
      </c>
      <c r="C632" s="44" t="str">
        <f>B632</f>
        <v>IS_OPEX_R&amp;D_GAAP</v>
      </c>
      <c r="D632" s="16" t="s">
        <v>289</v>
      </c>
      <c r="E632" s="16" t="s">
        <v>289</v>
      </c>
      <c r="F632" s="16" t="s">
        <v>289</v>
      </c>
      <c r="G632" s="16" t="s">
        <v>289</v>
      </c>
      <c r="H632" s="16" t="s">
        <v>289</v>
      </c>
      <c r="I632" s="16" t="s">
        <v>289</v>
      </c>
      <c r="J632" s="16" t="s">
        <v>289</v>
      </c>
      <c r="K632" s="16" t="s">
        <v>289</v>
      </c>
      <c r="L632" s="16">
        <v>431.45600000000002</v>
      </c>
      <c r="M632" s="16">
        <v>479.29399999999998</v>
      </c>
      <c r="N632" s="16">
        <v>540.83299999999997</v>
      </c>
      <c r="O632" s="16">
        <v>561.58199999999999</v>
      </c>
      <c r="P632" s="16">
        <v>613.63499999999999</v>
      </c>
      <c r="Q632" s="16">
        <v>657.11900000000003</v>
      </c>
      <c r="R632" s="16">
        <v>643.03800000000001</v>
      </c>
      <c r="S632" s="20">
        <v>699.21100000000001</v>
      </c>
      <c r="T632" s="20">
        <v>707.38499999999999</v>
      </c>
      <c r="U632" s="20">
        <v>768.10400000000004</v>
      </c>
      <c r="V632" s="20" t="s">
        <v>289</v>
      </c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Z632" s="5"/>
    </row>
    <row r="634" spans="2:70">
      <c r="B634" s="5" t="s">
        <v>1785</v>
      </c>
      <c r="C634" s="44" t="str">
        <f t="shared" ref="C634:C643" si="278">B634</f>
        <v>IS_R&amp;D_EXPENSE_NONGAAP_ADJUST</v>
      </c>
      <c r="D634" s="16" t="s">
        <v>289</v>
      </c>
      <c r="E634" s="16" t="s">
        <v>289</v>
      </c>
      <c r="F634" s="16" t="s">
        <v>289</v>
      </c>
      <c r="G634" s="16" t="s">
        <v>289</v>
      </c>
      <c r="H634" s="16" t="s">
        <v>289</v>
      </c>
      <c r="I634" s="16" t="s">
        <v>289</v>
      </c>
      <c r="J634" s="16" t="s">
        <v>289</v>
      </c>
      <c r="K634" s="16" t="s">
        <v>289</v>
      </c>
      <c r="L634" s="16">
        <v>0</v>
      </c>
      <c r="M634" s="16">
        <v>0</v>
      </c>
      <c r="N634" s="16">
        <v>0</v>
      </c>
      <c r="O634" s="16">
        <v>0</v>
      </c>
      <c r="P634" s="16">
        <v>0</v>
      </c>
      <c r="Q634" s="16">
        <v>0</v>
      </c>
      <c r="R634" s="16">
        <v>0</v>
      </c>
      <c r="S634" s="20">
        <v>0</v>
      </c>
      <c r="T634" s="20">
        <v>0</v>
      </c>
      <c r="U634" s="20">
        <v>0</v>
      </c>
      <c r="V634" s="20" t="s">
        <v>289</v>
      </c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Z634" s="5"/>
      <c r="BK634" s="22"/>
      <c r="BL634" s="23"/>
      <c r="BM634" s="22"/>
      <c r="BN634" s="22"/>
      <c r="BO634" s="22"/>
      <c r="BP634" s="22"/>
      <c r="BQ634" s="22"/>
      <c r="BR634" s="24"/>
    </row>
    <row r="635" spans="2:70">
      <c r="B635" s="5" t="s">
        <v>1786</v>
      </c>
      <c r="C635" s="44" t="str">
        <f t="shared" si="278"/>
        <v>ARD_ACQUIRED_IN_PROCESS_R&amp;D</v>
      </c>
      <c r="D635" s="16" t="s">
        <v>289</v>
      </c>
      <c r="E635" s="16" t="s">
        <v>289</v>
      </c>
      <c r="F635" s="16" t="s">
        <v>289</v>
      </c>
      <c r="G635" s="16" t="s">
        <v>289</v>
      </c>
      <c r="H635" s="16" t="s">
        <v>289</v>
      </c>
      <c r="I635" s="16" t="s">
        <v>289</v>
      </c>
      <c r="J635" s="16" t="s">
        <v>289</v>
      </c>
      <c r="K635" s="16" t="s">
        <v>289</v>
      </c>
      <c r="L635" s="16" t="s">
        <v>289</v>
      </c>
      <c r="M635" s="16" t="s">
        <v>289</v>
      </c>
      <c r="N635" s="16" t="s">
        <v>289</v>
      </c>
      <c r="O635" s="16" t="s">
        <v>289</v>
      </c>
      <c r="P635" s="16" t="s">
        <v>289</v>
      </c>
      <c r="Q635" s="16" t="s">
        <v>289</v>
      </c>
      <c r="R635" s="16" t="s">
        <v>289</v>
      </c>
      <c r="S635" s="20" t="s">
        <v>289</v>
      </c>
      <c r="T635" s="20" t="s">
        <v>289</v>
      </c>
      <c r="U635" s="20" t="s">
        <v>289</v>
      </c>
      <c r="V635" s="20" t="s">
        <v>289</v>
      </c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Z635" s="5"/>
      <c r="BK635" s="22"/>
      <c r="BL635" s="23"/>
      <c r="BM635" s="22"/>
      <c r="BN635" s="22"/>
      <c r="BO635" s="22"/>
      <c r="BP635" s="22"/>
      <c r="BQ635" s="22"/>
      <c r="BR635" s="24"/>
    </row>
    <row r="636" spans="2:70">
      <c r="B636" s="5" t="s">
        <v>1787</v>
      </c>
      <c r="C636" s="44" t="str">
        <f t="shared" si="278"/>
        <v>ARDR_ACQUIRED_IN_PROCESS_R&amp;D</v>
      </c>
      <c r="D636" s="16" t="s">
        <v>289</v>
      </c>
      <c r="E636" s="16" t="s">
        <v>289</v>
      </c>
      <c r="F636" s="16" t="s">
        <v>289</v>
      </c>
      <c r="G636" s="16" t="s">
        <v>289</v>
      </c>
      <c r="H636" s="16" t="s">
        <v>289</v>
      </c>
      <c r="I636" s="16" t="s">
        <v>289</v>
      </c>
      <c r="J636" s="16" t="s">
        <v>289</v>
      </c>
      <c r="K636" s="16" t="s">
        <v>289</v>
      </c>
      <c r="L636" s="16" t="s">
        <v>289</v>
      </c>
      <c r="M636" s="16" t="s">
        <v>289</v>
      </c>
      <c r="N636" s="16" t="s">
        <v>289</v>
      </c>
      <c r="O636" s="16" t="s">
        <v>289</v>
      </c>
      <c r="P636" s="16" t="s">
        <v>289</v>
      </c>
      <c r="Q636" s="16" t="s">
        <v>289</v>
      </c>
      <c r="R636" s="16" t="s">
        <v>289</v>
      </c>
      <c r="S636" s="20" t="s">
        <v>289</v>
      </c>
      <c r="T636" s="20" t="s">
        <v>289</v>
      </c>
      <c r="U636" s="20" t="s">
        <v>289</v>
      </c>
      <c r="V636" s="20" t="s">
        <v>289</v>
      </c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Z636" s="5"/>
      <c r="BK636" s="22"/>
      <c r="BL636" s="23"/>
      <c r="BM636" s="22"/>
      <c r="BN636" s="22"/>
      <c r="BO636" s="22"/>
      <c r="BP636" s="22"/>
      <c r="BQ636" s="22"/>
      <c r="BR636" s="24"/>
    </row>
    <row r="637" spans="2:70">
      <c r="B637" s="5" t="s">
        <v>1788</v>
      </c>
      <c r="C637" s="44" t="str">
        <f t="shared" si="278"/>
        <v>ARD_R&amp;D_EXPENSES_WITHIN_SGA</v>
      </c>
      <c r="D637" s="16" t="s">
        <v>289</v>
      </c>
      <c r="E637" s="16" t="s">
        <v>289</v>
      </c>
      <c r="F637" s="16" t="s">
        <v>289</v>
      </c>
      <c r="G637" s="16" t="s">
        <v>289</v>
      </c>
      <c r="H637" s="16" t="s">
        <v>289</v>
      </c>
      <c r="I637" s="16" t="s">
        <v>289</v>
      </c>
      <c r="J637" s="16" t="s">
        <v>289</v>
      </c>
      <c r="K637" s="16" t="s">
        <v>289</v>
      </c>
      <c r="L637" s="16" t="s">
        <v>289</v>
      </c>
      <c r="M637" s="16" t="s">
        <v>289</v>
      </c>
      <c r="N637" s="16" t="s">
        <v>289</v>
      </c>
      <c r="O637" s="16" t="s">
        <v>289</v>
      </c>
      <c r="P637" s="16" t="s">
        <v>289</v>
      </c>
      <c r="Q637" s="16" t="s">
        <v>289</v>
      </c>
      <c r="R637" s="16" t="s">
        <v>289</v>
      </c>
      <c r="S637" s="20" t="s">
        <v>289</v>
      </c>
      <c r="T637" s="20" t="s">
        <v>289</v>
      </c>
      <c r="U637" s="20" t="s">
        <v>289</v>
      </c>
      <c r="V637" s="20" t="s">
        <v>289</v>
      </c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Z637" s="5"/>
      <c r="BK637" s="22"/>
      <c r="BL637" s="23"/>
      <c r="BM637" s="22"/>
      <c r="BN637" s="22"/>
      <c r="BO637" s="22"/>
      <c r="BP637" s="22"/>
      <c r="BQ637" s="22"/>
      <c r="BR637" s="24"/>
    </row>
    <row r="638" spans="2:70">
      <c r="B638" s="5" t="s">
        <v>1789</v>
      </c>
      <c r="C638" s="44" t="str">
        <f t="shared" si="278"/>
        <v>ARD_R&amp;D_EXPENSES_WITHIN_CGS</v>
      </c>
      <c r="D638" s="16" t="s">
        <v>289</v>
      </c>
      <c r="E638" s="16" t="s">
        <v>289</v>
      </c>
      <c r="F638" s="16" t="s">
        <v>289</v>
      </c>
      <c r="G638" s="16" t="s">
        <v>289</v>
      </c>
      <c r="H638" s="16" t="s">
        <v>289</v>
      </c>
      <c r="I638" s="16" t="s">
        <v>289</v>
      </c>
      <c r="J638" s="16" t="s">
        <v>289</v>
      </c>
      <c r="K638" s="16" t="s">
        <v>289</v>
      </c>
      <c r="L638" s="16" t="s">
        <v>289</v>
      </c>
      <c r="M638" s="16" t="s">
        <v>289</v>
      </c>
      <c r="N638" s="16" t="s">
        <v>289</v>
      </c>
      <c r="O638" s="16" t="s">
        <v>289</v>
      </c>
      <c r="P638" s="16" t="s">
        <v>289</v>
      </c>
      <c r="Q638" s="16" t="s">
        <v>289</v>
      </c>
      <c r="R638" s="16" t="s">
        <v>289</v>
      </c>
      <c r="S638" s="20" t="s">
        <v>289</v>
      </c>
      <c r="T638" s="20" t="s">
        <v>289</v>
      </c>
      <c r="U638" s="20" t="s">
        <v>289</v>
      </c>
      <c r="V638" s="20" t="s">
        <v>289</v>
      </c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Z638" s="5"/>
      <c r="BK638" s="22"/>
      <c r="BL638" s="23"/>
      <c r="BM638" s="22"/>
      <c r="BN638" s="22"/>
      <c r="BO638" s="22"/>
      <c r="BP638" s="22"/>
      <c r="BQ638" s="22"/>
      <c r="BR638" s="24"/>
    </row>
    <row r="639" spans="2:70">
      <c r="B639" s="5" t="s">
        <v>1790</v>
      </c>
      <c r="C639" s="44" t="str">
        <f t="shared" si="278"/>
        <v>ARDR_R&amp;D_EXPENDITURES</v>
      </c>
      <c r="D639" s="16" t="s">
        <v>289</v>
      </c>
      <c r="E639" s="16" t="s">
        <v>289</v>
      </c>
      <c r="F639" s="16" t="s">
        <v>289</v>
      </c>
      <c r="G639" s="16" t="s">
        <v>289</v>
      </c>
      <c r="H639" s="16" t="s">
        <v>289</v>
      </c>
      <c r="I639" s="16" t="s">
        <v>289</v>
      </c>
      <c r="J639" s="16" t="s">
        <v>289</v>
      </c>
      <c r="K639" s="16" t="s">
        <v>289</v>
      </c>
      <c r="L639" s="16">
        <v>431.45600000000002</v>
      </c>
      <c r="M639" s="16">
        <v>479.29399999999998</v>
      </c>
      <c r="N639" s="16">
        <v>540.83299999999997</v>
      </c>
      <c r="O639" s="16">
        <v>561.58199999999999</v>
      </c>
      <c r="P639" s="16">
        <v>613.63499999999999</v>
      </c>
      <c r="Q639" s="16">
        <v>657.11900000000003</v>
      </c>
      <c r="R639" s="16">
        <v>643.03800000000001</v>
      </c>
      <c r="S639" s="20">
        <v>699.21100000000001</v>
      </c>
      <c r="T639" s="20">
        <v>707.38499999999999</v>
      </c>
      <c r="U639" s="20">
        <v>768.10400000000004</v>
      </c>
      <c r="V639" s="20" t="s">
        <v>289</v>
      </c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Z639" s="5"/>
      <c r="BK639" s="22"/>
      <c r="BL639" s="23"/>
      <c r="BM639" s="22"/>
      <c r="BN639" s="22"/>
      <c r="BO639" s="22"/>
      <c r="BP639" s="22"/>
      <c r="BQ639" s="22"/>
      <c r="BR639" s="24"/>
    </row>
    <row r="640" spans="2:70">
      <c r="B640" s="5" t="s">
        <v>1791</v>
      </c>
      <c r="C640" s="44" t="str">
        <f t="shared" si="278"/>
        <v>ARDR_EXPEND_INCUR_ON_R&amp;D_RECUR</v>
      </c>
      <c r="D640" s="16" t="s">
        <v>289</v>
      </c>
      <c r="E640" s="16" t="s">
        <v>289</v>
      </c>
      <c r="F640" s="16" t="s">
        <v>289</v>
      </c>
      <c r="G640" s="16" t="s">
        <v>289</v>
      </c>
      <c r="H640" s="16" t="s">
        <v>289</v>
      </c>
      <c r="I640" s="16" t="s">
        <v>289</v>
      </c>
      <c r="J640" s="16" t="s">
        <v>289</v>
      </c>
      <c r="K640" s="16" t="s">
        <v>289</v>
      </c>
      <c r="L640" s="16" t="s">
        <v>289</v>
      </c>
      <c r="M640" s="16" t="s">
        <v>289</v>
      </c>
      <c r="N640" s="16" t="s">
        <v>289</v>
      </c>
      <c r="O640" s="16" t="s">
        <v>289</v>
      </c>
      <c r="P640" s="16" t="s">
        <v>289</v>
      </c>
      <c r="Q640" s="16" t="s">
        <v>289</v>
      </c>
      <c r="R640" s="16" t="s">
        <v>289</v>
      </c>
      <c r="S640" s="20" t="s">
        <v>289</v>
      </c>
      <c r="T640" s="20" t="s">
        <v>289</v>
      </c>
      <c r="U640" s="20" t="s">
        <v>289</v>
      </c>
      <c r="V640" s="20" t="s">
        <v>289</v>
      </c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Z640" s="5"/>
      <c r="BK640" s="22"/>
      <c r="BL640" s="23"/>
      <c r="BM640" s="22"/>
      <c r="BN640" s="22"/>
      <c r="BO640" s="22"/>
      <c r="BP640" s="22"/>
      <c r="BQ640" s="22"/>
      <c r="BR640" s="24"/>
    </row>
    <row r="641" spans="1:72">
      <c r="B641" s="5" t="s">
        <v>1792</v>
      </c>
      <c r="C641" s="44" t="str">
        <f t="shared" si="278"/>
        <v>ARDR_R&amp;D_EXPENSES_WITHIN_SGA</v>
      </c>
      <c r="D641" s="16" t="s">
        <v>289</v>
      </c>
      <c r="E641" s="16" t="s">
        <v>289</v>
      </c>
      <c r="F641" s="16" t="s">
        <v>289</v>
      </c>
      <c r="G641" s="16" t="s">
        <v>289</v>
      </c>
      <c r="H641" s="16" t="s">
        <v>289</v>
      </c>
      <c r="I641" s="16" t="s">
        <v>289</v>
      </c>
      <c r="J641" s="16" t="s">
        <v>289</v>
      </c>
      <c r="K641" s="16" t="s">
        <v>289</v>
      </c>
      <c r="L641" s="16" t="s">
        <v>289</v>
      </c>
      <c r="M641" s="16" t="s">
        <v>289</v>
      </c>
      <c r="N641" s="16" t="s">
        <v>289</v>
      </c>
      <c r="O641" s="16" t="s">
        <v>289</v>
      </c>
      <c r="P641" s="16" t="s">
        <v>289</v>
      </c>
      <c r="Q641" s="16" t="s">
        <v>289</v>
      </c>
      <c r="R641" s="16" t="s">
        <v>289</v>
      </c>
      <c r="S641" s="20" t="s">
        <v>289</v>
      </c>
      <c r="T641" s="20" t="s">
        <v>289</v>
      </c>
      <c r="U641" s="20" t="s">
        <v>289</v>
      </c>
      <c r="V641" s="20" t="s">
        <v>289</v>
      </c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Z641" s="5"/>
      <c r="BK641" s="22"/>
      <c r="BL641" s="23"/>
      <c r="BM641" s="22"/>
      <c r="BN641" s="22"/>
      <c r="BO641" s="22"/>
      <c r="BP641" s="22"/>
      <c r="BQ641" s="22"/>
      <c r="BR641" s="24"/>
    </row>
    <row r="642" spans="1:72">
      <c r="B642" s="5" t="s">
        <v>1793</v>
      </c>
      <c r="C642" s="44" t="str">
        <f t="shared" si="278"/>
        <v>ARDR_R_D_EXPENSES_COG</v>
      </c>
      <c r="D642" s="16" t="s">
        <v>289</v>
      </c>
      <c r="E642" s="16" t="s">
        <v>289</v>
      </c>
      <c r="F642" s="16" t="s">
        <v>289</v>
      </c>
      <c r="G642" s="16" t="s">
        <v>289</v>
      </c>
      <c r="H642" s="16" t="s">
        <v>289</v>
      </c>
      <c r="I642" s="16" t="s">
        <v>289</v>
      </c>
      <c r="J642" s="16" t="s">
        <v>289</v>
      </c>
      <c r="K642" s="16" t="s">
        <v>289</v>
      </c>
      <c r="L642" s="16" t="s">
        <v>289</v>
      </c>
      <c r="M642" s="16" t="s">
        <v>289</v>
      </c>
      <c r="N642" s="16" t="s">
        <v>289</v>
      </c>
      <c r="O642" s="16" t="s">
        <v>289</v>
      </c>
      <c r="P642" s="16" t="s">
        <v>289</v>
      </c>
      <c r="Q642" s="16" t="s">
        <v>289</v>
      </c>
      <c r="R642" s="16" t="s">
        <v>289</v>
      </c>
      <c r="S642" s="20" t="s">
        <v>289</v>
      </c>
      <c r="T642" s="20" t="s">
        <v>289</v>
      </c>
      <c r="U642" s="20" t="s">
        <v>289</v>
      </c>
      <c r="V642" s="20" t="s">
        <v>289</v>
      </c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Z642" s="5"/>
      <c r="BK642" s="22"/>
      <c r="BL642" s="23"/>
      <c r="BM642" s="22"/>
      <c r="BN642" s="22"/>
      <c r="BO642" s="22"/>
      <c r="BP642" s="22"/>
      <c r="BQ642" s="22"/>
      <c r="BR642" s="24"/>
    </row>
    <row r="643" spans="1:72">
      <c r="B643" s="5" t="s">
        <v>1794</v>
      </c>
      <c r="C643" s="44" t="str">
        <f t="shared" si="278"/>
        <v>ARDR_NON_GAAP_R&amp;D</v>
      </c>
      <c r="D643" s="16" t="s">
        <v>289</v>
      </c>
      <c r="E643" s="16" t="s">
        <v>289</v>
      </c>
      <c r="F643" s="16" t="s">
        <v>289</v>
      </c>
      <c r="G643" s="16" t="s">
        <v>289</v>
      </c>
      <c r="H643" s="16" t="s">
        <v>289</v>
      </c>
      <c r="I643" s="16" t="s">
        <v>289</v>
      </c>
      <c r="J643" s="16" t="s">
        <v>289</v>
      </c>
      <c r="K643" s="16" t="s">
        <v>289</v>
      </c>
      <c r="L643" s="16" t="s">
        <v>289</v>
      </c>
      <c r="M643" s="16" t="s">
        <v>289</v>
      </c>
      <c r="N643" s="16" t="s">
        <v>289</v>
      </c>
      <c r="O643" s="16" t="s">
        <v>289</v>
      </c>
      <c r="P643" s="16" t="s">
        <v>289</v>
      </c>
      <c r="Q643" s="16" t="s">
        <v>289</v>
      </c>
      <c r="R643" s="16" t="s">
        <v>289</v>
      </c>
      <c r="S643" s="20" t="s">
        <v>289</v>
      </c>
      <c r="T643" s="20" t="s">
        <v>289</v>
      </c>
      <c r="U643" s="20" t="s">
        <v>289</v>
      </c>
      <c r="V643" s="20" t="s">
        <v>289</v>
      </c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Z643" s="5"/>
      <c r="BK643" s="22"/>
      <c r="BL643" s="23"/>
      <c r="BM643" s="22"/>
      <c r="BN643" s="22"/>
      <c r="BO643" s="22"/>
      <c r="BP643" s="22"/>
      <c r="BQ643" s="22"/>
      <c r="BR643" s="24"/>
    </row>
    <row r="644" spans="1:72"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Z644" s="5"/>
      <c r="BK644" s="22"/>
      <c r="BL644" s="23"/>
      <c r="BM644" s="22"/>
      <c r="BN644" s="22"/>
      <c r="BO644" s="22"/>
      <c r="BP644" s="22"/>
      <c r="BQ644" s="22"/>
      <c r="BR644" s="24"/>
    </row>
    <row r="645" spans="1:72"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Z645" s="5"/>
      <c r="BK645" s="22"/>
      <c r="BL645" s="23"/>
      <c r="BM645" s="22"/>
      <c r="BN645" s="22"/>
      <c r="BO645" s="22"/>
      <c r="BP645" s="22"/>
      <c r="BQ645" s="22"/>
      <c r="BR645" s="24"/>
    </row>
    <row r="646" spans="1:72"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Z646" s="5"/>
      <c r="BK646" s="22"/>
      <c r="BL646" s="23"/>
      <c r="BM646" s="22"/>
      <c r="BN646" s="22"/>
      <c r="BO646" s="22"/>
      <c r="BP646" s="22"/>
      <c r="BQ646" s="22"/>
      <c r="BR646" s="24"/>
    </row>
    <row r="647" spans="1:72" s="33" customFormat="1">
      <c r="A647" s="5"/>
      <c r="B647" s="5" t="s">
        <v>180</v>
      </c>
      <c r="C647" s="5"/>
      <c r="D647" s="16" t="s">
        <v>289</v>
      </c>
      <c r="E647" s="16" t="s">
        <v>289</v>
      </c>
      <c r="F647" s="16" t="s">
        <v>289</v>
      </c>
      <c r="G647" s="16" t="s">
        <v>289</v>
      </c>
      <c r="H647" s="16" t="s">
        <v>289</v>
      </c>
      <c r="I647" s="16" t="s">
        <v>289</v>
      </c>
      <c r="J647" s="16" t="s">
        <v>289</v>
      </c>
      <c r="K647" s="16" t="s">
        <v>289</v>
      </c>
      <c r="L647" s="16" t="s">
        <v>289</v>
      </c>
      <c r="M647" s="16" t="s">
        <v>289</v>
      </c>
      <c r="N647" s="16" t="s">
        <v>289</v>
      </c>
      <c r="O647" s="16" t="s">
        <v>289</v>
      </c>
      <c r="P647" s="16" t="s">
        <v>289</v>
      </c>
      <c r="Q647" s="16" t="s">
        <v>289</v>
      </c>
      <c r="R647" s="16" t="s">
        <v>289</v>
      </c>
      <c r="S647" s="16" t="s">
        <v>289</v>
      </c>
      <c r="T647" s="16" t="s">
        <v>289</v>
      </c>
      <c r="U647" s="16" t="s">
        <v>289</v>
      </c>
      <c r="V647" s="16" t="s">
        <v>289</v>
      </c>
      <c r="W647" s="16"/>
      <c r="X647" s="16"/>
      <c r="Y647" s="16"/>
      <c r="Z647" s="16"/>
      <c r="AA647" s="16"/>
      <c r="AB647" s="25"/>
      <c r="AC647" s="25"/>
      <c r="AD647" s="24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16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22"/>
      <c r="BL647" s="23"/>
      <c r="BM647" s="22"/>
      <c r="BN647" s="22"/>
      <c r="BO647" s="22"/>
      <c r="BP647" s="22"/>
      <c r="BQ647" s="22"/>
      <c r="BR647" s="42"/>
      <c r="BS647" s="5"/>
      <c r="BT647" s="5"/>
    </row>
    <row r="648" spans="1:72">
      <c r="AD648" s="24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Z648" s="5"/>
      <c r="BJ648" s="24"/>
      <c r="BK648" s="22"/>
      <c r="BL648" s="23"/>
      <c r="BM648" s="22"/>
      <c r="BN648" s="22"/>
      <c r="BO648" s="22"/>
      <c r="BP648" s="22"/>
      <c r="BQ648" s="22"/>
      <c r="BR648" s="24"/>
    </row>
    <row r="649" spans="1:72">
      <c r="B649" s="5" t="s">
        <v>182</v>
      </c>
      <c r="D649" s="16" t="s">
        <v>289</v>
      </c>
      <c r="E649" s="16" t="s">
        <v>289</v>
      </c>
      <c r="F649" s="16" t="s">
        <v>289</v>
      </c>
      <c r="G649" s="16" t="s">
        <v>289</v>
      </c>
      <c r="H649" s="16" t="s">
        <v>289</v>
      </c>
      <c r="I649" s="16" t="s">
        <v>289</v>
      </c>
      <c r="J649" s="16" t="s">
        <v>289</v>
      </c>
      <c r="K649" s="16" t="s">
        <v>289</v>
      </c>
      <c r="L649" s="16" t="s">
        <v>289</v>
      </c>
      <c r="M649" s="16" t="s">
        <v>289</v>
      </c>
      <c r="N649" s="16" t="s">
        <v>289</v>
      </c>
      <c r="O649" s="16" t="s">
        <v>289</v>
      </c>
      <c r="P649" s="16" t="s">
        <v>289</v>
      </c>
      <c r="Q649" s="16" t="s">
        <v>289</v>
      </c>
      <c r="R649" s="16" t="s">
        <v>289</v>
      </c>
      <c r="S649" s="16" t="s">
        <v>289</v>
      </c>
      <c r="T649" s="16" t="s">
        <v>289</v>
      </c>
      <c r="U649" s="16" t="s">
        <v>289</v>
      </c>
      <c r="V649" s="16" t="s">
        <v>289</v>
      </c>
      <c r="W649" s="16"/>
      <c r="X649" s="16"/>
      <c r="Y649" s="16"/>
      <c r="Z649" s="16"/>
      <c r="AA649" s="16"/>
      <c r="AB649" s="25"/>
      <c r="AC649" s="25"/>
      <c r="AD649" s="24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16"/>
      <c r="AZ649" s="5"/>
      <c r="BK649" s="22"/>
      <c r="BL649" s="23"/>
      <c r="BM649" s="22"/>
      <c r="BN649" s="22"/>
      <c r="BO649" s="22"/>
      <c r="BP649" s="22"/>
      <c r="BQ649" s="22"/>
      <c r="BR649" s="24"/>
    </row>
    <row r="650" spans="1:72">
      <c r="B650" s="5" t="s">
        <v>183</v>
      </c>
      <c r="D650" s="16" t="s">
        <v>289</v>
      </c>
      <c r="E650" s="16" t="s">
        <v>289</v>
      </c>
      <c r="F650" s="16" t="s">
        <v>289</v>
      </c>
      <c r="G650" s="16" t="s">
        <v>289</v>
      </c>
      <c r="H650" s="16" t="s">
        <v>289</v>
      </c>
      <c r="I650" s="16" t="s">
        <v>289</v>
      </c>
      <c r="J650" s="16" t="s">
        <v>289</v>
      </c>
      <c r="K650" s="16" t="s">
        <v>289</v>
      </c>
      <c r="L650" s="16" t="s">
        <v>289</v>
      </c>
      <c r="M650" s="16" t="s">
        <v>289</v>
      </c>
      <c r="N650" s="16" t="s">
        <v>289</v>
      </c>
      <c r="O650" s="16" t="s">
        <v>289</v>
      </c>
      <c r="P650" s="16" t="s">
        <v>289</v>
      </c>
      <c r="Q650" s="16" t="s">
        <v>289</v>
      </c>
      <c r="R650" s="16" t="s">
        <v>289</v>
      </c>
      <c r="S650" s="16" t="s">
        <v>289</v>
      </c>
      <c r="T650" s="16" t="s">
        <v>289</v>
      </c>
      <c r="U650" s="16" t="s">
        <v>289</v>
      </c>
      <c r="V650" s="16" t="s">
        <v>289</v>
      </c>
      <c r="W650" s="16"/>
      <c r="X650" s="16"/>
      <c r="Y650" s="16"/>
      <c r="Z650" s="16"/>
      <c r="AA650" s="16"/>
      <c r="AB650" s="25"/>
      <c r="AC650" s="25"/>
      <c r="AD650" s="24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16"/>
      <c r="AZ650" s="5"/>
      <c r="BK650" s="22"/>
      <c r="BL650" s="23"/>
      <c r="BM650" s="22"/>
      <c r="BN650" s="22"/>
      <c r="BO650" s="22"/>
      <c r="BP650" s="22"/>
      <c r="BQ650" s="22"/>
      <c r="BR650" s="24"/>
    </row>
    <row r="651" spans="1:72">
      <c r="B651" s="5" t="s">
        <v>184</v>
      </c>
      <c r="D651" s="16" t="s">
        <v>289</v>
      </c>
      <c r="E651" s="16" t="s">
        <v>289</v>
      </c>
      <c r="F651" s="16" t="s">
        <v>289</v>
      </c>
      <c r="G651" s="16" t="s">
        <v>289</v>
      </c>
      <c r="H651" s="16" t="s">
        <v>289</v>
      </c>
      <c r="I651" s="16" t="s">
        <v>289</v>
      </c>
      <c r="J651" s="16" t="s">
        <v>289</v>
      </c>
      <c r="K651" s="16" t="s">
        <v>289</v>
      </c>
      <c r="L651" s="16" t="s">
        <v>289</v>
      </c>
      <c r="M651" s="16" t="s">
        <v>289</v>
      </c>
      <c r="N651" s="16" t="s">
        <v>289</v>
      </c>
      <c r="O651" s="16" t="s">
        <v>289</v>
      </c>
      <c r="P651" s="16" t="s">
        <v>289</v>
      </c>
      <c r="Q651" s="16" t="s">
        <v>289</v>
      </c>
      <c r="R651" s="16" t="s">
        <v>289</v>
      </c>
      <c r="S651" s="16" t="s">
        <v>289</v>
      </c>
      <c r="T651" s="16" t="s">
        <v>289</v>
      </c>
      <c r="U651" s="16" t="s">
        <v>289</v>
      </c>
      <c r="V651" s="16" t="s">
        <v>289</v>
      </c>
      <c r="W651" s="16"/>
      <c r="X651" s="16"/>
      <c r="Y651" s="16"/>
      <c r="Z651" s="16"/>
      <c r="AA651" s="16"/>
      <c r="AB651" s="25"/>
      <c r="AC651" s="2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16"/>
      <c r="AZ651" s="5"/>
      <c r="BK651" s="22"/>
      <c r="BL651" s="23"/>
      <c r="BM651" s="22"/>
      <c r="BN651" s="22"/>
      <c r="BO651" s="22"/>
      <c r="BP651" s="22"/>
      <c r="BQ651" s="22"/>
      <c r="BR651" s="24"/>
    </row>
    <row r="652" spans="1:72"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Z652" s="5"/>
      <c r="BK652" s="22"/>
      <c r="BL652" s="23"/>
      <c r="BM652" s="22"/>
      <c r="BN652" s="22"/>
      <c r="BO652" s="22"/>
      <c r="BP652" s="22"/>
      <c r="BQ652" s="22"/>
      <c r="BR652" s="24"/>
    </row>
    <row r="653" spans="1:72"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25"/>
      <c r="AZ653" s="5"/>
      <c r="BK653" s="22"/>
      <c r="BL653" s="23"/>
      <c r="BM653" s="22"/>
      <c r="BN653" s="22"/>
      <c r="BO653" s="22"/>
      <c r="BP653" s="22"/>
      <c r="BQ653" s="22"/>
      <c r="BR653" s="24"/>
    </row>
    <row r="654" spans="1:72">
      <c r="B654" s="5" t="s">
        <v>185</v>
      </c>
      <c r="D654" s="16" t="s">
        <v>289</v>
      </c>
      <c r="E654" s="16" t="s">
        <v>289</v>
      </c>
      <c r="F654" s="16" t="s">
        <v>289</v>
      </c>
      <c r="G654" s="16" t="s">
        <v>289</v>
      </c>
      <c r="H654" s="16" t="s">
        <v>289</v>
      </c>
      <c r="I654" s="16" t="s">
        <v>289</v>
      </c>
      <c r="J654" s="16" t="s">
        <v>289</v>
      </c>
      <c r="K654" s="16" t="s">
        <v>289</v>
      </c>
      <c r="L654" s="16" t="s">
        <v>289</v>
      </c>
      <c r="M654" s="16" t="s">
        <v>289</v>
      </c>
      <c r="N654" s="16" t="s">
        <v>289</v>
      </c>
      <c r="O654" s="16" t="s">
        <v>289</v>
      </c>
      <c r="P654" s="16" t="s">
        <v>289</v>
      </c>
      <c r="Q654" s="16" t="s">
        <v>289</v>
      </c>
      <c r="R654" s="16" t="s">
        <v>289</v>
      </c>
      <c r="S654" s="16" t="s">
        <v>289</v>
      </c>
      <c r="T654" s="16" t="s">
        <v>289</v>
      </c>
      <c r="U654" s="16" t="s">
        <v>289</v>
      </c>
      <c r="V654" s="16" t="s">
        <v>289</v>
      </c>
      <c r="W654" s="16"/>
      <c r="X654" s="16"/>
      <c r="Y654" s="16"/>
      <c r="Z654" s="16"/>
      <c r="AA654" s="16"/>
      <c r="AB654" s="25"/>
      <c r="AC654" s="2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16"/>
      <c r="AZ654" s="5"/>
      <c r="BK654" s="25"/>
      <c r="BL654" s="25"/>
      <c r="BM654" s="25"/>
      <c r="BN654" s="25"/>
      <c r="BO654" s="25"/>
      <c r="BP654" s="25"/>
      <c r="BQ654" s="25"/>
      <c r="BR654" s="24"/>
    </row>
    <row r="655" spans="1:72">
      <c r="B655" s="5" t="s">
        <v>186</v>
      </c>
      <c r="D655" s="16" t="s">
        <v>289</v>
      </c>
      <c r="E655" s="16" t="s">
        <v>289</v>
      </c>
      <c r="F655" s="16" t="s">
        <v>289</v>
      </c>
      <c r="G655" s="16" t="s">
        <v>289</v>
      </c>
      <c r="H655" s="16" t="s">
        <v>289</v>
      </c>
      <c r="I655" s="16" t="s">
        <v>289</v>
      </c>
      <c r="J655" s="16" t="s">
        <v>289</v>
      </c>
      <c r="K655" s="16" t="s">
        <v>289</v>
      </c>
      <c r="L655" s="16" t="s">
        <v>289</v>
      </c>
      <c r="M655" s="16" t="s">
        <v>289</v>
      </c>
      <c r="N655" s="16" t="s">
        <v>289</v>
      </c>
      <c r="O655" s="16" t="s">
        <v>289</v>
      </c>
      <c r="P655" s="16" t="s">
        <v>289</v>
      </c>
      <c r="Q655" s="16" t="s">
        <v>289</v>
      </c>
      <c r="R655" s="16" t="s">
        <v>289</v>
      </c>
      <c r="S655" s="16" t="s">
        <v>289</v>
      </c>
      <c r="T655" s="16" t="s">
        <v>289</v>
      </c>
      <c r="U655" s="16" t="s">
        <v>289</v>
      </c>
      <c r="V655" s="16" t="s">
        <v>289</v>
      </c>
      <c r="W655" s="16"/>
      <c r="X655" s="16"/>
      <c r="Y655" s="16"/>
      <c r="Z655" s="16"/>
      <c r="AA655" s="16"/>
      <c r="AB655" s="25"/>
      <c r="AC655" s="2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16"/>
      <c r="AZ655" s="5"/>
      <c r="BK655" s="22"/>
      <c r="BL655" s="23"/>
      <c r="BM655" s="22"/>
      <c r="BN655" s="22"/>
      <c r="BO655" s="22"/>
      <c r="BP655" s="22"/>
      <c r="BQ655" s="22"/>
      <c r="BR655" s="24"/>
    </row>
    <row r="656" spans="1:72">
      <c r="B656" s="5" t="s">
        <v>187</v>
      </c>
      <c r="D656" s="16" t="s">
        <v>289</v>
      </c>
      <c r="E656" s="16" t="s">
        <v>289</v>
      </c>
      <c r="F656" s="16" t="s">
        <v>289</v>
      </c>
      <c r="G656" s="16" t="s">
        <v>289</v>
      </c>
      <c r="H656" s="16" t="s">
        <v>289</v>
      </c>
      <c r="I656" s="16" t="s">
        <v>289</v>
      </c>
      <c r="J656" s="16" t="s">
        <v>289</v>
      </c>
      <c r="K656" s="16" t="s">
        <v>289</v>
      </c>
      <c r="L656" s="16" t="s">
        <v>289</v>
      </c>
      <c r="M656" s="16" t="s">
        <v>289</v>
      </c>
      <c r="N656" s="16" t="s">
        <v>289</v>
      </c>
      <c r="O656" s="16" t="s">
        <v>289</v>
      </c>
      <c r="P656" s="16" t="s">
        <v>289</v>
      </c>
      <c r="Q656" s="16" t="s">
        <v>289</v>
      </c>
      <c r="R656" s="16" t="s">
        <v>289</v>
      </c>
      <c r="S656" s="16" t="s">
        <v>289</v>
      </c>
      <c r="T656" s="16" t="s">
        <v>289</v>
      </c>
      <c r="U656" s="16" t="s">
        <v>289</v>
      </c>
      <c r="V656" s="16" t="s">
        <v>289</v>
      </c>
      <c r="W656" s="16"/>
      <c r="X656" s="16"/>
      <c r="Y656" s="16"/>
      <c r="Z656" s="16"/>
      <c r="AA656" s="16"/>
      <c r="AB656" s="25"/>
      <c r="AC656" s="2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16"/>
      <c r="AZ656" s="5"/>
      <c r="BK656" s="22"/>
      <c r="BL656" s="23"/>
      <c r="BM656" s="22"/>
      <c r="BN656" s="22"/>
      <c r="BO656" s="22"/>
      <c r="BP656" s="22"/>
      <c r="BQ656" s="22"/>
      <c r="BR656" s="24"/>
    </row>
    <row r="657" spans="1:72">
      <c r="B657" s="5" t="s">
        <v>188</v>
      </c>
      <c r="D657" s="16" t="s">
        <v>289</v>
      </c>
      <c r="E657" s="16" t="s">
        <v>289</v>
      </c>
      <c r="F657" s="16" t="s">
        <v>289</v>
      </c>
      <c r="G657" s="16" t="s">
        <v>289</v>
      </c>
      <c r="H657" s="16" t="s">
        <v>289</v>
      </c>
      <c r="I657" s="16" t="s">
        <v>289</v>
      </c>
      <c r="J657" s="16" t="s">
        <v>289</v>
      </c>
      <c r="K657" s="16" t="s">
        <v>289</v>
      </c>
      <c r="L657" s="16" t="s">
        <v>289</v>
      </c>
      <c r="M657" s="16" t="s">
        <v>289</v>
      </c>
      <c r="N657" s="16" t="s">
        <v>289</v>
      </c>
      <c r="O657" s="16" t="s">
        <v>289</v>
      </c>
      <c r="P657" s="16" t="s">
        <v>289</v>
      </c>
      <c r="Q657" s="16" t="s">
        <v>289</v>
      </c>
      <c r="R657" s="16" t="s">
        <v>289</v>
      </c>
      <c r="S657" s="16" t="s">
        <v>289</v>
      </c>
      <c r="T657" s="16" t="s">
        <v>289</v>
      </c>
      <c r="U657" s="16" t="s">
        <v>289</v>
      </c>
      <c r="V657" s="16" t="s">
        <v>289</v>
      </c>
      <c r="W657" s="16"/>
      <c r="X657" s="16"/>
      <c r="Y657" s="16"/>
      <c r="Z657" s="16"/>
      <c r="AA657" s="16"/>
      <c r="AB657" s="25"/>
      <c r="AC657" s="2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16"/>
      <c r="AZ657" s="5"/>
      <c r="BK657" s="22"/>
      <c r="BL657" s="23"/>
      <c r="BM657" s="22"/>
      <c r="BN657" s="22"/>
      <c r="BO657" s="22"/>
      <c r="BP657" s="22"/>
      <c r="BQ657" s="22"/>
      <c r="BR657" s="24"/>
    </row>
    <row r="658" spans="1:72">
      <c r="B658" s="5" t="s">
        <v>189</v>
      </c>
      <c r="D658" s="16" t="s">
        <v>289</v>
      </c>
      <c r="E658" s="16" t="s">
        <v>289</v>
      </c>
      <c r="F658" s="16" t="s">
        <v>289</v>
      </c>
      <c r="G658" s="16" t="s">
        <v>289</v>
      </c>
      <c r="H658" s="16" t="s">
        <v>289</v>
      </c>
      <c r="I658" s="16" t="s">
        <v>289</v>
      </c>
      <c r="J658" s="16" t="s">
        <v>289</v>
      </c>
      <c r="K658" s="16" t="s">
        <v>289</v>
      </c>
      <c r="L658" s="16" t="s">
        <v>289</v>
      </c>
      <c r="M658" s="16" t="s">
        <v>289</v>
      </c>
      <c r="N658" s="16" t="s">
        <v>289</v>
      </c>
      <c r="O658" s="16" t="s">
        <v>289</v>
      </c>
      <c r="P658" s="16" t="s">
        <v>289</v>
      </c>
      <c r="Q658" s="16" t="s">
        <v>289</v>
      </c>
      <c r="R658" s="16" t="s">
        <v>289</v>
      </c>
      <c r="S658" s="16" t="s">
        <v>289</v>
      </c>
      <c r="T658" s="16" t="s">
        <v>289</v>
      </c>
      <c r="U658" s="16" t="s">
        <v>289</v>
      </c>
      <c r="V658" s="16" t="s">
        <v>289</v>
      </c>
      <c r="W658" s="16"/>
      <c r="X658" s="16"/>
      <c r="Y658" s="16"/>
      <c r="Z658" s="16"/>
      <c r="AA658" s="16"/>
      <c r="AB658" s="25"/>
      <c r="AC658" s="2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16"/>
      <c r="AZ658" s="5"/>
      <c r="BK658" s="22"/>
      <c r="BL658" s="23"/>
      <c r="BM658" s="22"/>
      <c r="BN658" s="22"/>
      <c r="BO658" s="22"/>
      <c r="BP658" s="22"/>
      <c r="BQ658" s="22"/>
      <c r="BR658" s="24"/>
      <c r="BT658" s="33"/>
    </row>
    <row r="659" spans="1:72"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Z659" s="5"/>
      <c r="BK659" s="22"/>
      <c r="BL659" s="23"/>
      <c r="BM659" s="22"/>
      <c r="BN659" s="22"/>
      <c r="BO659" s="22"/>
      <c r="BP659" s="22"/>
      <c r="BQ659" s="22"/>
      <c r="BR659" s="24"/>
      <c r="BT659" s="33"/>
    </row>
    <row r="660" spans="1:72">
      <c r="B660" s="5" t="s">
        <v>190</v>
      </c>
      <c r="D660" s="16" t="s">
        <v>289</v>
      </c>
      <c r="E660" s="16" t="s">
        <v>289</v>
      </c>
      <c r="F660" s="16" t="s">
        <v>289</v>
      </c>
      <c r="G660" s="16" t="s">
        <v>289</v>
      </c>
      <c r="H660" s="16" t="s">
        <v>289</v>
      </c>
      <c r="I660" s="16" t="s">
        <v>289</v>
      </c>
      <c r="J660" s="16" t="s">
        <v>289</v>
      </c>
      <c r="K660" s="16" t="s">
        <v>289</v>
      </c>
      <c r="L660" s="16" t="s">
        <v>289</v>
      </c>
      <c r="M660" s="16" t="s">
        <v>289</v>
      </c>
      <c r="N660" s="16" t="s">
        <v>289</v>
      </c>
      <c r="O660" s="16" t="s">
        <v>289</v>
      </c>
      <c r="P660" s="16" t="s">
        <v>289</v>
      </c>
      <c r="Q660" s="16" t="s">
        <v>289</v>
      </c>
      <c r="R660" s="16" t="s">
        <v>289</v>
      </c>
      <c r="S660" s="16" t="s">
        <v>289</v>
      </c>
      <c r="T660" s="16" t="s">
        <v>289</v>
      </c>
      <c r="U660" s="16" t="s">
        <v>289</v>
      </c>
      <c r="V660" s="16" t="s">
        <v>289</v>
      </c>
      <c r="W660" s="16"/>
      <c r="X660" s="16"/>
      <c r="Y660" s="16"/>
      <c r="Z660" s="16"/>
      <c r="AA660" s="16"/>
      <c r="AB660" s="25"/>
      <c r="AC660" s="2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16"/>
      <c r="AZ660" s="5"/>
      <c r="BJ660" s="24"/>
      <c r="BK660" s="22"/>
      <c r="BL660" s="23"/>
      <c r="BM660" s="22"/>
      <c r="BN660" s="22"/>
      <c r="BO660" s="22"/>
      <c r="BP660" s="22"/>
      <c r="BQ660" s="22"/>
      <c r="BR660" s="24"/>
      <c r="BT660" s="33"/>
    </row>
    <row r="661" spans="1:72" s="33" customFormat="1">
      <c r="A661" s="5"/>
      <c r="B661" s="5" t="s">
        <v>191</v>
      </c>
      <c r="C661" s="5"/>
      <c r="D661" s="16" t="s">
        <v>289</v>
      </c>
      <c r="E661" s="16" t="s">
        <v>289</v>
      </c>
      <c r="F661" s="16" t="s">
        <v>289</v>
      </c>
      <c r="G661" s="16" t="s">
        <v>289</v>
      </c>
      <c r="H661" s="16" t="s">
        <v>289</v>
      </c>
      <c r="I661" s="16" t="s">
        <v>289</v>
      </c>
      <c r="J661" s="16" t="s">
        <v>289</v>
      </c>
      <c r="K661" s="16" t="s">
        <v>289</v>
      </c>
      <c r="L661" s="16" t="s">
        <v>289</v>
      </c>
      <c r="M661" s="16" t="s">
        <v>289</v>
      </c>
      <c r="N661" s="16" t="s">
        <v>289</v>
      </c>
      <c r="O661" s="16" t="s">
        <v>289</v>
      </c>
      <c r="P661" s="16" t="s">
        <v>289</v>
      </c>
      <c r="Q661" s="16" t="s">
        <v>289</v>
      </c>
      <c r="R661" s="16" t="s">
        <v>289</v>
      </c>
      <c r="S661" s="16" t="s">
        <v>289</v>
      </c>
      <c r="T661" s="16" t="s">
        <v>289</v>
      </c>
      <c r="U661" s="16" t="s">
        <v>289</v>
      </c>
      <c r="V661" s="16" t="s">
        <v>289</v>
      </c>
      <c r="W661" s="16"/>
      <c r="X661" s="16"/>
      <c r="Y661" s="16"/>
      <c r="Z661" s="16"/>
      <c r="AA661" s="16"/>
      <c r="AB661" s="25"/>
      <c r="AC661" s="2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16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24"/>
      <c r="BK661" s="22"/>
      <c r="BL661" s="23"/>
      <c r="BM661" s="22"/>
      <c r="BN661" s="22"/>
      <c r="BO661" s="22"/>
      <c r="BP661" s="22"/>
      <c r="BQ661" s="22"/>
      <c r="BR661" s="24"/>
      <c r="BS661" s="5"/>
    </row>
    <row r="662" spans="1:72" s="33" customFormat="1">
      <c r="A662" s="5"/>
      <c r="B662" s="5" t="s">
        <v>192</v>
      </c>
      <c r="C662" s="5"/>
      <c r="D662" s="16" t="s">
        <v>289</v>
      </c>
      <c r="E662" s="16" t="s">
        <v>289</v>
      </c>
      <c r="F662" s="16" t="s">
        <v>289</v>
      </c>
      <c r="G662" s="16" t="s">
        <v>289</v>
      </c>
      <c r="H662" s="16" t="s">
        <v>289</v>
      </c>
      <c r="I662" s="16" t="s">
        <v>289</v>
      </c>
      <c r="J662" s="16" t="s">
        <v>289</v>
      </c>
      <c r="K662" s="16" t="s">
        <v>289</v>
      </c>
      <c r="L662" s="16" t="s">
        <v>289</v>
      </c>
      <c r="M662" s="16" t="s">
        <v>289</v>
      </c>
      <c r="N662" s="16" t="s">
        <v>289</v>
      </c>
      <c r="O662" s="16" t="s">
        <v>289</v>
      </c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25"/>
      <c r="AC662" s="2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16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24"/>
      <c r="BK662" s="22"/>
      <c r="BL662" s="23"/>
      <c r="BM662" s="22"/>
      <c r="BN662" s="22"/>
      <c r="BO662" s="22"/>
      <c r="BP662" s="22"/>
      <c r="BQ662" s="22"/>
      <c r="BR662" s="24"/>
      <c r="BS662" s="5"/>
    </row>
    <row r="663" spans="1:72" s="33" customFormat="1">
      <c r="A663" s="5"/>
      <c r="B663" s="5" t="s">
        <v>193</v>
      </c>
      <c r="C663" s="5"/>
      <c r="D663" s="16" t="s">
        <v>289</v>
      </c>
      <c r="E663" s="16" t="s">
        <v>289</v>
      </c>
      <c r="F663" s="16" t="s">
        <v>289</v>
      </c>
      <c r="G663" s="16" t="s">
        <v>289</v>
      </c>
      <c r="H663" s="16" t="s">
        <v>289</v>
      </c>
      <c r="I663" s="16" t="s">
        <v>289</v>
      </c>
      <c r="J663" s="16" t="s">
        <v>289</v>
      </c>
      <c r="K663" s="16" t="s">
        <v>289</v>
      </c>
      <c r="L663" s="16" t="s">
        <v>289</v>
      </c>
      <c r="M663" s="16" t="s">
        <v>289</v>
      </c>
      <c r="N663" s="16" t="s">
        <v>289</v>
      </c>
      <c r="O663" s="16" t="s">
        <v>289</v>
      </c>
      <c r="P663" s="16" t="s">
        <v>289</v>
      </c>
      <c r="Q663" s="16" t="s">
        <v>289</v>
      </c>
      <c r="R663" s="16" t="s">
        <v>289</v>
      </c>
      <c r="S663" s="16" t="s">
        <v>289</v>
      </c>
      <c r="T663" s="16" t="s">
        <v>289</v>
      </c>
      <c r="U663" s="16" t="s">
        <v>289</v>
      </c>
      <c r="V663" s="16" t="s">
        <v>289</v>
      </c>
      <c r="W663" s="16"/>
      <c r="X663" s="16"/>
      <c r="Y663" s="16"/>
      <c r="Z663" s="16"/>
      <c r="AA663" s="16"/>
      <c r="AB663" s="25"/>
      <c r="AC663" s="2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16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24"/>
      <c r="BK663" s="22"/>
      <c r="BL663" s="23"/>
      <c r="BM663" s="22"/>
      <c r="BN663" s="22"/>
      <c r="BO663" s="22"/>
      <c r="BP663" s="22"/>
      <c r="BQ663" s="22"/>
      <c r="BR663" s="24"/>
      <c r="BS663" s="5"/>
    </row>
    <row r="664" spans="1:72" s="33" customFormat="1">
      <c r="A664" s="5"/>
      <c r="B664" s="5" t="s">
        <v>194</v>
      </c>
      <c r="C664" s="5"/>
      <c r="D664" s="16" t="s">
        <v>289</v>
      </c>
      <c r="E664" s="16" t="s">
        <v>289</v>
      </c>
      <c r="F664" s="16" t="s">
        <v>289</v>
      </c>
      <c r="G664" s="16" t="s">
        <v>289</v>
      </c>
      <c r="H664" s="16" t="s">
        <v>289</v>
      </c>
      <c r="I664" s="16" t="s">
        <v>289</v>
      </c>
      <c r="J664" s="16" t="s">
        <v>289</v>
      </c>
      <c r="K664" s="16" t="s">
        <v>289</v>
      </c>
      <c r="L664" s="16" t="s">
        <v>289</v>
      </c>
      <c r="M664" s="16" t="s">
        <v>289</v>
      </c>
      <c r="N664" s="16" t="s">
        <v>289</v>
      </c>
      <c r="O664" s="16" t="s">
        <v>289</v>
      </c>
      <c r="P664" s="16" t="s">
        <v>289</v>
      </c>
      <c r="Q664" s="16" t="s">
        <v>289</v>
      </c>
      <c r="R664" s="16" t="s">
        <v>289</v>
      </c>
      <c r="S664" s="16" t="s">
        <v>289</v>
      </c>
      <c r="T664" s="16" t="s">
        <v>289</v>
      </c>
      <c r="U664" s="16" t="s">
        <v>289</v>
      </c>
      <c r="V664" s="16" t="s">
        <v>289</v>
      </c>
      <c r="W664" s="16"/>
      <c r="X664" s="16"/>
      <c r="Y664" s="16"/>
      <c r="Z664" s="16"/>
      <c r="AA664" s="16"/>
      <c r="AB664" s="25"/>
      <c r="AC664" s="2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16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24"/>
      <c r="BK664" s="22"/>
      <c r="BL664" s="23"/>
      <c r="BM664" s="22"/>
      <c r="BN664" s="22"/>
      <c r="BO664" s="22"/>
      <c r="BP664" s="22"/>
      <c r="BQ664" s="22"/>
      <c r="BR664" s="24"/>
      <c r="BS664" s="5"/>
      <c r="BT664" s="5"/>
    </row>
    <row r="665" spans="1:72" s="33" customFormat="1">
      <c r="A665" s="5"/>
      <c r="B665" s="5" t="s">
        <v>195</v>
      </c>
      <c r="C665" s="5"/>
      <c r="D665" s="16" t="s">
        <v>289</v>
      </c>
      <c r="E665" s="16" t="s">
        <v>289</v>
      </c>
      <c r="F665" s="16" t="s">
        <v>289</v>
      </c>
      <c r="G665" s="16" t="s">
        <v>289</v>
      </c>
      <c r="H665" s="16" t="s">
        <v>289</v>
      </c>
      <c r="I665" s="16" t="s">
        <v>289</v>
      </c>
      <c r="J665" s="16" t="s">
        <v>289</v>
      </c>
      <c r="K665" s="16" t="s">
        <v>289</v>
      </c>
      <c r="L665" s="16" t="s">
        <v>289</v>
      </c>
      <c r="M665" s="16" t="s">
        <v>289</v>
      </c>
      <c r="N665" s="16" t="s">
        <v>289</v>
      </c>
      <c r="O665" s="16" t="s">
        <v>289</v>
      </c>
      <c r="P665" s="16" t="s">
        <v>289</v>
      </c>
      <c r="Q665" s="16" t="s">
        <v>289</v>
      </c>
      <c r="R665" s="16" t="s">
        <v>289</v>
      </c>
      <c r="S665" s="16" t="s">
        <v>289</v>
      </c>
      <c r="T665" s="16" t="s">
        <v>289</v>
      </c>
      <c r="U665" s="16" t="s">
        <v>289</v>
      </c>
      <c r="V665" s="16" t="s">
        <v>289</v>
      </c>
      <c r="W665" s="16"/>
      <c r="X665" s="16"/>
      <c r="Y665" s="16"/>
      <c r="Z665" s="16"/>
      <c r="AA665" s="16"/>
      <c r="AB665" s="25"/>
      <c r="AC665" s="2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16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22"/>
      <c r="BL665" s="23"/>
      <c r="BM665" s="22"/>
      <c r="BN665" s="22"/>
      <c r="BO665" s="22"/>
      <c r="BP665" s="22"/>
      <c r="BQ665" s="22"/>
      <c r="BR665" s="24"/>
      <c r="BS665" s="5"/>
      <c r="BT665" s="5"/>
    </row>
    <row r="666" spans="1:72" s="33" customFormat="1">
      <c r="A666" s="5"/>
      <c r="B666" s="5" t="s">
        <v>196</v>
      </c>
      <c r="C666" s="5"/>
      <c r="D666" s="16" t="s">
        <v>289</v>
      </c>
      <c r="E666" s="16" t="s">
        <v>289</v>
      </c>
      <c r="F666" s="16" t="s">
        <v>289</v>
      </c>
      <c r="G666" s="16" t="s">
        <v>289</v>
      </c>
      <c r="H666" s="16" t="s">
        <v>289</v>
      </c>
      <c r="I666" s="16" t="s">
        <v>289</v>
      </c>
      <c r="J666" s="16" t="s">
        <v>289</v>
      </c>
      <c r="K666" s="16" t="s">
        <v>289</v>
      </c>
      <c r="L666" s="16" t="s">
        <v>289</v>
      </c>
      <c r="M666" s="16" t="s">
        <v>289</v>
      </c>
      <c r="N666" s="16" t="s">
        <v>289</v>
      </c>
      <c r="O666" s="16" t="s">
        <v>289</v>
      </c>
      <c r="P666" s="16" t="s">
        <v>289</v>
      </c>
      <c r="Q666" s="16" t="s">
        <v>289</v>
      </c>
      <c r="R666" s="16" t="s">
        <v>289</v>
      </c>
      <c r="S666" s="16" t="s">
        <v>289</v>
      </c>
      <c r="T666" s="16" t="s">
        <v>289</v>
      </c>
      <c r="U666" s="16" t="s">
        <v>289</v>
      </c>
      <c r="V666" s="16" t="s">
        <v>289</v>
      </c>
      <c r="W666" s="16"/>
      <c r="X666" s="16"/>
      <c r="Y666" s="16"/>
      <c r="Z666" s="16"/>
      <c r="AA666" s="16"/>
      <c r="AB666" s="25"/>
      <c r="AC666" s="2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16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22"/>
      <c r="BL666" s="23"/>
      <c r="BM666" s="22"/>
      <c r="BN666" s="22"/>
      <c r="BO666" s="22"/>
      <c r="BP666" s="22"/>
      <c r="BQ666" s="22"/>
      <c r="BR666" s="24"/>
      <c r="BS666" s="5"/>
      <c r="BT666" s="5"/>
    </row>
    <row r="667" spans="1:72" s="33" customFormat="1">
      <c r="A667" s="5"/>
      <c r="B667" s="5"/>
      <c r="C667" s="5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20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22"/>
      <c r="BL667" s="23"/>
      <c r="BM667" s="22"/>
      <c r="BN667" s="22"/>
      <c r="BO667" s="22"/>
      <c r="BP667" s="22"/>
      <c r="BQ667" s="22"/>
      <c r="BR667" s="24"/>
      <c r="BS667" s="5"/>
      <c r="BT667" s="5"/>
    </row>
    <row r="668" spans="1:72" s="33" customFormat="1">
      <c r="A668" s="5"/>
      <c r="B668" s="5"/>
      <c r="C668" s="5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20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22"/>
      <c r="BL668" s="23"/>
      <c r="BM668" s="22"/>
      <c r="BN668" s="22"/>
      <c r="BO668" s="22"/>
      <c r="BP668" s="22"/>
      <c r="BQ668" s="22"/>
      <c r="BR668" s="24"/>
      <c r="BS668" s="5"/>
      <c r="BT668" s="5"/>
    </row>
    <row r="669" spans="1:72" s="33" customFormat="1">
      <c r="A669" s="5"/>
      <c r="B669" s="5" t="s">
        <v>197</v>
      </c>
      <c r="C669" s="5"/>
      <c r="D669" s="16" t="s">
        <v>289</v>
      </c>
      <c r="E669" s="16" t="s">
        <v>289</v>
      </c>
      <c r="F669" s="16" t="s">
        <v>289</v>
      </c>
      <c r="G669" s="16" t="s">
        <v>289</v>
      </c>
      <c r="H669" s="16" t="s">
        <v>289</v>
      </c>
      <c r="I669" s="16" t="s">
        <v>289</v>
      </c>
      <c r="J669" s="16" t="s">
        <v>289</v>
      </c>
      <c r="K669" s="16" t="s">
        <v>289</v>
      </c>
      <c r="L669" s="16" t="s">
        <v>289</v>
      </c>
      <c r="M669" s="16" t="s">
        <v>289</v>
      </c>
      <c r="N669" s="16" t="s">
        <v>289</v>
      </c>
      <c r="O669" s="16" t="s">
        <v>289</v>
      </c>
      <c r="P669" s="16" t="s">
        <v>289</v>
      </c>
      <c r="Q669" s="16" t="s">
        <v>289</v>
      </c>
      <c r="R669" s="16" t="s">
        <v>289</v>
      </c>
      <c r="S669" s="16" t="s">
        <v>289</v>
      </c>
      <c r="T669" s="16" t="s">
        <v>289</v>
      </c>
      <c r="U669" s="16" t="s">
        <v>289</v>
      </c>
      <c r="V669" s="16" t="s">
        <v>289</v>
      </c>
      <c r="W669" s="16"/>
      <c r="X669" s="16"/>
      <c r="Y669" s="16"/>
      <c r="Z669" s="16"/>
      <c r="AA669" s="16"/>
      <c r="AB669" s="25"/>
      <c r="AC669" s="2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16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22"/>
      <c r="BL669" s="23"/>
      <c r="BM669" s="22"/>
      <c r="BN669" s="22"/>
      <c r="BO669" s="22"/>
      <c r="BP669" s="22"/>
      <c r="BQ669" s="22"/>
      <c r="BR669" s="24"/>
      <c r="BS669" s="5"/>
      <c r="BT669" s="5"/>
    </row>
    <row r="670" spans="1:72" s="33" customFormat="1">
      <c r="A670" s="5"/>
      <c r="B670" s="5" t="s">
        <v>198</v>
      </c>
      <c r="C670" s="5"/>
      <c r="D670" s="16" t="s">
        <v>289</v>
      </c>
      <c r="E670" s="16" t="s">
        <v>289</v>
      </c>
      <c r="F670" s="16" t="s">
        <v>289</v>
      </c>
      <c r="G670" s="16" t="s">
        <v>289</v>
      </c>
      <c r="H670" s="16" t="s">
        <v>289</v>
      </c>
      <c r="I670" s="16" t="s">
        <v>289</v>
      </c>
      <c r="J670" s="16" t="s">
        <v>289</v>
      </c>
      <c r="K670" s="16" t="s">
        <v>289</v>
      </c>
      <c r="L670" s="16" t="s">
        <v>289</v>
      </c>
      <c r="M670" s="16" t="s">
        <v>289</v>
      </c>
      <c r="N670" s="16" t="s">
        <v>289</v>
      </c>
      <c r="O670" s="16" t="s">
        <v>289</v>
      </c>
      <c r="P670" s="16" t="s">
        <v>289</v>
      </c>
      <c r="Q670" s="16" t="s">
        <v>289</v>
      </c>
      <c r="R670" s="16" t="s">
        <v>289</v>
      </c>
      <c r="S670" s="16" t="s">
        <v>289</v>
      </c>
      <c r="T670" s="16" t="s">
        <v>289</v>
      </c>
      <c r="U670" s="16" t="s">
        <v>289</v>
      </c>
      <c r="V670" s="16" t="s">
        <v>289</v>
      </c>
      <c r="W670" s="16"/>
      <c r="X670" s="16"/>
      <c r="Y670" s="16"/>
      <c r="Z670" s="16"/>
      <c r="AA670" s="16"/>
      <c r="AB670" s="25"/>
      <c r="AC670" s="2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16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22"/>
      <c r="BL670" s="23"/>
      <c r="BM670" s="22"/>
      <c r="BN670" s="22"/>
      <c r="BO670" s="22"/>
      <c r="BP670" s="22"/>
      <c r="BQ670" s="22"/>
      <c r="BR670" s="24"/>
      <c r="BS670" s="5"/>
      <c r="BT670" s="5"/>
    </row>
    <row r="671" spans="1:72" s="33" customFormat="1">
      <c r="A671" s="5"/>
      <c r="B671" s="5" t="s">
        <v>1777</v>
      </c>
      <c r="C671" s="5"/>
      <c r="D671" s="20" t="s">
        <v>289</v>
      </c>
      <c r="E671" s="20" t="s">
        <v>289</v>
      </c>
      <c r="F671" s="20" t="s">
        <v>289</v>
      </c>
      <c r="G671" s="20" t="s">
        <v>289</v>
      </c>
      <c r="H671" s="20" t="s">
        <v>289</v>
      </c>
      <c r="I671" s="20" t="s">
        <v>289</v>
      </c>
      <c r="J671" s="20" t="s">
        <v>289</v>
      </c>
      <c r="K671" s="20" t="s">
        <v>289</v>
      </c>
      <c r="L671" s="20" t="s">
        <v>289</v>
      </c>
      <c r="M671" s="20">
        <v>65.478999999999999</v>
      </c>
      <c r="N671" s="20">
        <v>76.813999999999993</v>
      </c>
      <c r="O671" s="20">
        <v>78.373000000000005</v>
      </c>
      <c r="P671" s="20">
        <v>91.024000000000001</v>
      </c>
      <c r="Q671" s="20">
        <v>84.159000000000006</v>
      </c>
      <c r="R671" s="20">
        <v>86.575000000000003</v>
      </c>
      <c r="S671" s="20">
        <v>88.116</v>
      </c>
      <c r="T671" s="20">
        <v>59.984999999999999</v>
      </c>
      <c r="U671" s="20">
        <v>101.2</v>
      </c>
      <c r="V671" s="20" t="s">
        <v>289</v>
      </c>
      <c r="W671" s="20"/>
      <c r="X671" s="20"/>
      <c r="Y671" s="20"/>
      <c r="Z671" s="20"/>
      <c r="AA671" s="20"/>
      <c r="AB671" s="20"/>
      <c r="AC671" s="20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20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22"/>
      <c r="BL671" s="23"/>
      <c r="BM671" s="22"/>
      <c r="BN671" s="22"/>
      <c r="BO671" s="22"/>
      <c r="BP671" s="22"/>
      <c r="BQ671" s="22"/>
      <c r="BR671" s="24"/>
      <c r="BS671" s="5"/>
      <c r="BT671" s="5"/>
    </row>
    <row r="672" spans="1:72" s="33" customFormat="1">
      <c r="A672" s="5"/>
      <c r="B672" s="5"/>
      <c r="C672" s="5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20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22"/>
      <c r="BL672" s="23"/>
      <c r="BM672" s="22"/>
      <c r="BN672" s="22"/>
      <c r="BO672" s="22"/>
      <c r="BP672" s="22"/>
      <c r="BQ672" s="22"/>
      <c r="BR672" s="24"/>
      <c r="BS672" s="5"/>
      <c r="BT672" s="5"/>
    </row>
    <row r="673" spans="1:72" s="33" customFormat="1">
      <c r="A673" s="5"/>
      <c r="B673" s="5" t="s">
        <v>170</v>
      </c>
      <c r="C673" s="5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25"/>
      <c r="AC673" s="2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16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22"/>
      <c r="BL673" s="23"/>
      <c r="BM673" s="22"/>
      <c r="BN673" s="22"/>
      <c r="BO673" s="22"/>
      <c r="BP673" s="22"/>
      <c r="BQ673" s="22"/>
      <c r="BR673" s="24"/>
      <c r="BS673" s="5"/>
      <c r="BT673" s="5"/>
    </row>
    <row r="674" spans="1:72" s="33" customFormat="1">
      <c r="A674" s="5"/>
      <c r="B674" s="5" t="s">
        <v>199</v>
      </c>
      <c r="C674" s="5"/>
      <c r="D674" s="16" t="s">
        <v>289</v>
      </c>
      <c r="E674" s="16" t="s">
        <v>289</v>
      </c>
      <c r="F674" s="16" t="s">
        <v>289</v>
      </c>
      <c r="G674" s="16" t="s">
        <v>289</v>
      </c>
      <c r="H674" s="16" t="s">
        <v>289</v>
      </c>
      <c r="I674" s="16" t="s">
        <v>289</v>
      </c>
      <c r="J674" s="16" t="s">
        <v>289</v>
      </c>
      <c r="K674" s="16" t="s">
        <v>289</v>
      </c>
      <c r="L674" s="16">
        <v>237.54</v>
      </c>
      <c r="M674" s="16">
        <v>270.25</v>
      </c>
      <c r="N674" s="16">
        <v>288.98200000000003</v>
      </c>
      <c r="O674" s="16">
        <v>274.75700000000001</v>
      </c>
      <c r="P674" s="16">
        <v>247.71700000000001</v>
      </c>
      <c r="Q674" s="16">
        <v>260.60599999999999</v>
      </c>
      <c r="R674" s="16">
        <v>288.74799999999999</v>
      </c>
      <c r="S674" s="16">
        <v>351.94600000000003</v>
      </c>
      <c r="T674" s="16">
        <v>426.637</v>
      </c>
      <c r="U674" s="16">
        <v>455.98899999999998</v>
      </c>
      <c r="V674" s="16" t="s">
        <v>289</v>
      </c>
      <c r="W674" s="16"/>
      <c r="X674" s="16"/>
      <c r="Y674" s="16"/>
      <c r="Z674" s="16"/>
      <c r="AA674" s="16"/>
      <c r="AB674" s="25"/>
      <c r="AC674" s="2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16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22"/>
      <c r="BL674" s="23"/>
      <c r="BM674" s="22"/>
      <c r="BN674" s="22"/>
      <c r="BO674" s="22"/>
      <c r="BP674" s="22"/>
      <c r="BQ674" s="22"/>
      <c r="BR674" s="24"/>
      <c r="BS674" s="5"/>
      <c r="BT674" s="5"/>
    </row>
    <row r="675" spans="1:72" s="33" customFormat="1">
      <c r="A675" s="5"/>
      <c r="B675" s="5" t="s">
        <v>200</v>
      </c>
      <c r="C675" s="5"/>
      <c r="D675" s="16" t="s">
        <v>289</v>
      </c>
      <c r="E675" s="16" t="s">
        <v>289</v>
      </c>
      <c r="F675" s="16" t="s">
        <v>289</v>
      </c>
      <c r="G675" s="16" t="s">
        <v>289</v>
      </c>
      <c r="H675" s="16" t="s">
        <v>289</v>
      </c>
      <c r="I675" s="16" t="s">
        <v>289</v>
      </c>
      <c r="J675" s="16" t="s">
        <v>289</v>
      </c>
      <c r="K675" s="16" t="s">
        <v>289</v>
      </c>
      <c r="L675" s="16" t="s">
        <v>289</v>
      </c>
      <c r="M675" s="16" t="s">
        <v>289</v>
      </c>
      <c r="N675" s="16" t="s">
        <v>289</v>
      </c>
      <c r="O675" s="16" t="s">
        <v>289</v>
      </c>
      <c r="P675" s="16" t="s">
        <v>289</v>
      </c>
      <c r="Q675" s="16" t="s">
        <v>289</v>
      </c>
      <c r="R675" s="16" t="s">
        <v>289</v>
      </c>
      <c r="S675" s="16" t="s">
        <v>289</v>
      </c>
      <c r="T675" s="16" t="s">
        <v>289</v>
      </c>
      <c r="U675" s="16" t="s">
        <v>289</v>
      </c>
      <c r="V675" s="16" t="s">
        <v>289</v>
      </c>
      <c r="W675" s="16"/>
      <c r="X675" s="16"/>
      <c r="Y675" s="16"/>
      <c r="Z675" s="16"/>
      <c r="AA675" s="16"/>
      <c r="AB675" s="25"/>
      <c r="AC675" s="2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16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22"/>
      <c r="BL675" s="23"/>
      <c r="BM675" s="22"/>
      <c r="BN675" s="22"/>
      <c r="BO675" s="22"/>
      <c r="BP675" s="22"/>
      <c r="BQ675" s="22"/>
      <c r="BR675" s="24"/>
      <c r="BS675" s="5"/>
      <c r="BT675" s="5"/>
    </row>
    <row r="676" spans="1:72" s="33" customFormat="1">
      <c r="A676" s="5"/>
      <c r="B676" s="5" t="s">
        <v>175</v>
      </c>
      <c r="C676" s="5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25"/>
      <c r="AC676" s="2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16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22"/>
      <c r="BL676" s="23"/>
      <c r="BM676" s="22"/>
      <c r="BN676" s="22"/>
      <c r="BO676" s="22"/>
      <c r="BP676" s="22"/>
      <c r="BQ676" s="22"/>
      <c r="BR676" s="24"/>
      <c r="BS676" s="5"/>
      <c r="BT676" s="5"/>
    </row>
    <row r="677" spans="1:72" s="33" customFormat="1">
      <c r="A677" s="5"/>
      <c r="B677" s="5" t="s">
        <v>201</v>
      </c>
      <c r="C677" s="5"/>
      <c r="D677" s="16" t="s">
        <v>289</v>
      </c>
      <c r="E677" s="16" t="s">
        <v>289</v>
      </c>
      <c r="F677" s="16" t="s">
        <v>289</v>
      </c>
      <c r="G677" s="16" t="s">
        <v>289</v>
      </c>
      <c r="H677" s="16" t="s">
        <v>289</v>
      </c>
      <c r="I677" s="16" t="s">
        <v>289</v>
      </c>
      <c r="J677" s="16" t="s">
        <v>289</v>
      </c>
      <c r="K677" s="16" t="s">
        <v>289</v>
      </c>
      <c r="L677" s="16" t="s">
        <v>289</v>
      </c>
      <c r="M677" s="16" t="s">
        <v>289</v>
      </c>
      <c r="N677" s="16" t="s">
        <v>289</v>
      </c>
      <c r="O677" s="16" t="s">
        <v>289</v>
      </c>
      <c r="P677" s="16" t="s">
        <v>289</v>
      </c>
      <c r="Q677" s="16" t="s">
        <v>289</v>
      </c>
      <c r="R677" s="16" t="s">
        <v>289</v>
      </c>
      <c r="S677" s="16" t="s">
        <v>289</v>
      </c>
      <c r="T677" s="16" t="s">
        <v>289</v>
      </c>
      <c r="U677" s="16" t="s">
        <v>289</v>
      </c>
      <c r="V677" s="16" t="s">
        <v>289</v>
      </c>
      <c r="W677" s="16"/>
      <c r="X677" s="16"/>
      <c r="Y677" s="16"/>
      <c r="Z677" s="16"/>
      <c r="AA677" s="16"/>
      <c r="AB677" s="25"/>
      <c r="AC677" s="2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16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22"/>
      <c r="BL677" s="23"/>
      <c r="BM677" s="22"/>
      <c r="BN677" s="22"/>
      <c r="BO677" s="22"/>
      <c r="BP677" s="22"/>
      <c r="BQ677" s="22"/>
      <c r="BR677" s="24"/>
      <c r="BS677" s="5"/>
    </row>
    <row r="678" spans="1:72" s="33" customFormat="1">
      <c r="A678" s="5"/>
      <c r="B678" s="5" t="s">
        <v>202</v>
      </c>
      <c r="C678" s="5"/>
      <c r="D678" s="16" t="s">
        <v>289</v>
      </c>
      <c r="E678" s="16" t="s">
        <v>289</v>
      </c>
      <c r="F678" s="16" t="s">
        <v>289</v>
      </c>
      <c r="G678" s="16" t="s">
        <v>289</v>
      </c>
      <c r="H678" s="16" t="s">
        <v>289</v>
      </c>
      <c r="I678" s="16" t="s">
        <v>289</v>
      </c>
      <c r="J678" s="16" t="s">
        <v>289</v>
      </c>
      <c r="K678" s="16" t="s">
        <v>289</v>
      </c>
      <c r="L678" s="16" t="s">
        <v>289</v>
      </c>
      <c r="M678" s="16" t="s">
        <v>289</v>
      </c>
      <c r="N678" s="16" t="s">
        <v>289</v>
      </c>
      <c r="O678" s="16" t="s">
        <v>289</v>
      </c>
      <c r="P678" s="16" t="s">
        <v>289</v>
      </c>
      <c r="Q678" s="16" t="s">
        <v>289</v>
      </c>
      <c r="R678" s="16" t="s">
        <v>289</v>
      </c>
      <c r="S678" s="16" t="s">
        <v>289</v>
      </c>
      <c r="T678" s="16" t="s">
        <v>289</v>
      </c>
      <c r="U678" s="16" t="s">
        <v>289</v>
      </c>
      <c r="V678" s="16" t="s">
        <v>289</v>
      </c>
      <c r="W678" s="16"/>
      <c r="X678" s="16"/>
      <c r="Y678" s="16"/>
      <c r="Z678" s="16"/>
      <c r="AA678" s="16"/>
      <c r="AB678" s="25"/>
      <c r="AC678" s="2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16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22"/>
      <c r="BL678" s="23"/>
      <c r="BM678" s="22"/>
      <c r="BN678" s="22"/>
      <c r="BO678" s="22"/>
      <c r="BP678" s="22"/>
      <c r="BQ678" s="22"/>
      <c r="BR678" s="24"/>
      <c r="BS678" s="5"/>
    </row>
    <row r="679" spans="1:72"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Z679" s="5"/>
      <c r="BK679" s="22"/>
      <c r="BL679" s="23"/>
      <c r="BM679" s="22"/>
      <c r="BN679" s="22"/>
      <c r="BO679" s="22"/>
      <c r="BP679" s="22"/>
      <c r="BQ679" s="22"/>
      <c r="BR679" s="24"/>
    </row>
    <row r="680" spans="1:72">
      <c r="B680" s="5" t="s">
        <v>1762</v>
      </c>
      <c r="C680" s="43" t="s">
        <v>361</v>
      </c>
      <c r="D680" s="16" t="s">
        <v>289</v>
      </c>
      <c r="E680" s="16" t="s">
        <v>289</v>
      </c>
      <c r="F680" s="16" t="s">
        <v>289</v>
      </c>
      <c r="G680" s="16" t="s">
        <v>289</v>
      </c>
      <c r="H680" s="16" t="s">
        <v>289</v>
      </c>
      <c r="I680" s="16" t="s">
        <v>289</v>
      </c>
      <c r="J680" s="16" t="s">
        <v>289</v>
      </c>
      <c r="K680" s="16" t="s">
        <v>289</v>
      </c>
      <c r="L680" s="16" t="s">
        <v>289</v>
      </c>
      <c r="M680" s="16" t="s">
        <v>289</v>
      </c>
      <c r="N680" s="16" t="s">
        <v>289</v>
      </c>
      <c r="O680" s="16" t="s">
        <v>289</v>
      </c>
      <c r="P680" s="16" t="s">
        <v>289</v>
      </c>
      <c r="Q680" s="20" t="s">
        <v>289</v>
      </c>
      <c r="R680" s="20" t="s">
        <v>289</v>
      </c>
      <c r="S680" s="20" t="s">
        <v>289</v>
      </c>
      <c r="T680" s="20" t="s">
        <v>289</v>
      </c>
      <c r="U680" s="20" t="s">
        <v>289</v>
      </c>
      <c r="V680" s="20" t="s">
        <v>289</v>
      </c>
      <c r="AD680" s="24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Z680" s="5"/>
    </row>
    <row r="681" spans="1:72"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Z681" s="5"/>
      <c r="BK681" s="22"/>
      <c r="BL681" s="23"/>
      <c r="BM681" s="22"/>
      <c r="BN681" s="22"/>
      <c r="BO681" s="22"/>
      <c r="BP681" s="22"/>
      <c r="BQ681" s="22"/>
      <c r="BR681" s="24"/>
    </row>
    <row r="682" spans="1:72">
      <c r="D682" s="5"/>
      <c r="E682" s="5"/>
      <c r="F682" s="5"/>
      <c r="G682" s="5"/>
      <c r="H682" s="5"/>
      <c r="I682" s="5"/>
      <c r="J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Z682" s="5"/>
      <c r="BK682" s="22"/>
      <c r="BL682" s="23"/>
      <c r="BM682" s="22"/>
      <c r="BN682" s="22"/>
      <c r="BO682" s="22"/>
      <c r="BP682" s="22"/>
      <c r="BQ682" s="22"/>
      <c r="BR682" s="24"/>
    </row>
    <row r="683" spans="1:72">
      <c r="D683" s="5"/>
      <c r="E683" s="5"/>
      <c r="F683" s="5"/>
      <c r="G683" s="5"/>
      <c r="H683" s="5"/>
      <c r="I683" s="5"/>
      <c r="J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Z683" s="5"/>
      <c r="BK683" s="22"/>
      <c r="BL683" s="23"/>
      <c r="BM683" s="22"/>
      <c r="BN683" s="22"/>
      <c r="BO683" s="22"/>
      <c r="BP683" s="22"/>
      <c r="BQ683" s="22"/>
      <c r="BR683" s="24"/>
    </row>
    <row r="684" spans="1:72">
      <c r="D684" s="5"/>
      <c r="E684" s="5"/>
      <c r="F684" s="5"/>
      <c r="G684" s="5"/>
      <c r="H684" s="5"/>
      <c r="I684" s="5"/>
      <c r="J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Z684" s="5"/>
      <c r="BK684" s="22"/>
      <c r="BL684" s="23"/>
      <c r="BM684" s="22"/>
      <c r="BN684" s="22"/>
      <c r="BO684" s="22"/>
      <c r="BP684" s="22"/>
      <c r="BQ684" s="22"/>
      <c r="BR684" s="24"/>
    </row>
    <row r="685" spans="1:72">
      <c r="D685" s="5"/>
      <c r="E685" s="5"/>
      <c r="F685" s="5"/>
      <c r="G685" s="5"/>
      <c r="H685" s="5"/>
      <c r="I685" s="5"/>
      <c r="J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Z685" s="5"/>
      <c r="BK685" s="22"/>
      <c r="BL685" s="23"/>
      <c r="BM685" s="22"/>
      <c r="BN685" s="22"/>
      <c r="BO685" s="22"/>
      <c r="BP685" s="22"/>
      <c r="BQ685" s="22"/>
      <c r="BR685" s="24"/>
    </row>
    <row r="686" spans="1:72">
      <c r="D686" s="5"/>
      <c r="E686" s="5"/>
      <c r="F686" s="5"/>
      <c r="G686" s="5"/>
      <c r="H686" s="5"/>
      <c r="I686" s="5"/>
      <c r="J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Z686" s="5"/>
      <c r="BK686" s="22"/>
      <c r="BL686" s="23"/>
      <c r="BM686" s="22"/>
      <c r="BN686" s="22"/>
      <c r="BO686" s="22"/>
      <c r="BP686" s="22"/>
      <c r="BQ686" s="22"/>
      <c r="BR686" s="24"/>
    </row>
    <row r="687" spans="1:72">
      <c r="D687" s="5"/>
      <c r="E687" s="5"/>
      <c r="F687" s="5"/>
      <c r="G687" s="5"/>
      <c r="H687" s="5"/>
      <c r="I687" s="5"/>
      <c r="J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Z687" s="5"/>
      <c r="BK687" s="22"/>
      <c r="BL687" s="23"/>
      <c r="BM687" s="22"/>
      <c r="BN687" s="22"/>
      <c r="BO687" s="22"/>
      <c r="BP687" s="22"/>
      <c r="BQ687" s="22"/>
      <c r="BR687" s="24"/>
    </row>
    <row r="688" spans="1:72">
      <c r="D688" s="5"/>
      <c r="E688" s="5"/>
      <c r="F688" s="5"/>
      <c r="G688" s="5"/>
      <c r="H688" s="5"/>
      <c r="I688" s="5"/>
      <c r="J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Z688" s="5"/>
      <c r="BK688" s="22"/>
      <c r="BL688" s="23"/>
      <c r="BM688" s="22"/>
      <c r="BN688" s="22"/>
      <c r="BO688" s="22"/>
      <c r="BP688" s="22"/>
      <c r="BQ688" s="22"/>
      <c r="BR688" s="24"/>
    </row>
    <row r="689" spans="4:70">
      <c r="D689" s="5"/>
      <c r="E689" s="5"/>
      <c r="F689" s="5"/>
      <c r="G689" s="5"/>
      <c r="H689" s="5"/>
      <c r="I689" s="5"/>
      <c r="J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Z689" s="5"/>
      <c r="BK689" s="22"/>
      <c r="BL689" s="23"/>
      <c r="BM689" s="22"/>
      <c r="BN689" s="22"/>
      <c r="BO689" s="22"/>
      <c r="BP689" s="22"/>
      <c r="BQ689" s="22"/>
      <c r="BR689" s="24"/>
    </row>
    <row r="690" spans="4:70">
      <c r="D690" s="5"/>
      <c r="E690" s="5"/>
      <c r="F690" s="5"/>
      <c r="G690" s="5"/>
      <c r="H690" s="5"/>
      <c r="I690" s="5"/>
      <c r="J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Z690" s="5"/>
      <c r="BK690" s="22"/>
      <c r="BL690" s="23"/>
      <c r="BM690" s="22"/>
      <c r="BN690" s="22"/>
      <c r="BO690" s="22"/>
      <c r="BP690" s="22"/>
      <c r="BQ690" s="22"/>
      <c r="BR690" s="24"/>
    </row>
    <row r="691" spans="4:70">
      <c r="D691" s="5"/>
      <c r="E691" s="5"/>
      <c r="F691" s="5"/>
      <c r="G691" s="5"/>
      <c r="H691" s="5"/>
      <c r="I691" s="5"/>
      <c r="J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Z691" s="5"/>
      <c r="BK691" s="22"/>
      <c r="BL691" s="23"/>
      <c r="BM691" s="22"/>
      <c r="BN691" s="22"/>
      <c r="BO691" s="22"/>
      <c r="BP691" s="22"/>
      <c r="BQ691" s="22"/>
      <c r="BR691" s="24"/>
    </row>
    <row r="692" spans="4:70">
      <c r="D692" s="5"/>
      <c r="E692" s="5"/>
      <c r="F692" s="5"/>
      <c r="G692" s="5"/>
      <c r="H692" s="5"/>
      <c r="I692" s="5"/>
      <c r="J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Z692" s="5"/>
      <c r="BK692" s="22"/>
      <c r="BL692" s="23"/>
      <c r="BM692" s="22"/>
      <c r="BN692" s="22"/>
      <c r="BO692" s="22"/>
      <c r="BP692" s="22"/>
      <c r="BQ692" s="22"/>
      <c r="BR692" s="24"/>
    </row>
    <row r="693" spans="4:70">
      <c r="D693" s="5"/>
      <c r="E693" s="5"/>
      <c r="F693" s="5"/>
      <c r="G693" s="5"/>
      <c r="H693" s="5"/>
      <c r="I693" s="5"/>
      <c r="J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Z693" s="5"/>
      <c r="BK693" s="22"/>
      <c r="BL693" s="23"/>
      <c r="BM693" s="22"/>
      <c r="BN693" s="22"/>
      <c r="BO693" s="22"/>
      <c r="BP693" s="22"/>
      <c r="BQ693" s="22"/>
      <c r="BR693" s="24"/>
    </row>
    <row r="694" spans="4:70">
      <c r="D694" s="5"/>
      <c r="E694" s="5"/>
      <c r="F694" s="5"/>
      <c r="G694" s="5"/>
      <c r="H694" s="5"/>
      <c r="I694" s="5"/>
      <c r="J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Z694" s="5"/>
      <c r="BK694" s="22"/>
      <c r="BL694" s="23"/>
      <c r="BM694" s="22"/>
      <c r="BN694" s="22"/>
      <c r="BO694" s="22"/>
      <c r="BP694" s="22"/>
      <c r="BQ694" s="22"/>
      <c r="BR694" s="24"/>
    </row>
    <row r="695" spans="4:70">
      <c r="D695" s="5"/>
      <c r="E695" s="5"/>
      <c r="F695" s="5"/>
      <c r="G695" s="5"/>
      <c r="H695" s="5"/>
      <c r="I695" s="5"/>
      <c r="J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Z695" s="5"/>
      <c r="BK695" s="22"/>
      <c r="BL695" s="23"/>
      <c r="BM695" s="22"/>
      <c r="BN695" s="22"/>
      <c r="BO695" s="22"/>
      <c r="BP695" s="22"/>
      <c r="BQ695" s="22"/>
      <c r="BR695" s="24"/>
    </row>
    <row r="696" spans="4:70">
      <c r="D696" s="5"/>
      <c r="E696" s="5"/>
      <c r="F696" s="5"/>
      <c r="G696" s="5"/>
      <c r="H696" s="5"/>
      <c r="I696" s="5"/>
      <c r="J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Z696" s="5"/>
      <c r="BK696" s="22"/>
      <c r="BL696" s="23"/>
      <c r="BM696" s="22"/>
      <c r="BN696" s="22"/>
      <c r="BO696" s="22"/>
      <c r="BP696" s="22"/>
      <c r="BQ696" s="22"/>
      <c r="BR696" s="24"/>
    </row>
    <row r="697" spans="4:70">
      <c r="D697" s="5"/>
      <c r="E697" s="5"/>
      <c r="F697" s="5"/>
      <c r="G697" s="5"/>
      <c r="H697" s="5"/>
      <c r="I697" s="5"/>
      <c r="J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Z697" s="5"/>
      <c r="BK697" s="22"/>
      <c r="BL697" s="23"/>
      <c r="BM697" s="22"/>
      <c r="BN697" s="22"/>
      <c r="BO697" s="22"/>
      <c r="BP697" s="22"/>
      <c r="BQ697" s="22"/>
      <c r="BR697" s="24"/>
    </row>
    <row r="698" spans="4:70">
      <c r="D698" s="5"/>
      <c r="E698" s="5"/>
      <c r="F698" s="5"/>
      <c r="G698" s="5"/>
      <c r="H698" s="5"/>
      <c r="I698" s="5"/>
      <c r="J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Z698" s="5"/>
      <c r="BK698" s="22"/>
      <c r="BL698" s="23"/>
      <c r="BM698" s="22"/>
      <c r="BN698" s="22"/>
      <c r="BO698" s="22"/>
      <c r="BP698" s="22"/>
      <c r="BQ698" s="22"/>
      <c r="BR698" s="24"/>
    </row>
    <row r="699" spans="4:70">
      <c r="D699" s="5"/>
      <c r="E699" s="5"/>
      <c r="F699" s="5"/>
      <c r="G699" s="5"/>
      <c r="H699" s="5"/>
      <c r="I699" s="5"/>
      <c r="J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Z699" s="5"/>
      <c r="BK699" s="22"/>
      <c r="BL699" s="23"/>
      <c r="BM699" s="22"/>
      <c r="BN699" s="22"/>
      <c r="BO699" s="22"/>
      <c r="BP699" s="22"/>
      <c r="BQ699" s="22"/>
      <c r="BR699" s="24"/>
    </row>
    <row r="700" spans="4:70">
      <c r="D700" s="5"/>
      <c r="E700" s="5"/>
      <c r="F700" s="5"/>
      <c r="G700" s="5"/>
      <c r="H700" s="5"/>
      <c r="I700" s="5"/>
      <c r="J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Z700" s="5"/>
      <c r="BK700" s="22"/>
      <c r="BL700" s="23"/>
      <c r="BM700" s="22"/>
      <c r="BN700" s="22"/>
      <c r="BO700" s="22"/>
      <c r="BP700" s="22"/>
      <c r="BQ700" s="22"/>
      <c r="BR700" s="24"/>
    </row>
    <row r="701" spans="4:70">
      <c r="D701" s="5"/>
      <c r="E701" s="5"/>
      <c r="F701" s="5"/>
      <c r="G701" s="5"/>
      <c r="H701" s="5"/>
      <c r="I701" s="5"/>
      <c r="J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Z701" s="5"/>
      <c r="BK701" s="22"/>
      <c r="BL701" s="23"/>
      <c r="BM701" s="22"/>
      <c r="BN701" s="22"/>
      <c r="BO701" s="22"/>
      <c r="BP701" s="22"/>
      <c r="BQ701" s="22"/>
      <c r="BR701" s="24"/>
    </row>
    <row r="702" spans="4:70">
      <c r="D702" s="5"/>
      <c r="E702" s="5"/>
      <c r="F702" s="5"/>
      <c r="G702" s="5"/>
      <c r="H702" s="5"/>
      <c r="I702" s="5"/>
      <c r="J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Z702" s="5"/>
      <c r="BK702" s="22"/>
      <c r="BL702" s="23"/>
      <c r="BM702" s="22"/>
      <c r="BN702" s="22"/>
      <c r="BO702" s="22"/>
      <c r="BP702" s="22"/>
      <c r="BQ702" s="22"/>
      <c r="BR702" s="24"/>
    </row>
    <row r="703" spans="4:70">
      <c r="D703" s="5"/>
      <c r="E703" s="5"/>
      <c r="F703" s="5"/>
      <c r="G703" s="5"/>
      <c r="H703" s="5"/>
      <c r="I703" s="5"/>
      <c r="J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Z703" s="5"/>
      <c r="BK703" s="22"/>
      <c r="BL703" s="23"/>
      <c r="BM703" s="22"/>
      <c r="BN703" s="22"/>
      <c r="BO703" s="22"/>
      <c r="BP703" s="22"/>
      <c r="BQ703" s="22"/>
      <c r="BR703" s="24"/>
    </row>
    <row r="704" spans="4:70">
      <c r="D704" s="5"/>
      <c r="E704" s="5"/>
      <c r="F704" s="5"/>
      <c r="G704" s="5"/>
      <c r="H704" s="5"/>
      <c r="I704" s="5"/>
      <c r="J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Z704" s="5"/>
      <c r="BK704" s="22"/>
      <c r="BL704" s="23"/>
      <c r="BM704" s="22"/>
      <c r="BN704" s="22"/>
      <c r="BO704" s="22"/>
      <c r="BP704" s="22"/>
      <c r="BQ704" s="22"/>
      <c r="BR704" s="24"/>
    </row>
    <row r="705" spans="4:70">
      <c r="D705" s="5"/>
      <c r="E705" s="5"/>
      <c r="F705" s="5"/>
      <c r="G705" s="5"/>
      <c r="H705" s="5"/>
      <c r="I705" s="5"/>
      <c r="J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Z705" s="5"/>
      <c r="BK705" s="22"/>
      <c r="BL705" s="23"/>
      <c r="BM705" s="22"/>
      <c r="BN705" s="22"/>
      <c r="BO705" s="22"/>
      <c r="BP705" s="22"/>
      <c r="BQ705" s="22"/>
      <c r="BR705" s="24"/>
    </row>
    <row r="706" spans="4:70">
      <c r="D706" s="5"/>
      <c r="E706" s="5"/>
      <c r="F706" s="5"/>
      <c r="G706" s="5"/>
      <c r="H706" s="5"/>
      <c r="I706" s="5"/>
      <c r="J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Z706" s="5"/>
      <c r="BK706" s="22"/>
      <c r="BL706" s="23"/>
      <c r="BM706" s="22"/>
      <c r="BN706" s="22"/>
      <c r="BO706" s="22"/>
      <c r="BP706" s="22"/>
      <c r="BQ706" s="22"/>
      <c r="BR706" s="24"/>
    </row>
    <row r="707" spans="4:70">
      <c r="D707" s="5"/>
      <c r="E707" s="5"/>
      <c r="F707" s="5"/>
      <c r="G707" s="5"/>
      <c r="H707" s="5"/>
      <c r="I707" s="5"/>
      <c r="J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Z707" s="5"/>
      <c r="BK707" s="22"/>
      <c r="BL707" s="23"/>
      <c r="BM707" s="22"/>
      <c r="BN707" s="22"/>
      <c r="BO707" s="22"/>
      <c r="BP707" s="22"/>
      <c r="BQ707" s="22"/>
      <c r="BR707" s="24"/>
    </row>
    <row r="708" spans="4:70">
      <c r="D708" s="5"/>
      <c r="E708" s="5"/>
      <c r="F708" s="5"/>
      <c r="G708" s="5"/>
      <c r="H708" s="5"/>
      <c r="I708" s="5"/>
      <c r="J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Z708" s="5"/>
      <c r="BK708" s="22"/>
      <c r="BL708" s="23"/>
      <c r="BM708" s="22"/>
      <c r="BN708" s="22"/>
      <c r="BO708" s="22"/>
      <c r="BP708" s="22"/>
      <c r="BQ708" s="22"/>
      <c r="BR708" s="24"/>
    </row>
    <row r="709" spans="4:70">
      <c r="D709" s="5"/>
      <c r="E709" s="5"/>
      <c r="F709" s="5"/>
      <c r="G709" s="5"/>
      <c r="H709" s="5"/>
      <c r="I709" s="5"/>
      <c r="J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Z709" s="5"/>
      <c r="BK709" s="22"/>
      <c r="BL709" s="23"/>
      <c r="BM709" s="22"/>
      <c r="BN709" s="22"/>
      <c r="BO709" s="22"/>
      <c r="BP709" s="22"/>
      <c r="BQ709" s="22"/>
      <c r="BR709" s="24"/>
    </row>
    <row r="710" spans="4:70">
      <c r="D710" s="5"/>
      <c r="E710" s="5"/>
      <c r="F710" s="5"/>
      <c r="G710" s="5"/>
      <c r="H710" s="5"/>
      <c r="I710" s="5"/>
      <c r="J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Z710" s="5"/>
      <c r="BK710" s="22"/>
      <c r="BL710" s="23"/>
      <c r="BM710" s="22"/>
      <c r="BN710" s="22"/>
      <c r="BO710" s="22"/>
      <c r="BP710" s="22"/>
      <c r="BQ710" s="22"/>
      <c r="BR710" s="24"/>
    </row>
    <row r="711" spans="4:70">
      <c r="D711" s="5"/>
      <c r="E711" s="5"/>
      <c r="F711" s="5"/>
      <c r="G711" s="5"/>
      <c r="H711" s="5"/>
      <c r="I711" s="5"/>
      <c r="J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Z711" s="5"/>
      <c r="BK711" s="22"/>
      <c r="BL711" s="23"/>
      <c r="BM711" s="22"/>
      <c r="BN711" s="22"/>
      <c r="BO711" s="22"/>
      <c r="BP711" s="22"/>
      <c r="BQ711" s="22"/>
      <c r="BR711" s="24"/>
    </row>
    <row r="712" spans="4:70">
      <c r="D712" s="5"/>
      <c r="E712" s="5"/>
      <c r="F712" s="5"/>
      <c r="G712" s="5"/>
      <c r="H712" s="5"/>
      <c r="I712" s="5"/>
      <c r="J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Z712" s="5"/>
      <c r="BK712" s="22"/>
      <c r="BL712" s="23"/>
      <c r="BM712" s="22"/>
      <c r="BN712" s="22"/>
      <c r="BO712" s="22"/>
      <c r="BP712" s="22"/>
      <c r="BQ712" s="22"/>
      <c r="BR712" s="24"/>
    </row>
    <row r="713" spans="4:70">
      <c r="D713" s="5"/>
      <c r="E713" s="5"/>
      <c r="F713" s="5"/>
      <c r="G713" s="5"/>
      <c r="H713" s="5"/>
      <c r="I713" s="5"/>
      <c r="J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Z713" s="5"/>
      <c r="BK713" s="22"/>
      <c r="BL713" s="23"/>
      <c r="BM713" s="22"/>
      <c r="BN713" s="22"/>
      <c r="BO713" s="22"/>
      <c r="BP713" s="22"/>
      <c r="BQ713" s="22"/>
      <c r="BR713" s="24"/>
    </row>
    <row r="714" spans="4:70">
      <c r="D714" s="5"/>
      <c r="E714" s="5"/>
      <c r="F714" s="5"/>
      <c r="G714" s="5"/>
      <c r="H714" s="5"/>
      <c r="I714" s="5"/>
      <c r="J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Z714" s="5"/>
      <c r="BK714" s="22"/>
      <c r="BL714" s="23"/>
      <c r="BM714" s="22"/>
      <c r="BN714" s="22"/>
      <c r="BO714" s="22"/>
      <c r="BP714" s="22"/>
      <c r="BQ714" s="22"/>
      <c r="BR714" s="24"/>
    </row>
    <row r="715" spans="4:70">
      <c r="D715" s="5"/>
      <c r="E715" s="5"/>
      <c r="F715" s="5"/>
      <c r="G715" s="5"/>
      <c r="H715" s="5"/>
      <c r="I715" s="5"/>
      <c r="J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Z715" s="5"/>
      <c r="BK715" s="22"/>
      <c r="BL715" s="23"/>
      <c r="BM715" s="22"/>
      <c r="BN715" s="22"/>
      <c r="BO715" s="22"/>
      <c r="BP715" s="22"/>
      <c r="BQ715" s="22"/>
      <c r="BR715" s="24"/>
    </row>
    <row r="716" spans="4:70">
      <c r="D716" s="5"/>
      <c r="E716" s="5"/>
      <c r="F716" s="5"/>
      <c r="G716" s="5"/>
      <c r="H716" s="5"/>
      <c r="I716" s="5"/>
      <c r="J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Z716" s="5"/>
      <c r="BK716" s="22"/>
      <c r="BL716" s="23"/>
      <c r="BM716" s="22"/>
      <c r="BN716" s="22"/>
      <c r="BO716" s="22"/>
      <c r="BP716" s="22"/>
      <c r="BQ716" s="22"/>
      <c r="BR716" s="24"/>
    </row>
    <row r="717" spans="4:70">
      <c r="D717" s="5"/>
      <c r="E717" s="5"/>
      <c r="F717" s="5"/>
      <c r="G717" s="5"/>
      <c r="H717" s="5"/>
      <c r="I717" s="5"/>
      <c r="J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Z717" s="5"/>
      <c r="BK717" s="22"/>
      <c r="BL717" s="23"/>
      <c r="BM717" s="22"/>
      <c r="BN717" s="22"/>
      <c r="BO717" s="22"/>
      <c r="BP717" s="22"/>
      <c r="BQ717" s="22"/>
      <c r="BR717" s="24"/>
    </row>
    <row r="718" spans="4:70">
      <c r="D718" s="5"/>
      <c r="E718" s="5"/>
      <c r="F718" s="5"/>
      <c r="G718" s="5"/>
      <c r="H718" s="5"/>
      <c r="I718" s="5"/>
      <c r="J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Z718" s="5"/>
      <c r="BK718" s="22"/>
      <c r="BL718" s="23"/>
      <c r="BM718" s="22"/>
      <c r="BN718" s="22"/>
      <c r="BO718" s="22"/>
      <c r="BP718" s="22"/>
      <c r="BQ718" s="22"/>
      <c r="BR718" s="24"/>
    </row>
    <row r="719" spans="4:70">
      <c r="D719" s="5"/>
      <c r="E719" s="5"/>
      <c r="F719" s="5"/>
      <c r="G719" s="5"/>
      <c r="H719" s="5"/>
      <c r="I719" s="5"/>
      <c r="J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Z719" s="5"/>
      <c r="BK719" s="22"/>
      <c r="BL719" s="23"/>
      <c r="BM719" s="22"/>
      <c r="BN719" s="22"/>
      <c r="BO719" s="22"/>
      <c r="BP719" s="22"/>
      <c r="BQ719" s="22"/>
      <c r="BR719" s="24"/>
    </row>
    <row r="720" spans="4:70">
      <c r="D720" s="5"/>
      <c r="E720" s="5"/>
      <c r="F720" s="5"/>
      <c r="G720" s="5"/>
      <c r="H720" s="5"/>
      <c r="I720" s="5"/>
      <c r="J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Z720" s="5"/>
      <c r="BK720" s="22"/>
      <c r="BL720" s="23"/>
      <c r="BM720" s="22"/>
      <c r="BN720" s="22"/>
      <c r="BO720" s="22"/>
      <c r="BP720" s="22"/>
      <c r="BQ720" s="22"/>
      <c r="BR720" s="24"/>
    </row>
    <row r="721" spans="4:70">
      <c r="D721" s="5"/>
      <c r="E721" s="5"/>
      <c r="F721" s="5"/>
      <c r="G721" s="5"/>
      <c r="H721" s="5"/>
      <c r="I721" s="5"/>
      <c r="J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Z721" s="5"/>
      <c r="BK721" s="22"/>
      <c r="BL721" s="23"/>
      <c r="BM721" s="22"/>
      <c r="BN721" s="22"/>
      <c r="BO721" s="22"/>
      <c r="BP721" s="22"/>
      <c r="BQ721" s="22"/>
      <c r="BR721" s="24"/>
    </row>
    <row r="722" spans="4:70">
      <c r="D722" s="5"/>
      <c r="E722" s="5"/>
      <c r="F722" s="5"/>
      <c r="G722" s="5"/>
      <c r="H722" s="5"/>
      <c r="I722" s="5"/>
      <c r="J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Z722" s="5"/>
      <c r="BK722" s="22"/>
      <c r="BL722" s="23"/>
      <c r="BM722" s="22"/>
      <c r="BN722" s="22"/>
      <c r="BO722" s="22"/>
      <c r="BP722" s="22"/>
      <c r="BQ722" s="22"/>
      <c r="BR722" s="24"/>
    </row>
    <row r="723" spans="4:70">
      <c r="D723" s="5"/>
      <c r="E723" s="5"/>
      <c r="F723" s="5"/>
      <c r="G723" s="5"/>
      <c r="H723" s="5"/>
      <c r="I723" s="5"/>
      <c r="J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Z723" s="5"/>
      <c r="BK723" s="22"/>
      <c r="BL723" s="23"/>
      <c r="BM723" s="22"/>
      <c r="BN723" s="22"/>
      <c r="BO723" s="22"/>
      <c r="BP723" s="22"/>
      <c r="BQ723" s="22"/>
      <c r="BR723" s="24"/>
    </row>
    <row r="724" spans="4:70">
      <c r="D724" s="5"/>
      <c r="E724" s="5"/>
      <c r="F724" s="5"/>
      <c r="G724" s="5"/>
      <c r="H724" s="5"/>
      <c r="I724" s="5"/>
      <c r="J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Z724" s="5"/>
      <c r="BK724" s="22"/>
      <c r="BL724" s="23"/>
      <c r="BM724" s="22"/>
      <c r="BN724" s="22"/>
      <c r="BO724" s="22"/>
      <c r="BP724" s="22"/>
      <c r="BQ724" s="22"/>
      <c r="BR724" s="24"/>
    </row>
    <row r="725" spans="4:70">
      <c r="D725" s="5"/>
      <c r="E725" s="5"/>
      <c r="F725" s="5"/>
      <c r="G725" s="5"/>
      <c r="H725" s="5"/>
      <c r="I725" s="5"/>
      <c r="J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Z725" s="5"/>
      <c r="BK725" s="22"/>
      <c r="BL725" s="23"/>
      <c r="BM725" s="22"/>
      <c r="BN725" s="22"/>
      <c r="BO725" s="22"/>
      <c r="BP725" s="22"/>
      <c r="BQ725" s="22"/>
      <c r="BR725" s="24"/>
    </row>
    <row r="726" spans="4:70">
      <c r="D726" s="5"/>
      <c r="E726" s="5"/>
      <c r="F726" s="5"/>
      <c r="G726" s="5"/>
      <c r="H726" s="5"/>
      <c r="I726" s="5"/>
      <c r="J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Z726" s="5"/>
      <c r="BK726" s="22"/>
      <c r="BL726" s="23"/>
      <c r="BM726" s="22"/>
      <c r="BN726" s="22"/>
      <c r="BO726" s="22"/>
      <c r="BP726" s="22"/>
      <c r="BQ726" s="22"/>
      <c r="BR726" s="24"/>
    </row>
    <row r="727" spans="4:70">
      <c r="D727" s="5"/>
      <c r="E727" s="5"/>
      <c r="F727" s="5"/>
      <c r="G727" s="5"/>
      <c r="H727" s="5"/>
      <c r="I727" s="5"/>
      <c r="J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Z727" s="5"/>
      <c r="BK727" s="22"/>
      <c r="BL727" s="23"/>
      <c r="BM727" s="22"/>
      <c r="BN727" s="22"/>
      <c r="BO727" s="22"/>
      <c r="BP727" s="22"/>
      <c r="BQ727" s="22"/>
      <c r="BR727" s="24"/>
    </row>
    <row r="728" spans="4:70">
      <c r="D728" s="5"/>
      <c r="E728" s="5"/>
      <c r="F728" s="5"/>
      <c r="G728" s="5"/>
      <c r="H728" s="5"/>
      <c r="I728" s="5"/>
      <c r="J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Z728" s="5"/>
      <c r="BK728" s="22"/>
      <c r="BL728" s="23"/>
      <c r="BM728" s="22"/>
      <c r="BN728" s="22"/>
      <c r="BO728" s="22"/>
      <c r="BP728" s="22"/>
      <c r="BQ728" s="22"/>
      <c r="BR728" s="24"/>
    </row>
    <row r="729" spans="4:70">
      <c r="D729" s="5"/>
      <c r="E729" s="5"/>
      <c r="F729" s="5"/>
      <c r="G729" s="5"/>
      <c r="H729" s="5"/>
      <c r="I729" s="5"/>
      <c r="J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Z729" s="5"/>
      <c r="BK729" s="22"/>
      <c r="BL729" s="23"/>
      <c r="BM729" s="22"/>
      <c r="BN729" s="22"/>
      <c r="BO729" s="22"/>
      <c r="BP729" s="22"/>
      <c r="BQ729" s="22"/>
      <c r="BR729" s="24"/>
    </row>
    <row r="730" spans="4:70">
      <c r="D730" s="5"/>
      <c r="E730" s="5"/>
      <c r="F730" s="5"/>
      <c r="G730" s="5"/>
      <c r="H730" s="5"/>
      <c r="I730" s="5"/>
      <c r="J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Z730" s="5"/>
      <c r="BK730" s="22"/>
      <c r="BL730" s="23"/>
      <c r="BM730" s="22"/>
      <c r="BN730" s="22"/>
      <c r="BO730" s="22"/>
      <c r="BP730" s="22"/>
      <c r="BQ730" s="22"/>
      <c r="BR730" s="24"/>
    </row>
    <row r="731" spans="4:70">
      <c r="D731" s="5"/>
      <c r="E731" s="5"/>
      <c r="F731" s="5"/>
      <c r="G731" s="5"/>
      <c r="H731" s="5"/>
      <c r="I731" s="5"/>
      <c r="J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Z731" s="5"/>
      <c r="BK731" s="22"/>
      <c r="BL731" s="23"/>
      <c r="BM731" s="22"/>
      <c r="BN731" s="22"/>
      <c r="BO731" s="22"/>
      <c r="BP731" s="22"/>
      <c r="BQ731" s="22"/>
      <c r="BR731" s="24"/>
    </row>
    <row r="732" spans="4:70">
      <c r="D732" s="5"/>
      <c r="E732" s="5"/>
      <c r="F732" s="5"/>
      <c r="G732" s="5"/>
      <c r="H732" s="5"/>
      <c r="I732" s="5"/>
      <c r="J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Z732" s="5"/>
      <c r="BK732" s="22"/>
      <c r="BL732" s="23"/>
      <c r="BM732" s="22"/>
      <c r="BN732" s="22"/>
      <c r="BO732" s="22"/>
      <c r="BP732" s="22"/>
      <c r="BQ732" s="22"/>
      <c r="BR732" s="24"/>
    </row>
    <row r="733" spans="4:70">
      <c r="D733" s="5"/>
      <c r="E733" s="5"/>
      <c r="F733" s="5"/>
      <c r="G733" s="5"/>
      <c r="H733" s="5"/>
      <c r="I733" s="5"/>
      <c r="J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Z733" s="5"/>
      <c r="BK733" s="22"/>
      <c r="BL733" s="23"/>
      <c r="BM733" s="22"/>
      <c r="BN733" s="22"/>
      <c r="BO733" s="22"/>
      <c r="BP733" s="22"/>
      <c r="BQ733" s="22"/>
      <c r="BR733" s="24"/>
    </row>
    <row r="734" spans="4:70">
      <c r="D734" s="5"/>
      <c r="E734" s="5"/>
      <c r="F734" s="5"/>
      <c r="G734" s="5"/>
      <c r="H734" s="5"/>
      <c r="I734" s="5"/>
      <c r="J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Z734" s="5"/>
      <c r="BK734" s="22"/>
      <c r="BL734" s="23"/>
      <c r="BM734" s="22"/>
      <c r="BN734" s="22"/>
      <c r="BO734" s="22"/>
      <c r="BP734" s="22"/>
      <c r="BQ734" s="22"/>
      <c r="BR734" s="24"/>
    </row>
    <row r="735" spans="4:70">
      <c r="D735" s="5"/>
      <c r="E735" s="5"/>
      <c r="F735" s="5"/>
      <c r="G735" s="5"/>
      <c r="H735" s="5"/>
      <c r="I735" s="5"/>
      <c r="J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Z735" s="5"/>
      <c r="BK735" s="22"/>
      <c r="BL735" s="23"/>
      <c r="BM735" s="22"/>
      <c r="BN735" s="22"/>
      <c r="BO735" s="22"/>
      <c r="BP735" s="22"/>
      <c r="BQ735" s="22"/>
      <c r="BR735" s="24"/>
    </row>
    <row r="736" spans="4:70">
      <c r="D736" s="5"/>
      <c r="E736" s="5"/>
      <c r="F736" s="5"/>
      <c r="G736" s="5"/>
      <c r="H736" s="5"/>
      <c r="I736" s="5"/>
      <c r="J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Z736" s="5"/>
      <c r="BK736" s="22"/>
      <c r="BL736" s="23"/>
      <c r="BM736" s="22"/>
      <c r="BN736" s="22"/>
      <c r="BO736" s="22"/>
      <c r="BP736" s="22"/>
      <c r="BQ736" s="22"/>
      <c r="BR736" s="24"/>
    </row>
    <row r="737" spans="4:70">
      <c r="D737" s="5"/>
      <c r="E737" s="5"/>
      <c r="F737" s="5"/>
      <c r="G737" s="5"/>
      <c r="H737" s="5"/>
      <c r="I737" s="5"/>
      <c r="J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Z737" s="5"/>
      <c r="BK737" s="22"/>
      <c r="BL737" s="23"/>
      <c r="BM737" s="22"/>
      <c r="BN737" s="22"/>
      <c r="BO737" s="22"/>
      <c r="BP737" s="22"/>
      <c r="BQ737" s="22"/>
      <c r="BR737" s="24"/>
    </row>
    <row r="738" spans="4:70">
      <c r="D738" s="5"/>
      <c r="E738" s="5"/>
      <c r="F738" s="5"/>
      <c r="G738" s="5"/>
      <c r="H738" s="5"/>
      <c r="I738" s="5"/>
      <c r="J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Z738" s="5"/>
      <c r="BK738" s="22"/>
      <c r="BL738" s="23"/>
      <c r="BM738" s="22"/>
      <c r="BN738" s="22"/>
      <c r="BO738" s="22"/>
      <c r="BP738" s="22"/>
      <c r="BQ738" s="22"/>
      <c r="BR738" s="24"/>
    </row>
    <row r="739" spans="4:70">
      <c r="D739" s="5"/>
      <c r="E739" s="5"/>
      <c r="F739" s="5"/>
      <c r="G739" s="5"/>
      <c r="H739" s="5"/>
      <c r="I739" s="5"/>
      <c r="J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Z739" s="5"/>
      <c r="BK739" s="22"/>
      <c r="BL739" s="23"/>
      <c r="BM739" s="22"/>
      <c r="BN739" s="22"/>
      <c r="BO739" s="22"/>
      <c r="BP739" s="22"/>
      <c r="BQ739" s="22"/>
      <c r="BR739" s="24"/>
    </row>
    <row r="740" spans="4:70">
      <c r="D740" s="5"/>
      <c r="E740" s="5"/>
      <c r="F740" s="5"/>
      <c r="G740" s="5"/>
      <c r="H740" s="5"/>
      <c r="I740" s="5"/>
      <c r="J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Z740" s="5"/>
      <c r="BK740" s="22"/>
      <c r="BL740" s="23"/>
      <c r="BM740" s="22"/>
      <c r="BN740" s="22"/>
      <c r="BO740" s="22"/>
      <c r="BP740" s="22"/>
      <c r="BQ740" s="22"/>
      <c r="BR740" s="24"/>
    </row>
    <row r="741" spans="4:70">
      <c r="D741" s="5"/>
      <c r="E741" s="5"/>
      <c r="F741" s="5"/>
      <c r="G741" s="5"/>
      <c r="H741" s="5"/>
      <c r="I741" s="5"/>
      <c r="J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Z741" s="5"/>
      <c r="BK741" s="22"/>
      <c r="BL741" s="23"/>
      <c r="BM741" s="22"/>
      <c r="BN741" s="22"/>
      <c r="BO741" s="22"/>
      <c r="BP741" s="22"/>
      <c r="BQ741" s="22"/>
      <c r="BR741" s="24"/>
    </row>
    <row r="742" spans="4:70">
      <c r="D742" s="5"/>
      <c r="E742" s="5"/>
      <c r="F742" s="5"/>
      <c r="G742" s="5"/>
      <c r="H742" s="5"/>
      <c r="I742" s="5"/>
      <c r="J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Z742" s="5"/>
      <c r="BK742" s="22"/>
      <c r="BL742" s="23"/>
      <c r="BM742" s="22"/>
      <c r="BN742" s="22"/>
      <c r="BO742" s="22"/>
      <c r="BP742" s="22"/>
      <c r="BQ742" s="22"/>
      <c r="BR742" s="24"/>
    </row>
    <row r="743" spans="4:70">
      <c r="D743" s="5"/>
      <c r="E743" s="5"/>
      <c r="F743" s="5"/>
      <c r="G743" s="5"/>
      <c r="H743" s="5"/>
      <c r="I743" s="5"/>
      <c r="J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Z743" s="5"/>
      <c r="BK743" s="22"/>
      <c r="BL743" s="23"/>
      <c r="BM743" s="22"/>
      <c r="BN743" s="22"/>
      <c r="BO743" s="22"/>
      <c r="BP743" s="22"/>
      <c r="BQ743" s="22"/>
      <c r="BR743" s="24"/>
    </row>
    <row r="744" spans="4:70">
      <c r="D744" s="5"/>
      <c r="E744" s="5"/>
      <c r="F744" s="5"/>
      <c r="G744" s="5"/>
      <c r="H744" s="5"/>
      <c r="I744" s="5"/>
      <c r="J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Z744" s="5"/>
      <c r="BK744" s="22"/>
      <c r="BL744" s="23"/>
      <c r="BM744" s="22"/>
      <c r="BN744" s="22"/>
      <c r="BO744" s="22"/>
      <c r="BP744" s="22"/>
      <c r="BQ744" s="22"/>
      <c r="BR744" s="24"/>
    </row>
    <row r="745" spans="4:70">
      <c r="D745" s="5"/>
      <c r="E745" s="5"/>
      <c r="F745" s="5"/>
      <c r="G745" s="5"/>
      <c r="H745" s="5"/>
      <c r="I745" s="5"/>
      <c r="J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Z745" s="5"/>
      <c r="BK745" s="22"/>
      <c r="BL745" s="23"/>
      <c r="BM745" s="22"/>
      <c r="BN745" s="22"/>
      <c r="BO745" s="22"/>
      <c r="BP745" s="22"/>
      <c r="BQ745" s="22"/>
      <c r="BR745" s="24"/>
    </row>
    <row r="746" spans="4:70">
      <c r="D746" s="5"/>
      <c r="E746" s="5"/>
      <c r="F746" s="5"/>
      <c r="G746" s="5"/>
      <c r="H746" s="5"/>
      <c r="I746" s="5"/>
      <c r="J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Z746" s="5"/>
      <c r="BK746" s="22"/>
      <c r="BL746" s="23"/>
      <c r="BM746" s="22"/>
      <c r="BN746" s="22"/>
      <c r="BO746" s="22"/>
      <c r="BP746" s="22"/>
      <c r="BQ746" s="22"/>
      <c r="BR746" s="24"/>
    </row>
    <row r="747" spans="4:70">
      <c r="D747" s="5"/>
      <c r="E747" s="5"/>
      <c r="F747" s="5"/>
      <c r="G747" s="5"/>
      <c r="H747" s="5"/>
      <c r="I747" s="5"/>
      <c r="J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Z747" s="5"/>
      <c r="BK747" s="22"/>
      <c r="BL747" s="23"/>
      <c r="BM747" s="22"/>
      <c r="BN747" s="22"/>
      <c r="BO747" s="22"/>
      <c r="BP747" s="22"/>
      <c r="BQ747" s="22"/>
      <c r="BR747" s="24"/>
    </row>
    <row r="748" spans="4:70">
      <c r="D748" s="5"/>
      <c r="E748" s="5"/>
      <c r="F748" s="5"/>
      <c r="G748" s="5"/>
      <c r="H748" s="5"/>
      <c r="I748" s="5"/>
      <c r="J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Z748" s="5"/>
      <c r="BK748" s="22"/>
      <c r="BL748" s="23"/>
      <c r="BM748" s="22"/>
      <c r="BN748" s="22"/>
      <c r="BO748" s="22"/>
      <c r="BP748" s="22"/>
      <c r="BQ748" s="22"/>
      <c r="BR748" s="24"/>
    </row>
    <row r="749" spans="4:70">
      <c r="D749" s="5"/>
      <c r="E749" s="5"/>
      <c r="F749" s="5"/>
      <c r="G749" s="5"/>
      <c r="H749" s="5"/>
      <c r="I749" s="5"/>
      <c r="J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Z749" s="5"/>
      <c r="BK749" s="22"/>
      <c r="BL749" s="23"/>
      <c r="BM749" s="22"/>
      <c r="BN749" s="22"/>
      <c r="BO749" s="22"/>
      <c r="BP749" s="22"/>
      <c r="BQ749" s="22"/>
      <c r="BR749" s="24"/>
    </row>
    <row r="750" spans="4:70">
      <c r="D750" s="5"/>
      <c r="E750" s="5"/>
      <c r="F750" s="5"/>
      <c r="G750" s="5"/>
      <c r="H750" s="5"/>
      <c r="I750" s="5"/>
      <c r="J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Z750" s="5"/>
      <c r="BK750" s="22"/>
      <c r="BL750" s="23"/>
      <c r="BM750" s="22"/>
      <c r="BN750" s="22"/>
      <c r="BO750" s="22"/>
      <c r="BP750" s="22"/>
      <c r="BQ750" s="22"/>
      <c r="BR750" s="24"/>
    </row>
    <row r="751" spans="4:70">
      <c r="D751" s="5"/>
      <c r="E751" s="5"/>
      <c r="F751" s="5"/>
      <c r="G751" s="5"/>
      <c r="H751" s="5"/>
      <c r="I751" s="5"/>
      <c r="J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Z751" s="5"/>
      <c r="BK751" s="22"/>
      <c r="BL751" s="23"/>
      <c r="BM751" s="22"/>
      <c r="BN751" s="22"/>
      <c r="BO751" s="22"/>
      <c r="BP751" s="22"/>
      <c r="BQ751" s="22"/>
      <c r="BR751" s="24"/>
    </row>
    <row r="752" spans="4:70">
      <c r="D752" s="5"/>
      <c r="E752" s="5"/>
      <c r="F752" s="5"/>
      <c r="G752" s="5"/>
      <c r="H752" s="5"/>
      <c r="I752" s="5"/>
      <c r="J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Z752" s="5"/>
      <c r="BK752" s="22"/>
      <c r="BL752" s="23"/>
      <c r="BM752" s="22"/>
      <c r="BN752" s="22"/>
      <c r="BO752" s="22"/>
      <c r="BP752" s="22"/>
      <c r="BQ752" s="22"/>
      <c r="BR752" s="24"/>
    </row>
    <row r="753" spans="4:70">
      <c r="D753" s="5"/>
      <c r="E753" s="5"/>
      <c r="F753" s="5"/>
      <c r="G753" s="5"/>
      <c r="H753" s="5"/>
      <c r="I753" s="5"/>
      <c r="J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Z753" s="5"/>
      <c r="BK753" s="22"/>
      <c r="BL753" s="23"/>
      <c r="BM753" s="22"/>
      <c r="BN753" s="22"/>
      <c r="BO753" s="22"/>
      <c r="BP753" s="22"/>
      <c r="BQ753" s="22"/>
      <c r="BR753" s="24"/>
    </row>
    <row r="754" spans="4:70">
      <c r="D754" s="5"/>
      <c r="E754" s="5"/>
      <c r="F754" s="5"/>
      <c r="G754" s="5"/>
      <c r="H754" s="5"/>
      <c r="I754" s="5"/>
      <c r="J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Z754" s="5"/>
      <c r="BK754" s="22"/>
      <c r="BL754" s="23"/>
      <c r="BM754" s="22"/>
      <c r="BN754" s="22"/>
      <c r="BO754" s="22"/>
      <c r="BP754" s="22"/>
      <c r="BQ754" s="22"/>
      <c r="BR754" s="24"/>
    </row>
    <row r="755" spans="4:70">
      <c r="D755" s="5"/>
      <c r="E755" s="5"/>
      <c r="F755" s="5"/>
      <c r="G755" s="5"/>
      <c r="H755" s="5"/>
      <c r="I755" s="5"/>
      <c r="J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Z755" s="5"/>
      <c r="BK755" s="22"/>
      <c r="BL755" s="23"/>
      <c r="BM755" s="22"/>
      <c r="BN755" s="22"/>
      <c r="BO755" s="22"/>
      <c r="BP755" s="22"/>
      <c r="BQ755" s="22"/>
      <c r="BR755" s="24"/>
    </row>
    <row r="756" spans="4:70">
      <c r="D756" s="5"/>
      <c r="E756" s="5"/>
      <c r="F756" s="5"/>
      <c r="G756" s="5"/>
      <c r="H756" s="5"/>
      <c r="I756" s="5"/>
      <c r="J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Z756" s="5"/>
      <c r="BK756" s="22"/>
      <c r="BL756" s="23"/>
      <c r="BM756" s="22"/>
      <c r="BN756" s="22"/>
      <c r="BO756" s="22"/>
      <c r="BP756" s="22"/>
      <c r="BQ756" s="22"/>
      <c r="BR756" s="24"/>
    </row>
    <row r="757" spans="4:70">
      <c r="D757" s="5"/>
      <c r="E757" s="5"/>
      <c r="F757" s="5"/>
      <c r="G757" s="5"/>
      <c r="H757" s="5"/>
      <c r="I757" s="5"/>
      <c r="J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Z757" s="5"/>
      <c r="BK757" s="22"/>
      <c r="BL757" s="23"/>
      <c r="BM757" s="22"/>
      <c r="BN757" s="22"/>
      <c r="BO757" s="22"/>
      <c r="BP757" s="22"/>
      <c r="BQ757" s="22"/>
      <c r="BR757" s="24"/>
    </row>
    <row r="758" spans="4:70">
      <c r="D758" s="5"/>
      <c r="E758" s="5"/>
      <c r="F758" s="5"/>
      <c r="G758" s="5"/>
      <c r="H758" s="5"/>
      <c r="I758" s="5"/>
      <c r="J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Z758" s="5"/>
      <c r="BK758" s="22"/>
      <c r="BL758" s="23"/>
      <c r="BM758" s="22"/>
      <c r="BN758" s="22"/>
      <c r="BO758" s="22"/>
      <c r="BP758" s="22"/>
      <c r="BQ758" s="22"/>
      <c r="BR758" s="24"/>
    </row>
    <row r="759" spans="4:70">
      <c r="D759" s="5"/>
      <c r="E759" s="5"/>
      <c r="F759" s="5"/>
      <c r="G759" s="5"/>
      <c r="H759" s="5"/>
      <c r="I759" s="5"/>
      <c r="J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Z759" s="5"/>
      <c r="BK759" s="22"/>
      <c r="BL759" s="23"/>
      <c r="BM759" s="22"/>
      <c r="BN759" s="22"/>
      <c r="BO759" s="22"/>
      <c r="BP759" s="22"/>
      <c r="BQ759" s="22"/>
      <c r="BR759" s="24"/>
    </row>
    <row r="760" spans="4:70">
      <c r="D760" s="5"/>
      <c r="E760" s="5"/>
      <c r="F760" s="5"/>
      <c r="G760" s="5"/>
      <c r="H760" s="5"/>
      <c r="I760" s="5"/>
      <c r="J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Z760" s="5"/>
      <c r="BK760" s="22"/>
      <c r="BL760" s="23"/>
      <c r="BM760" s="22"/>
      <c r="BN760" s="22"/>
      <c r="BO760" s="22"/>
      <c r="BP760" s="22"/>
      <c r="BQ760" s="22"/>
      <c r="BR760" s="24"/>
    </row>
    <row r="761" spans="4:70">
      <c r="D761" s="5"/>
      <c r="E761" s="5"/>
      <c r="F761" s="5"/>
      <c r="G761" s="5"/>
      <c r="H761" s="5"/>
      <c r="I761" s="5"/>
      <c r="J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Z761" s="5"/>
      <c r="BK761" s="22"/>
      <c r="BL761" s="23"/>
      <c r="BM761" s="22"/>
      <c r="BN761" s="22"/>
      <c r="BO761" s="22"/>
      <c r="BP761" s="22"/>
      <c r="BQ761" s="22"/>
      <c r="BR761" s="24"/>
    </row>
    <row r="762" spans="4:70">
      <c r="D762" s="5"/>
      <c r="E762" s="5"/>
      <c r="F762" s="5"/>
      <c r="G762" s="5"/>
      <c r="H762" s="5"/>
      <c r="I762" s="5"/>
      <c r="J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Z762" s="5"/>
      <c r="BK762" s="22"/>
      <c r="BL762" s="23"/>
      <c r="BM762" s="22"/>
      <c r="BN762" s="22"/>
      <c r="BO762" s="22"/>
      <c r="BP762" s="22"/>
      <c r="BQ762" s="22"/>
      <c r="BR762" s="24"/>
    </row>
    <row r="763" spans="4:70">
      <c r="D763" s="5"/>
      <c r="E763" s="5"/>
      <c r="F763" s="5"/>
      <c r="G763" s="5"/>
      <c r="H763" s="5"/>
      <c r="I763" s="5"/>
      <c r="J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Z763" s="5"/>
      <c r="BK763" s="22"/>
      <c r="BL763" s="23"/>
      <c r="BM763" s="22"/>
      <c r="BN763" s="22"/>
      <c r="BO763" s="22"/>
      <c r="BP763" s="22"/>
      <c r="BQ763" s="22"/>
      <c r="BR763" s="24"/>
    </row>
    <row r="764" spans="4:70">
      <c r="D764" s="5"/>
      <c r="E764" s="5"/>
      <c r="F764" s="5"/>
      <c r="G764" s="5"/>
      <c r="H764" s="5"/>
      <c r="I764" s="5"/>
      <c r="J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Z764" s="5"/>
      <c r="BK764" s="22"/>
      <c r="BL764" s="23"/>
      <c r="BM764" s="22"/>
      <c r="BN764" s="22"/>
      <c r="BO764" s="22"/>
      <c r="BP764" s="22"/>
      <c r="BQ764" s="22"/>
      <c r="BR764" s="24"/>
    </row>
    <row r="765" spans="4:70">
      <c r="D765" s="5"/>
      <c r="E765" s="5"/>
      <c r="F765" s="5"/>
      <c r="G765" s="5"/>
      <c r="H765" s="5"/>
      <c r="I765" s="5"/>
      <c r="J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Z765" s="5"/>
      <c r="BK765" s="22"/>
      <c r="BL765" s="23"/>
      <c r="BM765" s="22"/>
      <c r="BN765" s="22"/>
      <c r="BO765" s="22"/>
      <c r="BP765" s="22"/>
      <c r="BQ765" s="22"/>
      <c r="BR765" s="24"/>
    </row>
    <row r="766" spans="4:70">
      <c r="D766" s="5"/>
      <c r="E766" s="5"/>
      <c r="F766" s="5"/>
      <c r="G766" s="5"/>
      <c r="H766" s="5"/>
      <c r="I766" s="5"/>
      <c r="J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Z766" s="5"/>
      <c r="BK766" s="22"/>
      <c r="BL766" s="23"/>
      <c r="BM766" s="22"/>
      <c r="BN766" s="22"/>
      <c r="BO766" s="22"/>
      <c r="BP766" s="22"/>
      <c r="BQ766" s="22"/>
      <c r="BR766" s="24"/>
    </row>
    <row r="767" spans="4:70">
      <c r="D767" s="5"/>
      <c r="E767" s="5"/>
      <c r="F767" s="5"/>
      <c r="G767" s="5"/>
      <c r="H767" s="5"/>
      <c r="I767" s="5"/>
      <c r="J767" s="5"/>
    </row>
    <row r="768" spans="4:70">
      <c r="D768" s="5"/>
      <c r="E768" s="5"/>
      <c r="F768" s="5"/>
      <c r="G768" s="5"/>
      <c r="H768" s="5"/>
      <c r="I768" s="5"/>
      <c r="J768" s="5"/>
    </row>
    <row r="769" spans="4:52">
      <c r="D769" s="5"/>
      <c r="E769" s="5"/>
      <c r="F769" s="5"/>
      <c r="G769" s="5"/>
      <c r="H769" s="5"/>
      <c r="I769" s="5"/>
      <c r="J769" s="5"/>
    </row>
    <row r="770" spans="4:52">
      <c r="D770" s="5"/>
      <c r="E770" s="5"/>
      <c r="F770" s="5"/>
      <c r="G770" s="5"/>
      <c r="H770" s="5"/>
      <c r="I770" s="5"/>
      <c r="J770" s="5"/>
    </row>
    <row r="771" spans="4:52">
      <c r="D771" s="5"/>
      <c r="E771" s="5"/>
      <c r="F771" s="5"/>
      <c r="G771" s="5"/>
      <c r="H771" s="5"/>
      <c r="I771" s="5"/>
      <c r="J771" s="5"/>
    </row>
    <row r="772" spans="4:52">
      <c r="D772" s="5"/>
      <c r="E772" s="5"/>
      <c r="F772" s="5"/>
      <c r="G772" s="5"/>
      <c r="H772" s="5"/>
      <c r="I772" s="5"/>
      <c r="J772" s="5"/>
    </row>
    <row r="773" spans="4:52">
      <c r="D773" s="5"/>
      <c r="E773" s="5"/>
      <c r="F773" s="5"/>
      <c r="G773" s="5"/>
      <c r="H773" s="5"/>
      <c r="I773" s="5"/>
      <c r="J773" s="5"/>
    </row>
    <row r="774" spans="4:52">
      <c r="D774" s="5"/>
      <c r="E774" s="5"/>
      <c r="F774" s="5"/>
      <c r="G774" s="5"/>
      <c r="H774" s="5"/>
      <c r="I774" s="5"/>
      <c r="J774" s="5"/>
    </row>
    <row r="775" spans="4:52">
      <c r="D775" s="5"/>
      <c r="E775" s="5"/>
      <c r="F775" s="5"/>
      <c r="G775" s="5"/>
      <c r="H775" s="5"/>
      <c r="I775" s="5"/>
      <c r="J775" s="5"/>
    </row>
    <row r="776" spans="4:52">
      <c r="D776" s="5"/>
      <c r="E776" s="5"/>
      <c r="F776" s="5"/>
      <c r="G776" s="5"/>
      <c r="H776" s="5"/>
      <c r="I776" s="5"/>
      <c r="J776" s="5"/>
    </row>
    <row r="777" spans="4:52">
      <c r="D777" s="5"/>
      <c r="E777" s="5"/>
      <c r="F777" s="5"/>
      <c r="G777" s="5"/>
      <c r="H777" s="5"/>
      <c r="I777" s="5"/>
      <c r="J777" s="5"/>
    </row>
    <row r="778" spans="4:52">
      <c r="D778" s="5"/>
      <c r="E778" s="5"/>
      <c r="F778" s="5"/>
      <c r="G778" s="5"/>
      <c r="H778" s="5"/>
      <c r="I778" s="5"/>
      <c r="J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Z778" s="5"/>
    </row>
    <row r="779" spans="4:52">
      <c r="D779" s="5"/>
      <c r="E779" s="5"/>
      <c r="F779" s="5"/>
      <c r="G779" s="5"/>
      <c r="H779" s="5"/>
      <c r="I779" s="5"/>
      <c r="J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Z779" s="5"/>
    </row>
    <row r="780" spans="4:52">
      <c r="D780" s="5"/>
      <c r="E780" s="5"/>
      <c r="F780" s="5"/>
      <c r="G780" s="5"/>
      <c r="H780" s="5"/>
      <c r="I780" s="5"/>
      <c r="J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Z780" s="5"/>
    </row>
    <row r="781" spans="4:52">
      <c r="D781" s="5"/>
      <c r="E781" s="5"/>
      <c r="F781" s="5"/>
      <c r="G781" s="5"/>
      <c r="H781" s="5"/>
      <c r="I781" s="5"/>
      <c r="J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Z781" s="5"/>
    </row>
  </sheetData>
  <hyperlinks>
    <hyperlink ref="B1" location="ROIC!B16" display="MND AU Equity" xr:uid="{799FB1AB-1E4E-41E0-B756-21E7FD05BF25}"/>
  </hyperlinks>
  <pageMargins left="0.74803149606299213" right="0.74803149606299213" top="0.98425196850393704" bottom="0.98425196850393704" header="0.51181102362204722" footer="0.51181102362204722"/>
  <pageSetup paperSize="9" scale="14" orientation="landscape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611E-0A32-41E5-ACAB-ADCF742652D2}">
  <sheetPr codeName="wsROIC2">
    <tabColor rgb="FFFFFF00"/>
    <pageSetUpPr fitToPage="1"/>
  </sheetPr>
  <dimension ref="A1:BT781"/>
  <sheetViews>
    <sheetView showGridLines="0" zoomScale="80" zoomScaleNormal="80" workbookViewId="0">
      <pane xSplit="3" ySplit="16" topLeftCell="D17" activePane="bottomRight" state="frozen"/>
      <selection activeCell="N30" sqref="N30"/>
      <selection pane="topRight" activeCell="N30" sqref="N30"/>
      <selection pane="bottomLeft" activeCell="N30" sqref="N30"/>
      <selection pane="bottomRight" activeCell="A2" sqref="A2:XFD2"/>
    </sheetView>
  </sheetViews>
  <sheetFormatPr defaultColWidth="9.1328125" defaultRowHeight="12.75" outlineLevelRow="2" outlineLevelCol="1"/>
  <cols>
    <col min="1" max="1" width="9" style="5" hidden="1" customWidth="1" outlineLevel="1"/>
    <col min="2" max="2" width="41.59765625" style="5" hidden="1" customWidth="1" outlineLevel="1"/>
    <col min="3" max="3" width="39.1328125" style="5" customWidth="1" collapsed="1"/>
    <col min="4" max="29" width="11.59765625" style="20" customWidth="1"/>
    <col min="30" max="30" width="12.86328125" style="5" customWidth="1"/>
    <col min="31" max="31" width="8" style="5" customWidth="1"/>
    <col min="32" max="33" width="7.265625" style="5" customWidth="1"/>
    <col min="34" max="34" width="28.3984375" style="5" bestFit="1" customWidth="1"/>
    <col min="35" max="35" width="9.1328125" style="5" customWidth="1"/>
    <col min="36" max="36" width="10.265625" style="22" customWidth="1" outlineLevel="1"/>
    <col min="37" max="37" width="10.265625" style="23" customWidth="1" outlineLevel="1"/>
    <col min="38" max="50" width="10.265625" style="22" customWidth="1" outlineLevel="1"/>
    <col min="51" max="51" width="11.59765625" style="20" customWidth="1"/>
    <col min="52" max="52" width="3.1328125" style="24" customWidth="1"/>
    <col min="53" max="53" width="16.3984375" style="5" bestFit="1" customWidth="1"/>
    <col min="54" max="54" width="9.1328125" style="5" customWidth="1"/>
    <col min="55" max="16384" width="9.1328125" style="5"/>
  </cols>
  <sheetData>
    <row r="1" spans="2:52" ht="14.65" hidden="1" thickBot="1">
      <c r="B1" s="71" t="s">
        <v>3793</v>
      </c>
      <c r="C1" s="18">
        <f>AH1</f>
        <v>0</v>
      </c>
      <c r="D1" s="31">
        <f t="shared" ref="D1:Y1" si="0">IF(D490="…","…",D493/D490)</f>
        <v>0.17838138601757011</v>
      </c>
      <c r="E1" s="31">
        <f t="shared" si="0"/>
        <v>0.1875399192972701</v>
      </c>
      <c r="F1" s="31">
        <f t="shared" si="0"/>
        <v>0.19362678711302095</v>
      </c>
      <c r="G1" s="31">
        <f t="shared" si="0"/>
        <v>0.18934072662479276</v>
      </c>
      <c r="H1" s="31">
        <f t="shared" si="0"/>
        <v>0.18970455993663612</v>
      </c>
      <c r="I1" s="31">
        <f t="shared" si="0"/>
        <v>0.18845348489380795</v>
      </c>
      <c r="J1" s="31">
        <f t="shared" si="0"/>
        <v>0.18089401333045793</v>
      </c>
      <c r="K1" s="31">
        <f t="shared" si="0"/>
        <v>0.16861791629395237</v>
      </c>
      <c r="L1" s="31">
        <f t="shared" si="0"/>
        <v>0.16224581445990216</v>
      </c>
      <c r="M1" s="31">
        <f t="shared" si="0"/>
        <v>0.15917282546025227</v>
      </c>
      <c r="N1" s="31">
        <f t="shared" si="0"/>
        <v>0.16617455703014444</v>
      </c>
      <c r="O1" s="19">
        <f t="shared" si="0"/>
        <v>-1.9636849202089361E-4</v>
      </c>
      <c r="P1" s="19">
        <f t="shared" si="0"/>
        <v>-1.2271435963019731E-2</v>
      </c>
      <c r="Q1" s="19">
        <f t="shared" si="0"/>
        <v>2.4114563718488937E-2</v>
      </c>
      <c r="R1" s="19">
        <f t="shared" si="0"/>
        <v>1.8487152847501725E-2</v>
      </c>
      <c r="S1" s="19">
        <f t="shared" si="0"/>
        <v>0.19527281891364165</v>
      </c>
      <c r="T1" s="19">
        <f t="shared" si="0"/>
        <v>0.18748013534118935</v>
      </c>
      <c r="U1" s="19">
        <f t="shared" si="0"/>
        <v>0.18607515195541507</v>
      </c>
      <c r="V1" s="19" t="str">
        <f t="shared" si="0"/>
        <v>…</v>
      </c>
      <c r="W1" s="19" t="str">
        <f t="shared" si="0"/>
        <v>…</v>
      </c>
      <c r="X1" s="19" t="str">
        <f t="shared" si="0"/>
        <v>…</v>
      </c>
      <c r="Y1" s="19" t="str">
        <f t="shared" si="0"/>
        <v>…</v>
      </c>
      <c r="Z1" s="19"/>
      <c r="AA1" s="19"/>
      <c r="AE1" s="21" t="str">
        <f>B1</f>
        <v>VOW3 GY Equity</v>
      </c>
      <c r="AY1" s="19"/>
    </row>
    <row r="2" spans="2:52" ht="14.25" hidden="1">
      <c r="B2" s="71"/>
      <c r="C2" s="18"/>
      <c r="D2" s="25">
        <f t="shared" ref="D2:Y2" si="1">IF(D490="…","…",D493)</f>
        <v>22762</v>
      </c>
      <c r="E2" s="25">
        <f t="shared" si="1"/>
        <v>24958</v>
      </c>
      <c r="F2" s="25">
        <f t="shared" si="1"/>
        <v>26450</v>
      </c>
      <c r="G2" s="25">
        <f t="shared" si="1"/>
        <v>27522</v>
      </c>
      <c r="H2" s="25">
        <f t="shared" si="1"/>
        <v>31855</v>
      </c>
      <c r="I2" s="25">
        <f t="shared" si="1"/>
        <v>33390</v>
      </c>
      <c r="J2" s="25">
        <f t="shared" si="1"/>
        <v>36069</v>
      </c>
      <c r="K2" s="25">
        <f t="shared" si="1"/>
        <v>42790</v>
      </c>
      <c r="L2" s="25">
        <f t="shared" si="1"/>
        <v>50218</v>
      </c>
      <c r="M2" s="25">
        <f t="shared" si="1"/>
        <v>51625</v>
      </c>
      <c r="N2" s="25">
        <f t="shared" si="1"/>
        <v>58362</v>
      </c>
      <c r="O2" s="25">
        <f t="shared" si="1"/>
        <v>-75</v>
      </c>
      <c r="P2" s="25">
        <f t="shared" si="1"/>
        <v>-5028</v>
      </c>
      <c r="Q2" s="25">
        <f t="shared" si="1"/>
        <v>10181</v>
      </c>
      <c r="R2" s="25">
        <f t="shared" si="1"/>
        <v>8470</v>
      </c>
      <c r="S2" s="25">
        <f t="shared" si="1"/>
        <v>95307</v>
      </c>
      <c r="T2" s="25">
        <f t="shared" si="1"/>
        <v>93199</v>
      </c>
      <c r="U2" s="25">
        <f t="shared" si="1"/>
        <v>98361</v>
      </c>
      <c r="V2" s="25" t="str">
        <f t="shared" si="1"/>
        <v>…</v>
      </c>
      <c r="W2" s="25" t="str">
        <f t="shared" si="1"/>
        <v>…</v>
      </c>
      <c r="X2" s="25" t="str">
        <f t="shared" si="1"/>
        <v>…</v>
      </c>
      <c r="Y2" s="25" t="str">
        <f t="shared" si="1"/>
        <v>…</v>
      </c>
      <c r="Z2" s="25"/>
      <c r="AA2" s="25"/>
      <c r="AY2" s="25"/>
    </row>
    <row r="3" spans="2:52">
      <c r="B3" s="5" t="s">
        <v>117</v>
      </c>
      <c r="AA3" s="25"/>
    </row>
    <row r="4" spans="2:52" ht="13.15" hidden="1" outlineLevel="1">
      <c r="B4" s="5" t="s">
        <v>11</v>
      </c>
      <c r="D4" s="25">
        <f>IFERROR(MATCH(YEAR(D6),'Other Data'!$5:$5,0)-2,C4)</f>
        <v>0</v>
      </c>
      <c r="E4" s="25">
        <f>IFERROR(MATCH(YEAR(E6),'Other Data'!$5:$5,0)-2,D4)</f>
        <v>0</v>
      </c>
      <c r="F4" s="25">
        <f>IFERROR(MATCH(YEAR(F6),'Other Data'!$5:$5,0)-2,E4)</f>
        <v>2</v>
      </c>
      <c r="G4" s="25">
        <f>IFERROR(MATCH(YEAR(G6),'Other Data'!$5:$5,0)-2,F4)</f>
        <v>3</v>
      </c>
      <c r="H4" s="25">
        <f>IFERROR(MATCH(YEAR(H6),'Other Data'!$5:$5,0)-2,G4)</f>
        <v>4</v>
      </c>
      <c r="I4" s="25">
        <f>IFERROR(MATCH(YEAR(I6),'Other Data'!$5:$5,0)-2,H4)</f>
        <v>5</v>
      </c>
      <c r="J4" s="25">
        <f>IFERROR(MATCH(YEAR(J6),'Other Data'!$5:$5,0)-2,I4)</f>
        <v>6</v>
      </c>
      <c r="K4" s="25">
        <f>IFERROR(MATCH(YEAR(K6),'Other Data'!$5:$5,0)-2,J4)</f>
        <v>7</v>
      </c>
      <c r="L4" s="25">
        <f>IFERROR(MATCH(YEAR(L6),'Other Data'!$5:$5,0)-2,K4)</f>
        <v>8</v>
      </c>
      <c r="M4" s="25">
        <f>IFERROR(MATCH(YEAR(M6),'Other Data'!$5:$5,0)-2,L4)</f>
        <v>9</v>
      </c>
      <c r="N4" s="25">
        <f>IFERROR(MATCH(YEAR(N6),'Other Data'!$5:$5,0)-2,M4)</f>
        <v>10</v>
      </c>
      <c r="O4" s="25">
        <f>IFERROR(MATCH(YEAR(O6),'Other Data'!$5:$5,0)-2,N4)</f>
        <v>11</v>
      </c>
      <c r="P4" s="25">
        <f>IFERROR(MATCH(YEAR(P6),'Other Data'!$5:$5,0)-2,O4)</f>
        <v>12</v>
      </c>
      <c r="Q4" s="25">
        <f>IFERROR(MATCH(YEAR(Q6),'Other Data'!$5:$5,0)-2,P4)</f>
        <v>13</v>
      </c>
      <c r="R4" s="25">
        <f>IFERROR(MATCH(YEAR(R6),'Other Data'!$5:$5,0)-2,Q4)</f>
        <v>14</v>
      </c>
      <c r="S4" s="25">
        <f>IFERROR(MATCH(YEAR(S6),'Other Data'!$5:$5,0)-2,R4)</f>
        <v>15</v>
      </c>
      <c r="T4" s="25">
        <f>IFERROR(MATCH(YEAR(T6),'Other Data'!$5:$5,0)-2,S4)</f>
        <v>16</v>
      </c>
      <c r="U4" s="25">
        <f>IFERROR(MATCH(YEAR(U6),'Other Data'!$5:$5,0)-2,T4)</f>
        <v>17</v>
      </c>
      <c r="V4" s="25">
        <f>IFERROR(MATCH(YEAR(V6),'Other Data'!$5:$5,0)-2,U4)</f>
        <v>17</v>
      </c>
      <c r="W4" s="25">
        <f>IFERROR(MATCH(YEAR(W6),'Other Data'!$5:$5,0)-2,V4)</f>
        <v>17</v>
      </c>
      <c r="X4" s="25">
        <f>IFERROR(MATCH(YEAR(X6),'Other Data'!$5:$5,0)-2,W4)</f>
        <v>17</v>
      </c>
      <c r="Y4" s="25">
        <f>IFERROR(MATCH(YEAR(Y6),'Other Data'!$5:$5,0)-2,X4)</f>
        <v>17</v>
      </c>
      <c r="Z4" s="25"/>
      <c r="AA4" s="25"/>
      <c r="AB4" s="25"/>
      <c r="AC4" s="25"/>
      <c r="AE4" s="9" t="s">
        <v>1555</v>
      </c>
      <c r="AJ4" s="22" t="s">
        <v>120</v>
      </c>
      <c r="AK4" s="22" t="s">
        <v>121</v>
      </c>
      <c r="AL4" s="22" t="s">
        <v>287</v>
      </c>
      <c r="AM4" s="22" t="s">
        <v>288</v>
      </c>
      <c r="AN4" s="22" t="s">
        <v>419</v>
      </c>
      <c r="AO4" s="22" t="s">
        <v>420</v>
      </c>
      <c r="AP4" s="22" t="s">
        <v>1708</v>
      </c>
      <c r="AQ4" s="22" t="s">
        <v>2189</v>
      </c>
      <c r="AR4" s="22" t="s">
        <v>2191</v>
      </c>
      <c r="AS4" s="22" t="s">
        <v>2192</v>
      </c>
      <c r="AT4" s="22" t="s">
        <v>2476</v>
      </c>
      <c r="AU4" s="22" t="s">
        <v>3623</v>
      </c>
      <c r="AV4" s="22" t="s">
        <v>3624</v>
      </c>
      <c r="AW4" s="22" t="s">
        <v>3625</v>
      </c>
      <c r="AY4" s="25"/>
    </row>
    <row r="5" spans="2:52" hidden="1" outlineLevel="1">
      <c r="C5" s="28">
        <v>44592</v>
      </c>
      <c r="AA5" s="25"/>
      <c r="AE5" s="77" t="s">
        <v>1554</v>
      </c>
    </row>
    <row r="6" spans="2:52" ht="13.15" hidden="1" outlineLevel="1">
      <c r="C6" s="28">
        <f>44592</f>
        <v>44592</v>
      </c>
      <c r="D6" s="59">
        <v>38352</v>
      </c>
      <c r="E6" s="59">
        <v>38717</v>
      </c>
      <c r="F6" s="59">
        <v>39082</v>
      </c>
      <c r="G6" s="59">
        <v>39447</v>
      </c>
      <c r="H6" s="59">
        <v>39813</v>
      </c>
      <c r="I6" s="59">
        <v>40178</v>
      </c>
      <c r="J6" s="59">
        <v>40543</v>
      </c>
      <c r="K6" s="59">
        <v>40908</v>
      </c>
      <c r="L6" s="59">
        <v>41274</v>
      </c>
      <c r="M6" s="59">
        <v>41639</v>
      </c>
      <c r="N6" s="59">
        <v>42004</v>
      </c>
      <c r="O6" s="59">
        <v>42369</v>
      </c>
      <c r="P6" s="59">
        <v>42735</v>
      </c>
      <c r="Q6" s="59">
        <v>43100</v>
      </c>
      <c r="R6" s="59">
        <v>43465</v>
      </c>
      <c r="S6" s="59">
        <v>43830</v>
      </c>
      <c r="T6" s="59">
        <v>44196</v>
      </c>
      <c r="U6" s="59">
        <v>44561</v>
      </c>
      <c r="V6" s="59">
        <v>44926</v>
      </c>
      <c r="W6" s="59">
        <v>45291</v>
      </c>
      <c r="X6" s="59">
        <v>45657</v>
      </c>
      <c r="Y6" s="59">
        <v>46022</v>
      </c>
      <c r="Z6" s="59"/>
      <c r="AA6" s="25"/>
      <c r="AB6" s="28"/>
      <c r="AC6" s="28"/>
      <c r="AY6" s="28"/>
    </row>
    <row r="7" spans="2:52" hidden="1" outlineLevel="1">
      <c r="C7" s="28">
        <v>44227</v>
      </c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5"/>
      <c r="AB7" s="28"/>
      <c r="AC7" s="28"/>
      <c r="AH7" s="5" t="s">
        <v>337</v>
      </c>
      <c r="AY7" s="28"/>
    </row>
    <row r="8" spans="2:52" hidden="1" outlineLevel="1">
      <c r="C8" s="27"/>
      <c r="D8" s="20" t="str">
        <f t="shared" ref="D8:J8" si="2">IF(D11="yes","A",IF(OR(D13="yes",E13="yes"),"E",IF(D12="yes","…","L")))</f>
        <v>A</v>
      </c>
      <c r="E8" s="20" t="str">
        <f t="shared" si="2"/>
        <v>A</v>
      </c>
      <c r="F8" s="20" t="str">
        <f t="shared" si="2"/>
        <v>A</v>
      </c>
      <c r="G8" s="20" t="str">
        <f t="shared" si="2"/>
        <v>A</v>
      </c>
      <c r="H8" s="20" t="str">
        <f t="shared" si="2"/>
        <v>A</v>
      </c>
      <c r="I8" s="20" t="str">
        <f t="shared" si="2"/>
        <v>A</v>
      </c>
      <c r="J8" s="20" t="str">
        <f t="shared" si="2"/>
        <v>A</v>
      </c>
      <c r="K8" s="20" t="str">
        <f>IF(K11="yes","A",IF(OR(K13="yes",L13="yes"),"E",IF(K12="yes","…","L")))</f>
        <v>A</v>
      </c>
      <c r="L8" s="20" t="str">
        <f t="shared" ref="L8:Y8" si="3">IF(L11="yes","A",IF(L13="yes","E",IF(L12="yes","…","L")))</f>
        <v>A</v>
      </c>
      <c r="M8" s="20" t="str">
        <f t="shared" si="3"/>
        <v>A</v>
      </c>
      <c r="N8" s="20" t="str">
        <f t="shared" si="3"/>
        <v>A</v>
      </c>
      <c r="O8" s="20" t="str">
        <f t="shared" si="3"/>
        <v>A</v>
      </c>
      <c r="P8" s="20" t="str">
        <f t="shared" si="3"/>
        <v>A</v>
      </c>
      <c r="Q8" s="20" t="str">
        <f t="shared" si="3"/>
        <v>A</v>
      </c>
      <c r="R8" s="20" t="str">
        <f t="shared" si="3"/>
        <v>A</v>
      </c>
      <c r="S8" s="20" t="str">
        <f t="shared" si="3"/>
        <v>A</v>
      </c>
      <c r="T8" s="20" t="str">
        <f t="shared" si="3"/>
        <v>A</v>
      </c>
      <c r="U8" s="20" t="str">
        <f t="shared" si="3"/>
        <v>A</v>
      </c>
      <c r="V8" s="20" t="str">
        <f t="shared" si="3"/>
        <v>E</v>
      </c>
      <c r="W8" s="20" t="str">
        <f t="shared" si="3"/>
        <v>E</v>
      </c>
      <c r="X8" s="20" t="str">
        <f t="shared" si="3"/>
        <v>E</v>
      </c>
      <c r="Y8" s="20" t="str">
        <f t="shared" si="3"/>
        <v>E</v>
      </c>
      <c r="AA8" s="25"/>
      <c r="AB8" s="28"/>
      <c r="AC8" s="28"/>
    </row>
    <row r="9" spans="2:52" hidden="1" outlineLevel="1">
      <c r="D9" s="5">
        <f t="shared" ref="D9:L9" si="4">E9-1</f>
        <v>2004</v>
      </c>
      <c r="E9" s="5">
        <v>2005</v>
      </c>
      <c r="F9" s="5">
        <f t="shared" si="4"/>
        <v>2006</v>
      </c>
      <c r="G9" s="5">
        <f t="shared" si="4"/>
        <v>2007</v>
      </c>
      <c r="H9" s="5">
        <f t="shared" si="4"/>
        <v>2008</v>
      </c>
      <c r="I9" s="5">
        <f t="shared" si="4"/>
        <v>2009</v>
      </c>
      <c r="J9" s="5">
        <f t="shared" si="4"/>
        <v>2010</v>
      </c>
      <c r="K9" s="5">
        <f t="shared" si="4"/>
        <v>2011</v>
      </c>
      <c r="L9" s="5">
        <f t="shared" si="4"/>
        <v>2012</v>
      </c>
      <c r="M9" s="5">
        <f t="shared" ref="M9:U9" si="5">AK16</f>
        <v>2013</v>
      </c>
      <c r="N9" s="5">
        <f t="shared" si="5"/>
        <v>2014</v>
      </c>
      <c r="O9" s="5">
        <f t="shared" si="5"/>
        <v>2015</v>
      </c>
      <c r="P9" s="5">
        <f t="shared" si="5"/>
        <v>2016</v>
      </c>
      <c r="Q9" s="5">
        <f t="shared" si="5"/>
        <v>2017</v>
      </c>
      <c r="R9" s="5">
        <f t="shared" si="5"/>
        <v>2018</v>
      </c>
      <c r="S9" s="5">
        <f t="shared" si="5"/>
        <v>2019</v>
      </c>
      <c r="T9" s="5">
        <f t="shared" si="5"/>
        <v>2020</v>
      </c>
      <c r="U9" s="5">
        <f t="shared" si="5"/>
        <v>2021</v>
      </c>
      <c r="V9" s="5">
        <f>AT16</f>
        <v>2022</v>
      </c>
      <c r="W9" s="5">
        <f>AU16</f>
        <v>2023</v>
      </c>
      <c r="X9" s="5">
        <f>AV16</f>
        <v>2024</v>
      </c>
      <c r="Y9" s="5">
        <f>AW16</f>
        <v>2025</v>
      </c>
      <c r="Z9" s="5"/>
      <c r="AA9" s="25"/>
      <c r="AY9" s="5"/>
    </row>
    <row r="10" spans="2:52" hidden="1" outlineLevel="1">
      <c r="B10" s="29"/>
      <c r="K10" s="19"/>
      <c r="L10" s="19">
        <f t="shared" ref="L10:T10" si="6">IF(L358="…","…",L493/L358)</f>
        <v>0.16224581445990216</v>
      </c>
      <c r="M10" s="19">
        <f t="shared" si="6"/>
        <v>0.15917282546025227</v>
      </c>
      <c r="N10" s="19">
        <f t="shared" si="6"/>
        <v>0.16617455703014444</v>
      </c>
      <c r="O10" s="19">
        <f t="shared" si="6"/>
        <v>-1.9636849202089361E-4</v>
      </c>
      <c r="P10" s="19">
        <f t="shared" si="6"/>
        <v>-1.2271435963019731E-2</v>
      </c>
      <c r="Q10" s="19">
        <f t="shared" si="6"/>
        <v>2.4114563718488937E-2</v>
      </c>
      <c r="R10" s="19">
        <f t="shared" si="6"/>
        <v>1.8487152847501725E-2</v>
      </c>
      <c r="S10" s="19">
        <f t="shared" si="6"/>
        <v>0.19527281891364165</v>
      </c>
      <c r="T10" s="19">
        <f t="shared" si="6"/>
        <v>0.18748013534118935</v>
      </c>
      <c r="U10" s="19">
        <f>IF(U358="…","…",U493/U358)</f>
        <v>0.18607515195541507</v>
      </c>
      <c r="V10" s="19" t="str">
        <f>IF(V358="…","…",V493/V358)</f>
        <v>…</v>
      </c>
      <c r="W10" s="19" t="str">
        <f>IF(W358="…","…",W493/W358)</f>
        <v>…</v>
      </c>
      <c r="X10" s="19" t="str">
        <f>IF(X358="…","…",X493/X358)</f>
        <v>…</v>
      </c>
      <c r="Y10" s="19" t="str">
        <f>IF(Y358="…","…",Y493/Y358)</f>
        <v>…</v>
      </c>
      <c r="Z10" s="19"/>
      <c r="AA10" s="25"/>
      <c r="AB10" s="19"/>
      <c r="AC10" s="19"/>
      <c r="AY10" s="19"/>
    </row>
    <row r="11" spans="2:52" hidden="1" outlineLevel="1">
      <c r="B11" s="29"/>
      <c r="C11" s="5" t="s">
        <v>125</v>
      </c>
      <c r="D11" s="19" t="str">
        <f t="shared" ref="D11:V11" si="7">IF(ISERROR(D315/D358),"no","yes")</f>
        <v>yes</v>
      </c>
      <c r="E11" s="19" t="str">
        <f t="shared" si="7"/>
        <v>yes</v>
      </c>
      <c r="F11" s="19" t="str">
        <f t="shared" si="7"/>
        <v>yes</v>
      </c>
      <c r="G11" s="19" t="str">
        <f t="shared" si="7"/>
        <v>yes</v>
      </c>
      <c r="H11" s="19" t="str">
        <f t="shared" si="7"/>
        <v>yes</v>
      </c>
      <c r="I11" s="19" t="str">
        <f t="shared" si="7"/>
        <v>yes</v>
      </c>
      <c r="J11" s="19" t="str">
        <f t="shared" si="7"/>
        <v>yes</v>
      </c>
      <c r="K11" s="19" t="str">
        <f t="shared" si="7"/>
        <v>yes</v>
      </c>
      <c r="L11" s="19" t="str">
        <f t="shared" si="7"/>
        <v>yes</v>
      </c>
      <c r="M11" s="19" t="str">
        <f t="shared" si="7"/>
        <v>yes</v>
      </c>
      <c r="N11" s="19" t="str">
        <f t="shared" si="7"/>
        <v>yes</v>
      </c>
      <c r="O11" s="19" t="str">
        <f t="shared" si="7"/>
        <v>yes</v>
      </c>
      <c r="P11" s="19" t="str">
        <f t="shared" si="7"/>
        <v>yes</v>
      </c>
      <c r="Q11" s="19" t="str">
        <f t="shared" si="7"/>
        <v>yes</v>
      </c>
      <c r="R11" s="19" t="str">
        <f t="shared" si="7"/>
        <v>yes</v>
      </c>
      <c r="S11" s="19" t="str">
        <f t="shared" si="7"/>
        <v>yes</v>
      </c>
      <c r="T11" s="19" t="str">
        <f t="shared" si="7"/>
        <v>yes</v>
      </c>
      <c r="U11" s="19" t="str">
        <f t="shared" si="7"/>
        <v>yes</v>
      </c>
      <c r="V11" s="19" t="str">
        <f t="shared" si="7"/>
        <v>no</v>
      </c>
      <c r="W11" s="19" t="str">
        <f>IF(ISERROR(W315/W358),"no","yes")</f>
        <v>no</v>
      </c>
      <c r="X11" s="19" t="str">
        <f>IF(ISERROR(X315/X358),"no","yes")</f>
        <v>no</v>
      </c>
      <c r="Y11" s="19" t="str">
        <f>IF(ISERROR(Y315/Y358),"no","yes")</f>
        <v>no</v>
      </c>
      <c r="Z11" s="19"/>
      <c r="AA11" s="25"/>
      <c r="AB11" s="19"/>
      <c r="AC11" s="19"/>
      <c r="AY11" s="19"/>
    </row>
    <row r="12" spans="2:52" hidden="1" outlineLevel="1">
      <c r="C12" s="5" t="s">
        <v>348</v>
      </c>
      <c r="D12" s="25" t="str">
        <f t="shared" ref="D12:Y12" ca="1" si="8">IF(TODAY()&gt;DATE(D16,MONTH($C$19)+1,1-1),"no","yes")</f>
        <v>no</v>
      </c>
      <c r="E12" s="25" t="str">
        <f t="shared" ca="1" si="8"/>
        <v>no</v>
      </c>
      <c r="F12" s="25" t="str">
        <f t="shared" ca="1" si="8"/>
        <v>no</v>
      </c>
      <c r="G12" s="25" t="str">
        <f t="shared" ca="1" si="8"/>
        <v>no</v>
      </c>
      <c r="H12" s="25" t="str">
        <f t="shared" ca="1" si="8"/>
        <v>no</v>
      </c>
      <c r="I12" s="25" t="str">
        <f t="shared" ca="1" si="8"/>
        <v>no</v>
      </c>
      <c r="J12" s="25" t="str">
        <f t="shared" ca="1" si="8"/>
        <v>no</v>
      </c>
      <c r="K12" s="25" t="str">
        <f t="shared" ca="1" si="8"/>
        <v>no</v>
      </c>
      <c r="L12" s="25" t="str">
        <f t="shared" ca="1" si="8"/>
        <v>no</v>
      </c>
      <c r="M12" s="25" t="str">
        <f t="shared" ca="1" si="8"/>
        <v>no</v>
      </c>
      <c r="N12" s="25" t="str">
        <f t="shared" ca="1" si="8"/>
        <v>no</v>
      </c>
      <c r="O12" s="25" t="str">
        <f t="shared" ca="1" si="8"/>
        <v>no</v>
      </c>
      <c r="P12" s="25" t="str">
        <f t="shared" ca="1" si="8"/>
        <v>no</v>
      </c>
      <c r="Q12" s="25" t="str">
        <f t="shared" ca="1" si="8"/>
        <v>no</v>
      </c>
      <c r="R12" s="25" t="str">
        <f t="shared" ca="1" si="8"/>
        <v>no</v>
      </c>
      <c r="S12" s="25" t="str">
        <f t="shared" ca="1" si="8"/>
        <v>no</v>
      </c>
      <c r="T12" s="25" t="str">
        <f t="shared" ca="1" si="8"/>
        <v>no</v>
      </c>
      <c r="U12" s="25" t="str">
        <f t="shared" ca="1" si="8"/>
        <v>no</v>
      </c>
      <c r="V12" s="25" t="str">
        <f t="shared" ca="1" si="8"/>
        <v>no</v>
      </c>
      <c r="W12" s="25" t="str">
        <f t="shared" ca="1" si="8"/>
        <v>no</v>
      </c>
      <c r="X12" s="25" t="str">
        <f t="shared" ca="1" si="8"/>
        <v>yes</v>
      </c>
      <c r="Y12" s="25" t="str">
        <f t="shared" ca="1" si="8"/>
        <v>yes</v>
      </c>
      <c r="Z12" s="25"/>
      <c r="AA12" s="25"/>
      <c r="AB12" s="25"/>
      <c r="AC12" s="25"/>
      <c r="AY12" s="25"/>
    </row>
    <row r="13" spans="2:52" hidden="1" outlineLevel="1">
      <c r="C13" s="5" t="s">
        <v>363</v>
      </c>
      <c r="D13" s="25" t="str">
        <f>IF(AND(DATE(D16,MONTH($C$19)+1,1-1)&gt;DATE(YEAR($C$19),MONTH($C$19)+1,1-1),ISNUMBER(#REF!)),"yes","no")</f>
        <v>no</v>
      </c>
      <c r="E13" s="25" t="str">
        <f>IF(AND(DATE(E16,MONTH($C$19)+1,1-1)&gt;DATE(YEAR($C$19),MONTH($C$19)+1,1-1),ISNUMBER(AE19)),"yes","no")</f>
        <v>no</v>
      </c>
      <c r="F13" s="25" t="str">
        <f>IF(AND(DATE(F16,MONTH($C$19)+1,1-1)&gt;DATE(YEAR($C$19),MONTH($C$19)+1,1-1),ISNUMBER(AF19)),"yes","no")</f>
        <v>no</v>
      </c>
      <c r="G13" s="25" t="str">
        <f>IF(AND(DATE(G16,MONTH($C$19)+1,1-1)&gt;DATE(YEAR($C$19),MONTH($C$19)+1,1-1),ISNUMBER(AG19)),"yes","no")</f>
        <v>no</v>
      </c>
      <c r="H13" s="25" t="str">
        <f>IF(AND(DATE(H16,MONTH($C$19)+1,1-1)&gt;DATE(YEAR($C$19),MONTH($C$19)+1,1-1),ISNUMBER(AH19)),"yes","no")</f>
        <v>no</v>
      </c>
      <c r="I13" s="25" t="str">
        <f>IF(AND(DATE(I16,MONTH($C$19)+1,1-1)&gt;DATE(YEAR($C$19),MONTH($C$19)+1,1-1),ISNUMBER(AI19)),"yes","no")</f>
        <v>no</v>
      </c>
      <c r="J13" s="25" t="str">
        <f t="shared" ref="J13:V13" si="9">IF(AND(DATE(J16,MONTH($C$19)+1,1-1)&gt;DATE(YEAR($C$19),MONTH($C$19)+1,1-1),ISNUMBER(AH19)),"yes","no")</f>
        <v>no</v>
      </c>
      <c r="K13" s="25" t="str">
        <f t="shared" si="9"/>
        <v>no</v>
      </c>
      <c r="L13" s="25" t="str">
        <f t="shared" si="9"/>
        <v>no</v>
      </c>
      <c r="M13" s="25" t="str">
        <f t="shared" si="9"/>
        <v>no</v>
      </c>
      <c r="N13" s="25" t="str">
        <f t="shared" si="9"/>
        <v>no</v>
      </c>
      <c r="O13" s="25" t="str">
        <f t="shared" si="9"/>
        <v>no</v>
      </c>
      <c r="P13" s="25" t="str">
        <f t="shared" si="9"/>
        <v>no</v>
      </c>
      <c r="Q13" s="25" t="str">
        <f t="shared" si="9"/>
        <v>no</v>
      </c>
      <c r="R13" s="25" t="str">
        <f t="shared" si="9"/>
        <v>no</v>
      </c>
      <c r="S13" s="25" t="str">
        <f t="shared" si="9"/>
        <v>no</v>
      </c>
      <c r="T13" s="25" t="str">
        <f t="shared" si="9"/>
        <v>no</v>
      </c>
      <c r="U13" s="25" t="str">
        <f t="shared" si="9"/>
        <v>no</v>
      </c>
      <c r="V13" s="25" t="str">
        <f t="shared" si="9"/>
        <v>yes</v>
      </c>
      <c r="W13" s="25" t="str">
        <f>IF(AND(DATE(W16,MONTH($C$19)+1,1-1)&gt;DATE(YEAR($C$19),MONTH($C$19)+1,1-1),ISNUMBER(AU19)),"yes","no")</f>
        <v>yes</v>
      </c>
      <c r="X13" s="25" t="str">
        <f>IF(AND(DATE(X16,MONTH($C$19)+1,1-1)&gt;DATE(YEAR($C$19),MONTH($C$19)+1,1-1),ISNUMBER(AV19)),"yes","no")</f>
        <v>yes</v>
      </c>
      <c r="Y13" s="25" t="str">
        <f>IF(AND(DATE(Y16,MONTH($C$19)+1,1-1)&gt;DATE(YEAR($C$19),MONTH($C$19)+1,1-1),ISNUMBER(AW19)),"yes","no")</f>
        <v>yes</v>
      </c>
      <c r="Z13" s="25"/>
      <c r="AA13" s="25"/>
      <c r="AB13" s="25"/>
      <c r="AC13" s="25"/>
      <c r="AY13" s="25"/>
    </row>
    <row r="14" spans="2:52" collapsed="1">
      <c r="D14" s="20" t="str">
        <f t="shared" ref="D14:Y14" si="10">"FY"&amp;D16</f>
        <v>FY2004</v>
      </c>
      <c r="E14" s="20" t="str">
        <f t="shared" si="10"/>
        <v>FY2005</v>
      </c>
      <c r="F14" s="20" t="str">
        <f t="shared" si="10"/>
        <v>FY2006</v>
      </c>
      <c r="G14" s="20" t="str">
        <f t="shared" si="10"/>
        <v>FY2007</v>
      </c>
      <c r="H14" s="20" t="str">
        <f t="shared" si="10"/>
        <v>FY2008</v>
      </c>
      <c r="I14" s="20" t="str">
        <f t="shared" si="10"/>
        <v>FY2009</v>
      </c>
      <c r="J14" s="20" t="str">
        <f t="shared" si="10"/>
        <v>FY2010</v>
      </c>
      <c r="K14" s="20" t="str">
        <f t="shared" si="10"/>
        <v>FY2011</v>
      </c>
      <c r="L14" s="20" t="str">
        <f t="shared" si="10"/>
        <v>FY2012</v>
      </c>
      <c r="M14" s="20" t="str">
        <f t="shared" si="10"/>
        <v>FY2013</v>
      </c>
      <c r="N14" s="20" t="str">
        <f t="shared" si="10"/>
        <v>FY2014</v>
      </c>
      <c r="O14" s="20" t="str">
        <f t="shared" si="10"/>
        <v>FY2015</v>
      </c>
      <c r="P14" s="20" t="str">
        <f t="shared" si="10"/>
        <v>FY2016</v>
      </c>
      <c r="Q14" s="20" t="str">
        <f t="shared" si="10"/>
        <v>FY2017</v>
      </c>
      <c r="R14" s="20" t="str">
        <f t="shared" si="10"/>
        <v>FY2018</v>
      </c>
      <c r="S14" s="20" t="str">
        <f t="shared" si="10"/>
        <v>FY2019</v>
      </c>
      <c r="T14" s="20" t="str">
        <f t="shared" si="10"/>
        <v>FY2020</v>
      </c>
      <c r="U14" s="20" t="str">
        <f t="shared" si="10"/>
        <v>FY2021</v>
      </c>
      <c r="V14" s="20" t="str">
        <f t="shared" si="10"/>
        <v>FY2022</v>
      </c>
      <c r="W14" s="20" t="str">
        <f t="shared" si="10"/>
        <v>FY2023</v>
      </c>
      <c r="X14" s="20" t="str">
        <f t="shared" si="10"/>
        <v>FY2024</v>
      </c>
      <c r="Y14" s="20" t="str">
        <f t="shared" si="10"/>
        <v>FY2025</v>
      </c>
      <c r="AA14" s="25"/>
      <c r="AJ14" s="20" t="str">
        <f t="shared" ref="AJ14:AW14" si="11">AJ16&amp;"E"</f>
        <v>2012E</v>
      </c>
      <c r="AK14" s="20" t="str">
        <f t="shared" si="11"/>
        <v>2013E</v>
      </c>
      <c r="AL14" s="20" t="str">
        <f t="shared" si="11"/>
        <v>2014E</v>
      </c>
      <c r="AM14" s="20" t="str">
        <f t="shared" si="11"/>
        <v>2015E</v>
      </c>
      <c r="AN14" s="20" t="str">
        <f t="shared" si="11"/>
        <v>2016E</v>
      </c>
      <c r="AO14" s="20" t="str">
        <f t="shared" si="11"/>
        <v>2017E</v>
      </c>
      <c r="AP14" s="20" t="str">
        <f t="shared" si="11"/>
        <v>2018E</v>
      </c>
      <c r="AQ14" s="20" t="str">
        <f t="shared" si="11"/>
        <v>2019E</v>
      </c>
      <c r="AR14" s="20" t="str">
        <f t="shared" si="11"/>
        <v>2020E</v>
      </c>
      <c r="AS14" s="20" t="str">
        <f t="shared" si="11"/>
        <v>2021E</v>
      </c>
      <c r="AT14" s="20" t="str">
        <f t="shared" si="11"/>
        <v>2022E</v>
      </c>
      <c r="AU14" s="20" t="str">
        <f t="shared" si="11"/>
        <v>2023E</v>
      </c>
      <c r="AV14" s="20" t="str">
        <f t="shared" si="11"/>
        <v>2024E</v>
      </c>
      <c r="AW14" s="20" t="str">
        <f t="shared" si="11"/>
        <v>2025E</v>
      </c>
      <c r="AX14" s="20"/>
    </row>
    <row r="15" spans="2:52" ht="13.15">
      <c r="D15" s="8" t="str">
        <f t="shared" ref="D15:Y15" si="12">D8</f>
        <v>A</v>
      </c>
      <c r="E15" s="8" t="str">
        <f t="shared" si="12"/>
        <v>A</v>
      </c>
      <c r="F15" s="8" t="str">
        <f t="shared" si="12"/>
        <v>A</v>
      </c>
      <c r="G15" s="8" t="str">
        <f t="shared" si="12"/>
        <v>A</v>
      </c>
      <c r="H15" s="8" t="str">
        <f t="shared" si="12"/>
        <v>A</v>
      </c>
      <c r="I15" s="8" t="str">
        <f t="shared" si="12"/>
        <v>A</v>
      </c>
      <c r="J15" s="8" t="str">
        <f t="shared" si="12"/>
        <v>A</v>
      </c>
      <c r="K15" s="8" t="str">
        <f t="shared" si="12"/>
        <v>A</v>
      </c>
      <c r="L15" s="8" t="str">
        <f t="shared" si="12"/>
        <v>A</v>
      </c>
      <c r="M15" s="8" t="str">
        <f t="shared" si="12"/>
        <v>A</v>
      </c>
      <c r="N15" s="8" t="str">
        <f t="shared" si="12"/>
        <v>A</v>
      </c>
      <c r="O15" s="8" t="str">
        <f t="shared" si="12"/>
        <v>A</v>
      </c>
      <c r="P15" s="8" t="str">
        <f t="shared" si="12"/>
        <v>A</v>
      </c>
      <c r="Q15" s="8" t="str">
        <f t="shared" si="12"/>
        <v>A</v>
      </c>
      <c r="R15" s="8" t="str">
        <f t="shared" si="12"/>
        <v>A</v>
      </c>
      <c r="S15" s="8" t="str">
        <f t="shared" si="12"/>
        <v>A</v>
      </c>
      <c r="T15" s="8" t="str">
        <f t="shared" si="12"/>
        <v>A</v>
      </c>
      <c r="U15" s="8" t="str">
        <f t="shared" si="12"/>
        <v>A</v>
      </c>
      <c r="V15" s="8" t="str">
        <f t="shared" si="12"/>
        <v>E</v>
      </c>
      <c r="W15" s="8" t="str">
        <f t="shared" si="12"/>
        <v>E</v>
      </c>
      <c r="X15" s="8" t="str">
        <f t="shared" si="12"/>
        <v>E</v>
      </c>
      <c r="Y15" s="8" t="str">
        <f t="shared" si="12"/>
        <v>E</v>
      </c>
      <c r="Z15" s="8"/>
      <c r="AA15" s="25"/>
      <c r="AY15" s="8"/>
    </row>
    <row r="16" spans="2:52" ht="13.15">
      <c r="D16" s="8">
        <f t="shared" ref="D16:U16" si="13">YEAR(D6)</f>
        <v>2004</v>
      </c>
      <c r="E16" s="8">
        <f t="shared" si="13"/>
        <v>2005</v>
      </c>
      <c r="F16" s="8">
        <f t="shared" si="13"/>
        <v>2006</v>
      </c>
      <c r="G16" s="8">
        <f t="shared" si="13"/>
        <v>2007</v>
      </c>
      <c r="H16" s="8">
        <f t="shared" si="13"/>
        <v>2008</v>
      </c>
      <c r="I16" s="8">
        <f t="shared" si="13"/>
        <v>2009</v>
      </c>
      <c r="J16" s="8">
        <f t="shared" si="13"/>
        <v>2010</v>
      </c>
      <c r="K16" s="8">
        <f t="shared" si="13"/>
        <v>2011</v>
      </c>
      <c r="L16" s="8">
        <f t="shared" si="13"/>
        <v>2012</v>
      </c>
      <c r="M16" s="8">
        <f t="shared" si="13"/>
        <v>2013</v>
      </c>
      <c r="N16" s="8">
        <f t="shared" si="13"/>
        <v>2014</v>
      </c>
      <c r="O16" s="8">
        <f t="shared" si="13"/>
        <v>2015</v>
      </c>
      <c r="P16" s="8">
        <f t="shared" si="13"/>
        <v>2016</v>
      </c>
      <c r="Q16" s="8">
        <f t="shared" si="13"/>
        <v>2017</v>
      </c>
      <c r="R16" s="8">
        <f t="shared" si="13"/>
        <v>2018</v>
      </c>
      <c r="S16" s="8">
        <f t="shared" si="13"/>
        <v>2019</v>
      </c>
      <c r="T16" s="8">
        <f t="shared" si="13"/>
        <v>2020</v>
      </c>
      <c r="U16" s="8">
        <f t="shared" si="13"/>
        <v>2021</v>
      </c>
      <c r="V16" s="8">
        <f>YEAR(V6)/1</f>
        <v>2022</v>
      </c>
      <c r="W16" s="8">
        <f>YEAR(W6)</f>
        <v>2023</v>
      </c>
      <c r="X16" s="8">
        <f>YEAR(X6)</f>
        <v>2024</v>
      </c>
      <c r="Y16" s="8">
        <f>YEAR(Y6)</f>
        <v>2025</v>
      </c>
      <c r="Z16" s="8"/>
      <c r="AA16" s="25"/>
      <c r="AE16" s="8"/>
      <c r="AF16" s="9"/>
      <c r="AG16" s="9"/>
      <c r="AH16" s="5" t="s">
        <v>126</v>
      </c>
      <c r="AJ16" s="7">
        <f t="shared" ref="AJ16:AW16" si="14">SUBSTITUTE(AJ4,"Y","")+2000</f>
        <v>2012</v>
      </c>
      <c r="AK16" s="7">
        <f t="shared" si="14"/>
        <v>2013</v>
      </c>
      <c r="AL16" s="7">
        <f t="shared" si="14"/>
        <v>2014</v>
      </c>
      <c r="AM16" s="7">
        <f t="shared" si="14"/>
        <v>2015</v>
      </c>
      <c r="AN16" s="7">
        <f t="shared" si="14"/>
        <v>2016</v>
      </c>
      <c r="AO16" s="7">
        <f t="shared" si="14"/>
        <v>2017</v>
      </c>
      <c r="AP16" s="7">
        <f t="shared" si="14"/>
        <v>2018</v>
      </c>
      <c r="AQ16" s="7">
        <f t="shared" si="14"/>
        <v>2019</v>
      </c>
      <c r="AR16" s="7">
        <f t="shared" si="14"/>
        <v>2020</v>
      </c>
      <c r="AS16" s="7">
        <f t="shared" si="14"/>
        <v>2021</v>
      </c>
      <c r="AT16" s="7">
        <f t="shared" si="14"/>
        <v>2022</v>
      </c>
      <c r="AU16" s="7">
        <f t="shared" si="14"/>
        <v>2023</v>
      </c>
      <c r="AV16" s="7">
        <f t="shared" si="14"/>
        <v>2024</v>
      </c>
      <c r="AW16" s="7">
        <f t="shared" si="14"/>
        <v>2025</v>
      </c>
      <c r="AX16" s="7"/>
      <c r="AY16" s="8"/>
      <c r="AZ16" s="5"/>
    </row>
    <row r="17" spans="2:53" ht="13.15">
      <c r="B17" s="5" t="s">
        <v>4</v>
      </c>
      <c r="C17" s="20" t="s">
        <v>3801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25"/>
      <c r="AD17" s="12" t="s">
        <v>1584</v>
      </c>
      <c r="AG17" s="9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5"/>
    </row>
    <row r="18" spans="2:53" ht="13.15" hidden="1" outlineLevel="1">
      <c r="B18" s="5" t="s">
        <v>10</v>
      </c>
      <c r="C18" s="20" t="s">
        <v>3809</v>
      </c>
      <c r="D18" s="7"/>
      <c r="E18" s="7"/>
      <c r="F18" s="7"/>
      <c r="G18" s="7"/>
      <c r="H18" s="7"/>
      <c r="I18" s="7"/>
      <c r="J18" s="7"/>
      <c r="K18" s="7" t="s">
        <v>342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25"/>
      <c r="AD18" s="12"/>
      <c r="AE18" s="30"/>
      <c r="AF18" s="30"/>
      <c r="AG18" s="9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7"/>
      <c r="AZ18" s="15"/>
    </row>
    <row r="19" spans="2:53" ht="13.15" hidden="1" outlineLevel="1">
      <c r="B19" s="5" t="s">
        <v>13</v>
      </c>
      <c r="C19" s="28">
        <v>44208</v>
      </c>
      <c r="D19" s="59"/>
      <c r="E19" s="7"/>
      <c r="F19" s="7"/>
      <c r="G19" s="7"/>
      <c r="H19" s="7"/>
      <c r="I19" s="7"/>
      <c r="J19" s="7"/>
      <c r="M19" s="97"/>
      <c r="N19" s="5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5"/>
      <c r="AD19" s="33" t="s">
        <v>1587</v>
      </c>
      <c r="AE19" s="11"/>
      <c r="AF19" s="11"/>
      <c r="AG19" s="76">
        <v>1</v>
      </c>
      <c r="AH19" s="5" t="s">
        <v>1552</v>
      </c>
      <c r="AK19" s="16"/>
      <c r="AL19" s="16"/>
      <c r="AM19" s="16"/>
      <c r="AN19" s="16"/>
      <c r="AO19" s="16"/>
      <c r="AP19" s="16"/>
      <c r="AQ19" s="16">
        <v>250082.14300000001</v>
      </c>
      <c r="AR19" s="16">
        <v>221235.09099999999</v>
      </c>
      <c r="AS19" s="16">
        <v>247553.391</v>
      </c>
      <c r="AT19" s="16">
        <v>278170.7</v>
      </c>
      <c r="AU19" s="16">
        <v>290361.09999999998</v>
      </c>
      <c r="AV19" s="16">
        <v>298282.533</v>
      </c>
      <c r="AW19" s="16">
        <v>314244.33299999998</v>
      </c>
      <c r="AX19" s="16"/>
      <c r="AY19" s="23"/>
      <c r="BA19" s="5" t="s">
        <v>144</v>
      </c>
    </row>
    <row r="20" spans="2:53" ht="13.15" hidden="1" outlineLevel="1">
      <c r="B20" s="5" t="s">
        <v>14</v>
      </c>
      <c r="C20" s="20" t="s">
        <v>3629</v>
      </c>
      <c r="D20" s="7"/>
      <c r="E20" s="7"/>
      <c r="F20" s="7"/>
      <c r="G20" s="7"/>
      <c r="H20" s="7"/>
      <c r="I20" s="7"/>
      <c r="J20" s="7"/>
      <c r="K20" s="7" t="s">
        <v>343</v>
      </c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25"/>
      <c r="AD20" s="5" t="s">
        <v>1586</v>
      </c>
      <c r="AG20" s="9"/>
      <c r="AJ20" s="25"/>
      <c r="AK20" s="16"/>
      <c r="AL20" s="16"/>
      <c r="AM20" s="16"/>
      <c r="AN20" s="16"/>
      <c r="AO20" s="16"/>
      <c r="AP20" s="16"/>
      <c r="AQ20" s="16">
        <v>37704.364000000001</v>
      </c>
      <c r="AR20" s="16">
        <v>31383.842000000001</v>
      </c>
      <c r="AS20" s="16">
        <v>45666.142999999996</v>
      </c>
      <c r="AT20" s="16">
        <v>44369.610999999997</v>
      </c>
      <c r="AU20" s="16">
        <v>45314.167000000001</v>
      </c>
      <c r="AV20" s="16">
        <v>45844.582999999999</v>
      </c>
      <c r="AW20" s="16">
        <v>49667</v>
      </c>
      <c r="AX20" s="16"/>
      <c r="AY20" s="7"/>
      <c r="BA20" s="5" t="s">
        <v>140</v>
      </c>
    </row>
    <row r="21" spans="2:53" ht="13.15" hidden="1" outlineLevel="1">
      <c r="B21" s="5" t="s">
        <v>415</v>
      </c>
      <c r="C21" s="5">
        <v>142</v>
      </c>
      <c r="D21" s="7"/>
      <c r="F21" s="7"/>
      <c r="G21" s="7"/>
      <c r="H21" s="7"/>
      <c r="I21" s="7"/>
      <c r="J21" s="7"/>
      <c r="K21" s="23"/>
      <c r="L21" s="84" t="s">
        <v>124</v>
      </c>
      <c r="M21" s="5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25"/>
      <c r="AG21" s="9"/>
      <c r="AK21" s="16"/>
      <c r="AL21" s="16"/>
      <c r="AM21" s="16"/>
      <c r="AN21" s="16"/>
      <c r="AO21" s="16"/>
      <c r="AP21" s="16"/>
      <c r="AQ21" s="16">
        <v>18541.25</v>
      </c>
      <c r="AR21" s="16">
        <v>9924.857</v>
      </c>
      <c r="AS21" s="16">
        <v>18498.857</v>
      </c>
      <c r="AT21" s="16">
        <v>22090.618999999999</v>
      </c>
      <c r="AU21" s="16">
        <v>22221</v>
      </c>
      <c r="AV21" s="16">
        <v>23652.562999999998</v>
      </c>
      <c r="AW21" s="16">
        <v>25526.2</v>
      </c>
      <c r="AX21" s="16"/>
      <c r="AY21" s="7"/>
      <c r="BA21" s="5" t="s">
        <v>148</v>
      </c>
    </row>
    <row r="22" spans="2:53" ht="13.15" hidden="1" outlineLevel="1">
      <c r="B22" s="5" t="s">
        <v>416</v>
      </c>
      <c r="C22" s="5">
        <v>142</v>
      </c>
      <c r="D22" s="7"/>
      <c r="E22" s="7"/>
      <c r="F22" s="7"/>
      <c r="G22" s="7"/>
      <c r="H22" s="7"/>
      <c r="I22" s="7"/>
      <c r="J22" s="7"/>
      <c r="K22" s="7"/>
      <c r="L22" s="51" t="s">
        <v>341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25"/>
      <c r="AG22" s="9"/>
      <c r="AK22" s="16"/>
      <c r="AL22" s="16"/>
      <c r="AM22" s="16"/>
      <c r="AN22" s="16"/>
      <c r="AO22" s="16"/>
      <c r="AP22" s="16"/>
      <c r="AQ22" s="16">
        <v>18134.417000000001</v>
      </c>
      <c r="AR22" s="16">
        <v>9924.857</v>
      </c>
      <c r="AS22" s="16">
        <v>18498.857</v>
      </c>
      <c r="AT22" s="16">
        <v>22090.618999999999</v>
      </c>
      <c r="AU22" s="16">
        <v>22221</v>
      </c>
      <c r="AV22" s="16">
        <v>23652.562999999998</v>
      </c>
      <c r="AW22" s="16">
        <v>25526.2</v>
      </c>
      <c r="AX22" s="16"/>
      <c r="AY22" s="7"/>
      <c r="BA22" s="5" t="s">
        <v>151</v>
      </c>
    </row>
    <row r="23" spans="2:53" ht="13.5" hidden="1" outlineLevel="1" thickBot="1">
      <c r="B23" s="5" t="s">
        <v>418</v>
      </c>
      <c r="C23" s="5">
        <v>83728.445699999997</v>
      </c>
      <c r="D23" s="7"/>
      <c r="E23" s="5" t="s">
        <v>118</v>
      </c>
      <c r="F23" s="5"/>
      <c r="I23" s="7"/>
      <c r="J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25"/>
      <c r="AG23" s="9"/>
      <c r="AJ23" s="25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  <c r="AW23" s="16"/>
      <c r="AX23" s="16"/>
      <c r="AY23" s="7"/>
    </row>
    <row r="24" spans="2:53" ht="13.5" hidden="1" outlineLevel="1" thickBot="1">
      <c r="B24" s="5" t="s">
        <v>417</v>
      </c>
      <c r="C24" s="5">
        <v>83728.445699999997</v>
      </c>
      <c r="D24" s="7"/>
      <c r="E24" s="26">
        <v>0</v>
      </c>
      <c r="F24" s="5" t="s">
        <v>119</v>
      </c>
      <c r="I24" s="7"/>
      <c r="J24" s="7"/>
      <c r="M24" s="23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25"/>
      <c r="AG24" s="9"/>
      <c r="AH24" s="23"/>
      <c r="AJ24" s="25"/>
      <c r="AK24" s="16"/>
      <c r="AL24" s="16"/>
      <c r="AM24" s="16"/>
      <c r="AN24" s="16"/>
      <c r="AO24" s="16"/>
      <c r="AP24" s="16"/>
      <c r="AQ24" s="16">
        <v>-22787.832999999999</v>
      </c>
      <c r="AR24" s="16">
        <v>-20301</v>
      </c>
      <c r="AS24" s="16">
        <v>-19339.909</v>
      </c>
      <c r="AT24" s="16">
        <v>-25245.143</v>
      </c>
      <c r="AU24" s="16">
        <v>-27233.388999999999</v>
      </c>
      <c r="AV24" s="16">
        <v>-30756.726999999999</v>
      </c>
      <c r="AW24" s="16">
        <v>-33433.5</v>
      </c>
      <c r="AX24" s="16"/>
      <c r="AY24" s="7"/>
      <c r="BA24" s="5" t="s">
        <v>152</v>
      </c>
    </row>
    <row r="25" spans="2:53" ht="13.5" hidden="1" outlineLevel="1" thickBot="1">
      <c r="D25" s="7"/>
      <c r="E25" s="26">
        <v>0</v>
      </c>
      <c r="F25" s="5" t="s">
        <v>122</v>
      </c>
      <c r="I25" s="7"/>
      <c r="J25" s="7"/>
      <c r="AA25" s="25"/>
      <c r="AG25" s="9"/>
      <c r="AJ25" s="25">
        <v>-70.75</v>
      </c>
      <c r="AK25" s="16"/>
      <c r="AL25" s="16"/>
      <c r="AM25" s="16"/>
      <c r="AN25" s="16"/>
      <c r="AO25" s="16"/>
      <c r="AP25" s="16"/>
      <c r="AQ25" s="16">
        <v>-20607.214</v>
      </c>
      <c r="AR25" s="16">
        <v>-16145.6</v>
      </c>
      <c r="AS25" s="16">
        <v>-16201.5</v>
      </c>
      <c r="AT25" s="16">
        <v>-19611.544999999998</v>
      </c>
      <c r="AU25" s="16">
        <v>-20830</v>
      </c>
      <c r="AV25" s="16">
        <v>-22177.332999999999</v>
      </c>
      <c r="AW25" s="16">
        <v>-23946.332999999999</v>
      </c>
      <c r="AX25" s="16"/>
      <c r="BA25" s="5" t="s">
        <v>397</v>
      </c>
    </row>
    <row r="26" spans="2:53" ht="13.15" hidden="1" outlineLevel="1" thickBot="1">
      <c r="D26" s="5"/>
      <c r="E26" s="26"/>
      <c r="F26" s="5" t="s">
        <v>123</v>
      </c>
      <c r="I26" s="5"/>
      <c r="J26" s="23"/>
      <c r="AA26" s="25"/>
      <c r="AB26" s="5"/>
      <c r="AC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Z26" s="5"/>
    </row>
    <row r="27" spans="2:53" hidden="1" outlineLevel="1">
      <c r="D27" s="5"/>
      <c r="E27" s="5"/>
      <c r="F27" s="5"/>
      <c r="G27" s="5"/>
      <c r="H27" s="5"/>
      <c r="I27" s="5"/>
      <c r="J27" s="23"/>
      <c r="N27" s="23"/>
      <c r="O27" s="5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5"/>
      <c r="AB27" s="5"/>
      <c r="AC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3"/>
      <c r="AZ27" s="5"/>
    </row>
    <row r="28" spans="2:53" collapsed="1">
      <c r="AA28" s="25"/>
    </row>
    <row r="29" spans="2:53" ht="13.15">
      <c r="C29" s="12" t="s">
        <v>292</v>
      </c>
      <c r="AA29" s="25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Z29" s="5"/>
    </row>
    <row r="30" spans="2:53">
      <c r="AA30" s="25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Z30" s="5"/>
    </row>
    <row r="31" spans="2:53">
      <c r="C31" s="5" t="s">
        <v>132</v>
      </c>
      <c r="D31" s="32">
        <f t="shared" ref="D31:Y31" si="15">IFERROR(D151/D$145,"…")</f>
        <v>0.11240628126299698</v>
      </c>
      <c r="E31" s="32">
        <f t="shared" si="15"/>
        <v>0.11623000377881346</v>
      </c>
      <c r="F31" s="32">
        <f t="shared" si="15"/>
        <v>0.11297258641239571</v>
      </c>
      <c r="G31" s="32">
        <f t="shared" si="15"/>
        <v>0.14689109892834512</v>
      </c>
      <c r="H31" s="32">
        <f t="shared" si="15"/>
        <v>0.12950759173344581</v>
      </c>
      <c r="I31" s="32">
        <f t="shared" si="15"/>
        <v>0.10187570707406809</v>
      </c>
      <c r="J31" s="106">
        <f t="shared" si="15"/>
        <v>0.13580295566502462</v>
      </c>
      <c r="K31" s="106">
        <f t="shared" si="15"/>
        <v>0.1355868379597959</v>
      </c>
      <c r="L31" s="106">
        <f t="shared" si="15"/>
        <v>0.12773775664846684</v>
      </c>
      <c r="M31" s="106">
        <f t="shared" si="15"/>
        <v>0.13360438969173685</v>
      </c>
      <c r="N31" s="106">
        <f t="shared" si="15"/>
        <v>0.14564996196742042</v>
      </c>
      <c r="O31" s="106">
        <f t="shared" si="15"/>
        <v>7.3078221405397298E-2</v>
      </c>
      <c r="P31" s="106">
        <f t="shared" si="15"/>
        <v>0.12839501627030336</v>
      </c>
      <c r="Q31" s="106">
        <f t="shared" si="15"/>
        <v>0.15540007456151758</v>
      </c>
      <c r="R31" s="106">
        <f t="shared" si="15"/>
        <v>0.15395867695008247</v>
      </c>
      <c r="S31" s="106">
        <f t="shared" si="15"/>
        <v>0.15445390924348459</v>
      </c>
      <c r="T31" s="106">
        <f t="shared" si="15"/>
        <v>0.16133504423825848</v>
      </c>
      <c r="U31" s="106">
        <f t="shared" si="15"/>
        <v>0.18327338129496404</v>
      </c>
      <c r="V31" s="106">
        <f t="shared" si="15"/>
        <v>0.15950497662047081</v>
      </c>
      <c r="W31" s="106">
        <f t="shared" si="15"/>
        <v>0.15606142489472594</v>
      </c>
      <c r="X31" s="106">
        <f t="shared" si="15"/>
        <v>0.1536951645774042</v>
      </c>
      <c r="Y31" s="106">
        <f t="shared" si="15"/>
        <v>0.15805217400690566</v>
      </c>
      <c r="Z31" s="106"/>
      <c r="AA31" s="25"/>
      <c r="AB31" s="31"/>
      <c r="AC31" s="31"/>
      <c r="AE31" s="30"/>
      <c r="AF31" s="30"/>
      <c r="AJ31" s="31"/>
      <c r="AY31" s="106"/>
      <c r="AZ31" s="27"/>
    </row>
    <row r="32" spans="2:53">
      <c r="C32" s="5" t="s">
        <v>133</v>
      </c>
      <c r="D32" s="32">
        <f t="shared" ref="D32:T32" si="16">IFERROR(D179/D$145,"…")</f>
        <v>5.6989984600339466E-2</v>
      </c>
      <c r="E32" s="32">
        <f t="shared" si="16"/>
        <v>6.1510685644707561E-2</v>
      </c>
      <c r="F32" s="32">
        <f t="shared" si="16"/>
        <v>6.7337306317044099E-2</v>
      </c>
      <c r="G32" s="32">
        <f t="shared" si="16"/>
        <v>0.10253725997961376</v>
      </c>
      <c r="H32" s="32">
        <f t="shared" si="16"/>
        <v>8.8868972304231686E-2</v>
      </c>
      <c r="I32" s="32">
        <f t="shared" si="16"/>
        <v>5.8391246066529137E-2</v>
      </c>
      <c r="J32" s="106">
        <f t="shared" si="16"/>
        <v>9.8514285714285721E-2</v>
      </c>
      <c r="K32" s="106">
        <f t="shared" si="16"/>
        <v>0.10472771547098289</v>
      </c>
      <c r="L32" s="106">
        <f t="shared" si="16"/>
        <v>9.6758288525815361E-2</v>
      </c>
      <c r="M32" s="106">
        <f t="shared" si="16"/>
        <v>9.9651281426548291E-2</v>
      </c>
      <c r="N32" s="106">
        <f t="shared" si="16"/>
        <v>0.10856078791650614</v>
      </c>
      <c r="O32" s="106">
        <f t="shared" si="16"/>
        <v>1.1730397764566886E-2</v>
      </c>
      <c r="P32" s="106">
        <f t="shared" si="16"/>
        <v>5.7661771000658175E-2</v>
      </c>
      <c r="Q32" s="106">
        <f t="shared" si="16"/>
        <v>8.2728604745927289E-2</v>
      </c>
      <c r="R32" s="106">
        <f t="shared" si="16"/>
        <v>8.1140899473815878E-2</v>
      </c>
      <c r="S32" s="106">
        <f t="shared" si="16"/>
        <v>7.6569872383546025E-2</v>
      </c>
      <c r="T32" s="106">
        <f t="shared" si="16"/>
        <v>6.9358949049729904E-2</v>
      </c>
      <c r="U32" s="106">
        <f>IFERROR(U179/U$145,"…")</f>
        <v>9.3177458033573135E-2</v>
      </c>
      <c r="V32" s="106">
        <f>IFERROR(V179/V$145,"…")</f>
        <v>6.8785607827572204E-2</v>
      </c>
      <c r="W32" s="106">
        <f>IFERROR(W179/W$145,"…")</f>
        <v>7.3693021578852588E-2</v>
      </c>
      <c r="X32" s="106">
        <f>IFERROR(X179/X$145,"…")</f>
        <v>7.6884032868439381E-2</v>
      </c>
      <c r="Y32" s="106">
        <f>IFERROR(Y179/Y$145,"…")</f>
        <v>8.7371990699013483E-2</v>
      </c>
      <c r="Z32" s="106"/>
      <c r="AA32" s="25"/>
      <c r="AB32" s="31"/>
      <c r="AC32" s="31"/>
      <c r="AE32" s="30"/>
      <c r="AF32" s="30"/>
      <c r="AJ32" s="31"/>
      <c r="AY32" s="106"/>
      <c r="AZ32" s="27"/>
    </row>
    <row r="33" spans="1:54">
      <c r="C33" s="5" t="s">
        <v>338</v>
      </c>
      <c r="D33" s="32">
        <f t="shared" ref="D33:T33" si="17">IFERROR(D221/D$145,"…")</f>
        <v>1.9086586558456888E-2</v>
      </c>
      <c r="E33" s="32">
        <f t="shared" si="17"/>
        <v>2.5454507284712602E-2</v>
      </c>
      <c r="F33" s="32">
        <f t="shared" si="17"/>
        <v>3.3106078665077476E-2</v>
      </c>
      <c r="G33" s="32">
        <f t="shared" si="17"/>
        <v>6.3711580667970655E-2</v>
      </c>
      <c r="H33" s="32">
        <f t="shared" si="17"/>
        <v>5.564635175031632E-2</v>
      </c>
      <c r="I33" s="32">
        <f t="shared" si="17"/>
        <v>1.7635259109966061E-2</v>
      </c>
      <c r="J33" s="106">
        <f t="shared" si="17"/>
        <v>5.6283743842364529E-2</v>
      </c>
      <c r="K33" s="106">
        <f t="shared" si="17"/>
        <v>7.0736865888023498E-2</v>
      </c>
      <c r="L33" s="106">
        <f t="shared" si="17"/>
        <v>5.9675309846581828E-2</v>
      </c>
      <c r="M33" s="106">
        <f t="shared" si="17"/>
        <v>5.9241549792646959E-2</v>
      </c>
      <c r="N33" s="106">
        <f t="shared" si="17"/>
        <v>6.2714241966234971E-2</v>
      </c>
      <c r="O33" s="106">
        <f t="shared" si="17"/>
        <v>-1.9077133694653338E-2</v>
      </c>
      <c r="P33" s="106">
        <f t="shared" si="17"/>
        <v>3.2692493567822084E-2</v>
      </c>
      <c r="Q33" s="106">
        <f t="shared" si="17"/>
        <v>5.9900642442843398E-2</v>
      </c>
      <c r="R33" s="106">
        <f t="shared" si="17"/>
        <v>5.9020814164995397E-2</v>
      </c>
      <c r="S33" s="106">
        <f t="shared" si="17"/>
        <v>5.7846986921688465E-2</v>
      </c>
      <c r="T33" s="106">
        <f t="shared" si="17"/>
        <v>4.5808582042676911E-2</v>
      </c>
      <c r="U33" s="106">
        <f>IFERROR(U221/U$145,"…")</f>
        <v>7.4236610711430853E-2</v>
      </c>
      <c r="V33" s="106">
        <f>IFERROR(V221/V$145,"…")</f>
        <v>7.9413895856033714E-2</v>
      </c>
      <c r="W33" s="106">
        <f>IFERROR(W221/W$145,"…")</f>
        <v>7.6528846322734004E-2</v>
      </c>
      <c r="X33" s="106">
        <f>IFERROR(X221/X$145,"…")</f>
        <v>7.9295836608709494E-2</v>
      </c>
      <c r="Y33" s="106">
        <f>IFERROR(Y221/Y$145,"…")</f>
        <v>8.1230422697869314E-2</v>
      </c>
      <c r="Z33" s="106"/>
      <c r="AA33" s="25"/>
      <c r="AB33" s="31"/>
      <c r="AC33" s="31"/>
      <c r="AE33" s="30"/>
      <c r="AF33" s="30"/>
      <c r="AJ33" s="31"/>
      <c r="AY33" s="106"/>
      <c r="AZ33" s="27"/>
    </row>
    <row r="34" spans="1:54">
      <c r="C34" s="5" t="s">
        <v>339</v>
      </c>
      <c r="D34" s="32" t="str">
        <f t="shared" ref="D34:T34" si="18">IFERROR(D227/D$145,"…")</f>
        <v>…</v>
      </c>
      <c r="E34" s="32" t="str">
        <f t="shared" si="18"/>
        <v>…</v>
      </c>
      <c r="F34" s="32">
        <f t="shared" si="18"/>
        <v>5.4644435756853391E-2</v>
      </c>
      <c r="G34" s="32">
        <f t="shared" si="18"/>
        <v>7.8097497635380236E-2</v>
      </c>
      <c r="H34" s="32">
        <f t="shared" si="18"/>
        <v>7.2447733902713335E-2</v>
      </c>
      <c r="I34" s="32">
        <f t="shared" si="18"/>
        <v>5.3199425784555124E-2</v>
      </c>
      <c r="J34" s="106">
        <f t="shared" si="18"/>
        <v>8.1961236650246294E-2</v>
      </c>
      <c r="K34" s="106">
        <f t="shared" si="18"/>
        <v>8.395229795967038E-2</v>
      </c>
      <c r="L34" s="106">
        <f t="shared" si="18"/>
        <v>7.9166007183043036E-2</v>
      </c>
      <c r="M34" s="106">
        <f t="shared" si="18"/>
        <v>8.214540346282112E-2</v>
      </c>
      <c r="N34" s="106">
        <f t="shared" si="18"/>
        <v>9.0009915142893832E-2</v>
      </c>
      <c r="O34" s="106">
        <f t="shared" si="18"/>
        <v>1.7400121898617858E-2</v>
      </c>
      <c r="P34" s="106">
        <f t="shared" si="18"/>
        <v>4.7945561912301454E-2</v>
      </c>
      <c r="Q34" s="106">
        <f t="shared" si="18"/>
        <v>6.488420336220424E-2</v>
      </c>
      <c r="R34" s="106">
        <f t="shared" si="18"/>
        <v>6.3434655224317252E-2</v>
      </c>
      <c r="S34" s="106">
        <f t="shared" si="18"/>
        <v>5.9215776307039489E-2</v>
      </c>
      <c r="T34" s="106">
        <f t="shared" si="18"/>
        <v>5.5616374436926831E-2</v>
      </c>
      <c r="U34" s="106">
        <f>IFERROR(U227/U$145,"…")</f>
        <v>7.1218268585131889E-2</v>
      </c>
      <c r="V34" s="106">
        <f>IFERROR(V227/V$145,"…")</f>
        <v>4.5294977433357433E-2</v>
      </c>
      <c r="W34" s="106">
        <f>IFERROR(W227/W$145,"…")</f>
        <v>5.1055788836587866E-2</v>
      </c>
      <c r="X34" s="106">
        <f>IFERROR(X227/X$145,"…")</f>
        <v>5.3428324399583116E-2</v>
      </c>
      <c r="Y34" s="106">
        <f>IFERROR(Y227/Y$145,"…")</f>
        <v>6.3344031664983758E-2</v>
      </c>
      <c r="Z34" s="106"/>
      <c r="AA34" s="25"/>
      <c r="AB34" s="23"/>
      <c r="AC34" s="23"/>
      <c r="AY34" s="106"/>
      <c r="AZ34" s="27"/>
    </row>
    <row r="35" spans="1:54">
      <c r="D35" s="32"/>
      <c r="E35" s="32"/>
      <c r="F35" s="32"/>
      <c r="G35" s="32"/>
      <c r="H35" s="32"/>
      <c r="I35" s="32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25"/>
      <c r="AB35" s="23"/>
      <c r="AC35" s="23"/>
      <c r="AY35" s="106"/>
      <c r="AZ35" s="27"/>
    </row>
    <row r="36" spans="1:54">
      <c r="C36" s="5" t="s">
        <v>2141</v>
      </c>
      <c r="D36" s="101" t="str">
        <f t="shared" ref="D36:Y36" si="19">IF(OR(D$8="A",D$8="E"),IFERROR(D471/D151,"…"),IF(D$8="L","…","…"))</f>
        <v>…</v>
      </c>
      <c r="E36" s="101">
        <f t="shared" si="19"/>
        <v>4.3445317438815136</v>
      </c>
      <c r="F36" s="101">
        <f t="shared" si="19"/>
        <v>4.2223160027008779</v>
      </c>
      <c r="G36" s="102">
        <f t="shared" si="19"/>
        <v>2.7693798449612403</v>
      </c>
      <c r="H36" s="101">
        <f t="shared" si="19"/>
        <v>2.7997150417260328</v>
      </c>
      <c r="I36" s="101">
        <f t="shared" si="19"/>
        <v>5.238521836506159</v>
      </c>
      <c r="J36" s="107">
        <f t="shared" si="19"/>
        <v>3.1183981427742307</v>
      </c>
      <c r="K36" s="107">
        <f t="shared" si="19"/>
        <v>-0.78448435474912048</v>
      </c>
      <c r="L36" s="107">
        <f t="shared" si="19"/>
        <v>-0.6101495205590769</v>
      </c>
      <c r="M36" s="107">
        <f t="shared" si="19"/>
        <v>-0.32802705064397247</v>
      </c>
      <c r="N36" s="107">
        <f t="shared" si="19"/>
        <v>-0.51522653282691266</v>
      </c>
      <c r="O36" s="107">
        <f t="shared" si="19"/>
        <v>-1.0200808365945981</v>
      </c>
      <c r="P36" s="107">
        <f t="shared" si="19"/>
        <v>-0.85148408373960438</v>
      </c>
      <c r="Q36" s="107">
        <f t="shared" si="19"/>
        <v>-0.94708212452577545</v>
      </c>
      <c r="R36" s="107">
        <f t="shared" si="19"/>
        <v>-0.83286056566880551</v>
      </c>
      <c r="S36" s="107">
        <f t="shared" si="19"/>
        <v>-0.88165043567401336</v>
      </c>
      <c r="T36" s="107">
        <f t="shared" si="19"/>
        <v>-0.93272894129425177</v>
      </c>
      <c r="U36" s="107">
        <f t="shared" si="19"/>
        <v>-0.86171627957692731</v>
      </c>
      <c r="V36" s="107">
        <f t="shared" si="19"/>
        <v>-0.89162377375812474</v>
      </c>
      <c r="W36" s="107" t="str">
        <f t="shared" si="19"/>
        <v>…</v>
      </c>
      <c r="X36" s="107" t="str">
        <f t="shared" si="19"/>
        <v>…</v>
      </c>
      <c r="Y36" s="107" t="str">
        <f t="shared" si="19"/>
        <v>…</v>
      </c>
      <c r="Z36" s="107"/>
      <c r="AA36" s="25"/>
      <c r="AB36" s="23"/>
      <c r="AC36" s="23"/>
      <c r="AY36" s="107"/>
      <c r="AZ36" s="27"/>
    </row>
    <row r="37" spans="1:54">
      <c r="D37" s="32"/>
      <c r="E37" s="32"/>
      <c r="F37" s="32"/>
      <c r="G37" s="32"/>
      <c r="H37" s="32"/>
      <c r="I37" s="32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106"/>
      <c r="X37" s="106"/>
      <c r="Y37" s="106"/>
      <c r="Z37" s="106"/>
      <c r="AA37" s="25"/>
      <c r="AB37" s="23"/>
      <c r="AC37" s="23"/>
      <c r="AY37" s="22"/>
      <c r="AZ37" s="22"/>
    </row>
    <row r="38" spans="1:54">
      <c r="D38" s="32"/>
      <c r="E38" s="32"/>
      <c r="F38" s="32"/>
      <c r="G38" s="32"/>
      <c r="H38" s="32"/>
      <c r="I38" s="32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25"/>
      <c r="AB38" s="23"/>
      <c r="AC38" s="23"/>
      <c r="AY38" s="22"/>
      <c r="AZ38" s="22"/>
    </row>
    <row r="39" spans="1:54"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25"/>
      <c r="AB39" s="23"/>
      <c r="AC39" s="23"/>
      <c r="AE39" s="30"/>
      <c r="AF39" s="30"/>
      <c r="AY39" s="22"/>
      <c r="AZ39" s="22"/>
    </row>
    <row r="40" spans="1:54" ht="13.15">
      <c r="C40" s="87" t="s">
        <v>12</v>
      </c>
      <c r="D40" s="88" t="str">
        <f t="shared" ref="D40:L40" si="20">IF(OR(D$8="A",D$8="E"),IFERROR(D227/D271,"…"),IF(D$8="L","…","…"))</f>
        <v>…</v>
      </c>
      <c r="E40" s="88" t="str">
        <f t="shared" si="20"/>
        <v>…</v>
      </c>
      <c r="F40" s="88">
        <f t="shared" si="20"/>
        <v>8.8513744157959637E-2</v>
      </c>
      <c r="G40" s="88">
        <f t="shared" si="20"/>
        <v>0.13528740876202694</v>
      </c>
      <c r="H40" s="88">
        <f t="shared" si="20"/>
        <v>0.10956101151966799</v>
      </c>
      <c r="I40" s="88">
        <f t="shared" si="20"/>
        <v>6.6831794823716567E-2</v>
      </c>
      <c r="J40" s="88">
        <f t="shared" si="20"/>
        <v>0.1240149619392299</v>
      </c>
      <c r="K40" s="88">
        <f t="shared" si="20"/>
        <v>0.12921773021583707</v>
      </c>
      <c r="L40" s="88">
        <f t="shared" si="20"/>
        <v>0.10584385034174242</v>
      </c>
      <c r="M40" s="88">
        <f t="shared" ref="M40:Y40" si="21">IF(OR(M$8="A",M$8="E"),IFERROR(M281/M271,"…"),IF(M$8="L","…","…"))</f>
        <v>9.5337998015797093E-2</v>
      </c>
      <c r="N40" s="88">
        <f t="shared" si="21"/>
        <v>0.10261636596020604</v>
      </c>
      <c r="O40" s="88">
        <f t="shared" si="21"/>
        <v>1.6875924012327369E-2</v>
      </c>
      <c r="P40" s="88">
        <f t="shared" si="21"/>
        <v>4.0269882348761575E-2</v>
      </c>
      <c r="Q40" s="88">
        <f t="shared" si="21"/>
        <v>5.4441512407684058E-2</v>
      </c>
      <c r="R40" s="88">
        <f t="shared" si="21"/>
        <v>4.970894880524835E-2</v>
      </c>
      <c r="S40" s="88">
        <f t="shared" si="21"/>
        <v>5.2460023113227339E-2</v>
      </c>
      <c r="T40" s="88">
        <f t="shared" si="21"/>
        <v>4.846281471996617E-2</v>
      </c>
      <c r="U40" s="88">
        <f t="shared" si="21"/>
        <v>6.8669970444507025E-2</v>
      </c>
      <c r="V40" s="88">
        <f t="shared" si="21"/>
        <v>4.8393284589161457E-2</v>
      </c>
      <c r="W40" s="88">
        <f t="shared" si="21"/>
        <v>5.8666877825924418E-2</v>
      </c>
      <c r="X40" s="88">
        <f t="shared" si="21"/>
        <v>6.5150177587134442E-2</v>
      </c>
      <c r="Y40" s="88">
        <f t="shared" si="21"/>
        <v>8.333578158930921E-2</v>
      </c>
      <c r="Z40" s="88"/>
      <c r="AA40" s="25"/>
      <c r="AB40" s="5"/>
      <c r="AC40" s="5"/>
      <c r="AD40" s="30">
        <f>AVERAGE(K40:O40)</f>
        <v>8.9978373709181991E-2</v>
      </c>
      <c r="AY40" s="22"/>
      <c r="AZ40" s="22"/>
    </row>
    <row r="41" spans="1:54" ht="13.15">
      <c r="C41" s="87" t="s">
        <v>128</v>
      </c>
      <c r="D41" s="88" t="str">
        <f t="shared" ref="D41:Y41" si="22">IF(OR(D$8="A",D$8="E"),IFERROR(D227/D272,"…"),IF(D$8="L","…","…"))</f>
        <v>…</v>
      </c>
      <c r="E41" s="88" t="str">
        <f t="shared" si="22"/>
        <v>…</v>
      </c>
      <c r="F41" s="88">
        <f t="shared" si="22"/>
        <v>8.8810716543017448E-2</v>
      </c>
      <c r="G41" s="88">
        <f t="shared" si="22"/>
        <v>0.13571487022756534</v>
      </c>
      <c r="H41" s="88">
        <f t="shared" si="22"/>
        <v>0.11176797231126576</v>
      </c>
      <c r="I41" s="88">
        <f t="shared" si="22"/>
        <v>6.9186745824185367E-2</v>
      </c>
      <c r="J41" s="88">
        <f t="shared" si="22"/>
        <v>0.12888675196540292</v>
      </c>
      <c r="K41" s="88">
        <f t="shared" si="22"/>
        <v>0.13423868033174149</v>
      </c>
      <c r="L41" s="88">
        <f t="shared" si="22"/>
        <v>0.1173331388728345</v>
      </c>
      <c r="M41" s="88">
        <f t="shared" si="22"/>
        <v>0.11089239345578612</v>
      </c>
      <c r="N41" s="88">
        <f t="shared" si="22"/>
        <v>0.11838455400655386</v>
      </c>
      <c r="O41" s="88">
        <f t="shared" si="22"/>
        <v>1.8905746775119938E-2</v>
      </c>
      <c r="P41" s="88">
        <f t="shared" si="22"/>
        <v>4.4313112282392202E-2</v>
      </c>
      <c r="Q41" s="88">
        <f t="shared" si="22"/>
        <v>5.9530022572708022E-2</v>
      </c>
      <c r="R41" s="88">
        <f t="shared" si="22"/>
        <v>5.3895555126109058E-2</v>
      </c>
      <c r="S41" s="88">
        <f t="shared" si="22"/>
        <v>5.7123826886295699E-2</v>
      </c>
      <c r="T41" s="88">
        <f t="shared" si="22"/>
        <v>5.3315844681086431E-2</v>
      </c>
      <c r="U41" s="88">
        <f t="shared" si="22"/>
        <v>7.5909111899543122E-2</v>
      </c>
      <c r="V41" s="88">
        <f t="shared" si="22"/>
        <v>5.3801973086897416E-2</v>
      </c>
      <c r="W41" s="88">
        <f t="shared" si="22"/>
        <v>6.5445813643147596E-2</v>
      </c>
      <c r="X41" s="88">
        <f t="shared" si="22"/>
        <v>7.2956577133116457E-2</v>
      </c>
      <c r="Y41" s="88">
        <f t="shared" si="22"/>
        <v>9.3591467507870951E-2</v>
      </c>
      <c r="Z41" s="88"/>
      <c r="AA41" s="25"/>
      <c r="AB41" s="5"/>
      <c r="AC41" s="5"/>
      <c r="AD41" s="30">
        <f>AVERAGE(K41:O41)</f>
        <v>9.9950902688407173E-2</v>
      </c>
      <c r="AY41" s="22"/>
      <c r="AZ41" s="22"/>
    </row>
    <row r="42" spans="1:54" ht="13.15">
      <c r="C42" s="9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25"/>
      <c r="AB42" s="10"/>
      <c r="AC42" s="10"/>
      <c r="AY42" s="22"/>
      <c r="AZ42" s="22"/>
    </row>
    <row r="43" spans="1:54" s="33" customFormat="1" ht="13.15">
      <c r="A43" s="5"/>
      <c r="B43" s="5"/>
      <c r="C43" s="12" t="s">
        <v>1556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25"/>
      <c r="AB43" s="20"/>
      <c r="AC43" s="20"/>
      <c r="AD43" s="24"/>
      <c r="AE43" s="5"/>
      <c r="AF43" s="5"/>
      <c r="AG43" s="9"/>
      <c r="AH43" s="5"/>
      <c r="AI43" s="5"/>
      <c r="AJ43" s="22"/>
      <c r="AK43" s="23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5"/>
      <c r="BB43" s="5"/>
    </row>
    <row r="44" spans="1:54" s="33" customFormat="1" ht="13.15" hidden="1" outlineLevel="1">
      <c r="A44" s="5"/>
      <c r="B44" s="5"/>
      <c r="C44" s="38" t="s">
        <v>1578</v>
      </c>
      <c r="D44" s="32" t="str">
        <f t="shared" ref="D44:Y45" si="23">IFERROR(D235/C235-1,"…")</f>
        <v>…</v>
      </c>
      <c r="E44" s="32">
        <f t="shared" si="23"/>
        <v>2.6624893597694488E-2</v>
      </c>
      <c r="F44" s="32">
        <f t="shared" si="23"/>
        <v>-6.791583657908018E-2</v>
      </c>
      <c r="G44" s="32">
        <f t="shared" si="23"/>
        <v>1.2608763511647858E-2</v>
      </c>
      <c r="H44" s="32">
        <f t="shared" si="23"/>
        <v>0.37937879039617961</v>
      </c>
      <c r="I44" s="32">
        <f t="shared" si="23"/>
        <v>-8.0781738724230223E-2</v>
      </c>
      <c r="J44" s="106">
        <f t="shared" si="23"/>
        <v>9.0885776122441753E-2</v>
      </c>
      <c r="K44" s="106">
        <f t="shared" si="23"/>
        <v>0.36628838378787654</v>
      </c>
      <c r="L44" s="106">
        <f t="shared" si="23"/>
        <v>0.41100945074206741</v>
      </c>
      <c r="M44" s="106">
        <f t="shared" si="23"/>
        <v>1.2644884422081892E-2</v>
      </c>
      <c r="N44" s="106">
        <f t="shared" si="23"/>
        <v>7.9312421518344722E-2</v>
      </c>
      <c r="O44" s="106">
        <f t="shared" si="23"/>
        <v>0.38574050928906689</v>
      </c>
      <c r="P44" s="106">
        <f t="shared" si="23"/>
        <v>2.5087605523144818E-2</v>
      </c>
      <c r="Q44" s="106">
        <f t="shared" si="23"/>
        <v>9.9633612605825039E-2</v>
      </c>
      <c r="R44" s="106">
        <f t="shared" si="23"/>
        <v>9.0253939506027336E-2</v>
      </c>
      <c r="S44" s="106">
        <f t="shared" si="23"/>
        <v>-0.18346967601452469</v>
      </c>
      <c r="T44" s="106">
        <f t="shared" si="23"/>
        <v>-4.5265332927449942E-3</v>
      </c>
      <c r="U44" s="106">
        <f t="shared" si="23"/>
        <v>3.3551574837212161E-2</v>
      </c>
      <c r="V44" s="106">
        <f t="shared" si="23"/>
        <v>-2.5816519843300134E-2</v>
      </c>
      <c r="W44" s="106">
        <f t="shared" si="23"/>
        <v>-3.3196968384470393E-2</v>
      </c>
      <c r="X44" s="106">
        <f t="shared" si="23"/>
        <v>-3.0680456443423432E-2</v>
      </c>
      <c r="Y44" s="106">
        <f t="shared" si="23"/>
        <v>-1.6157947440480491E-2</v>
      </c>
      <c r="Z44" s="106"/>
      <c r="AA44" s="25"/>
      <c r="AB44" s="20"/>
      <c r="AC44" s="20"/>
      <c r="AD44" s="24"/>
      <c r="AE44" s="5"/>
      <c r="AF44" s="5"/>
      <c r="AG44" s="9"/>
      <c r="AH44" s="5"/>
      <c r="AI44" s="5"/>
      <c r="AJ44" s="22"/>
      <c r="AK44" s="23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5"/>
      <c r="BB44" s="5"/>
    </row>
    <row r="45" spans="1:54" s="33" customFormat="1" ht="13.15" hidden="1" outlineLevel="1">
      <c r="A45" s="5"/>
      <c r="B45" s="5"/>
      <c r="C45" s="38" t="s">
        <v>1579</v>
      </c>
      <c r="D45" s="32" t="str">
        <f t="shared" si="23"/>
        <v>…</v>
      </c>
      <c r="E45" s="32">
        <f t="shared" si="23"/>
        <v>2.6517152646665876E-2</v>
      </c>
      <c r="F45" s="32">
        <f t="shared" si="23"/>
        <v>-6.7513997565848971E-2</v>
      </c>
      <c r="G45" s="32">
        <f t="shared" si="23"/>
        <v>1.2551897453602523E-2</v>
      </c>
      <c r="H45" s="32">
        <f t="shared" si="23"/>
        <v>0.33983063601809893</v>
      </c>
      <c r="I45" s="32">
        <f t="shared" si="23"/>
        <v>-8.5301471611746837E-2</v>
      </c>
      <c r="J45" s="106">
        <f t="shared" si="23"/>
        <v>8.8106244486598317E-2</v>
      </c>
      <c r="K45" s="106">
        <f t="shared" si="23"/>
        <v>0.37015397880152801</v>
      </c>
      <c r="L45" s="106">
        <f t="shared" si="23"/>
        <v>0.25673886832615378</v>
      </c>
      <c r="M45" s="106">
        <f t="shared" si="23"/>
        <v>1.5829308431477562E-2</v>
      </c>
      <c r="N45" s="106">
        <f t="shared" si="23"/>
        <v>9.314879073410709E-2</v>
      </c>
      <c r="O45" s="106">
        <f t="shared" si="23"/>
        <v>0.44187591280009264</v>
      </c>
      <c r="P45" s="106">
        <f t="shared" si="23"/>
        <v>2.802176054429184E-2</v>
      </c>
      <c r="Q45" s="106">
        <f t="shared" si="23"/>
        <v>0.10997356089484689</v>
      </c>
      <c r="R45" s="106">
        <f t="shared" si="23"/>
        <v>9.872441571506374E-2</v>
      </c>
      <c r="S45" s="106">
        <f t="shared" si="23"/>
        <v>-0.19794741773512359</v>
      </c>
      <c r="T45" s="106">
        <f t="shared" si="23"/>
        <v>-5.2824985363567611E-3</v>
      </c>
      <c r="U45" s="106">
        <f t="shared" si="23"/>
        <v>2.4609039840003621E-2</v>
      </c>
      <c r="V45" s="106">
        <f t="shared" si="23"/>
        <v>-2.8660561689736519E-2</v>
      </c>
      <c r="W45" s="106">
        <f t="shared" si="23"/>
        <v>-3.6961974511219853E-2</v>
      </c>
      <c r="X45" s="106">
        <f t="shared" si="23"/>
        <v>-3.4293603545242468E-2</v>
      </c>
      <c r="Y45" s="106">
        <f t="shared" si="23"/>
        <v>-1.8128395130154074E-2</v>
      </c>
      <c r="Z45" s="106"/>
      <c r="AA45" s="25"/>
      <c r="AB45" s="20"/>
      <c r="AC45" s="20"/>
      <c r="AD45" s="24"/>
      <c r="AE45" s="5"/>
      <c r="AF45" s="5"/>
      <c r="AG45" s="9"/>
      <c r="AH45" s="5"/>
      <c r="AI45" s="5"/>
      <c r="AJ45" s="22"/>
      <c r="AK45" s="23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5"/>
      <c r="BB45" s="5"/>
    </row>
    <row r="46" spans="1:54" s="33" customFormat="1" ht="13.15" hidden="1" outlineLevel="1">
      <c r="A46" s="5"/>
      <c r="B46" s="5"/>
      <c r="C46" s="38" t="s">
        <v>1559</v>
      </c>
      <c r="D46" s="32">
        <f t="shared" ref="D46:Y46" si="24">IFERROR(D160/D145,"…")</f>
        <v>-5.5416296662657509E-2</v>
      </c>
      <c r="E46" s="32">
        <f t="shared" si="24"/>
        <v>-5.4719318134105889E-2</v>
      </c>
      <c r="F46" s="32">
        <f t="shared" si="24"/>
        <v>-4.5635280095351609E-2</v>
      </c>
      <c r="G46" s="32">
        <f t="shared" si="24"/>
        <v>-4.4353838948731371E-2</v>
      </c>
      <c r="H46" s="32">
        <f t="shared" si="24"/>
        <v>-4.0638619429214116E-2</v>
      </c>
      <c r="I46" s="32">
        <f t="shared" si="24"/>
        <v>-4.3484461007538958E-2</v>
      </c>
      <c r="J46" s="106">
        <f t="shared" si="24"/>
        <v>-3.7288669950738915E-2</v>
      </c>
      <c r="K46" s="106">
        <f t="shared" si="24"/>
        <v>-3.0859122488813021E-2</v>
      </c>
      <c r="L46" s="106">
        <f t="shared" si="24"/>
        <v>-3.0979468122651496E-2</v>
      </c>
      <c r="M46" s="106">
        <f t="shared" si="24"/>
        <v>-3.3953108265188547E-2</v>
      </c>
      <c r="N46" s="106">
        <f t="shared" si="24"/>
        <v>-3.7089174050914261E-2</v>
      </c>
      <c r="O46" s="106">
        <f t="shared" si="24"/>
        <v>-6.1347823640830412E-2</v>
      </c>
      <c r="P46" s="106">
        <f t="shared" si="24"/>
        <v>-7.0733245269645181E-2</v>
      </c>
      <c r="Q46" s="106">
        <f t="shared" si="24"/>
        <v>-7.2671469815590292E-2</v>
      </c>
      <c r="R46" s="106">
        <f t="shared" si="24"/>
        <v>-7.2817777476266596E-2</v>
      </c>
      <c r="S46" s="106">
        <f t="shared" si="24"/>
        <v>-7.7884036859938569E-2</v>
      </c>
      <c r="T46" s="106">
        <f t="shared" si="24"/>
        <v>-9.1976095188528562E-2</v>
      </c>
      <c r="U46" s="106">
        <f t="shared" si="24"/>
        <v>-9.0095923261390889E-2</v>
      </c>
      <c r="V46" s="106">
        <f t="shared" si="24"/>
        <v>-9.0719368792898589E-2</v>
      </c>
      <c r="W46" s="106">
        <f t="shared" si="24"/>
        <v>-8.2368403315873348E-2</v>
      </c>
      <c r="X46" s="106">
        <f t="shared" si="24"/>
        <v>-7.6811131708964808E-2</v>
      </c>
      <c r="Y46" s="106">
        <f t="shared" si="24"/>
        <v>-7.0680183307892164E-2</v>
      </c>
      <c r="Z46" s="106"/>
      <c r="AA46" s="25"/>
      <c r="AB46" s="20"/>
      <c r="AC46" s="20"/>
      <c r="AD46" s="24"/>
      <c r="AE46" s="5"/>
      <c r="AF46" s="5"/>
      <c r="AG46" s="9"/>
      <c r="AH46" s="5"/>
      <c r="AI46" s="5"/>
      <c r="AJ46" s="22"/>
      <c r="AK46" s="23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5"/>
      <c r="BB46" s="5"/>
    </row>
    <row r="47" spans="1:54" s="33" customFormat="1" ht="13.15" hidden="1" outlineLevel="1">
      <c r="A47" s="5"/>
      <c r="B47" s="5"/>
      <c r="C47" s="38"/>
      <c r="D47" s="32"/>
      <c r="E47" s="32"/>
      <c r="F47" s="32"/>
      <c r="G47" s="32"/>
      <c r="H47" s="32"/>
      <c r="I47" s="32"/>
      <c r="J47" s="106"/>
      <c r="K47" s="106"/>
      <c r="L47" s="106"/>
      <c r="M47" s="106"/>
      <c r="N47" s="106"/>
      <c r="O47" s="106"/>
      <c r="P47" s="106"/>
      <c r="Q47" s="106"/>
      <c r="R47" s="106"/>
      <c r="S47" s="106"/>
      <c r="T47" s="106"/>
      <c r="U47" s="106"/>
      <c r="V47" s="106"/>
      <c r="W47" s="106"/>
      <c r="X47" s="106"/>
      <c r="Y47" s="106"/>
      <c r="Z47" s="106"/>
      <c r="AA47" s="25"/>
      <c r="AB47" s="20"/>
      <c r="AC47" s="20"/>
      <c r="AD47" s="24"/>
      <c r="AE47" s="5"/>
      <c r="AF47" s="5"/>
      <c r="AG47" s="9"/>
      <c r="AH47" s="5"/>
      <c r="AI47" s="5"/>
      <c r="AJ47" s="22"/>
      <c r="AK47" s="23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5"/>
      <c r="BB47" s="5"/>
    </row>
    <row r="48" spans="1:54" collapsed="1">
      <c r="C48" s="38" t="s">
        <v>1742</v>
      </c>
      <c r="D48" s="25">
        <f t="shared" ref="D48:Y48" si="25">IF(OR(D$8="A",D$8="E"),IFERROR(D147/D265,"…"),IF(D$8="L","…","…"))</f>
        <v>2.7406118110963926</v>
      </c>
      <c r="E48" s="25">
        <f t="shared" si="25"/>
        <v>2.9136618038352142</v>
      </c>
      <c r="F48" s="25">
        <f t="shared" si="25"/>
        <v>3.4210268789144052</v>
      </c>
      <c r="G48" s="25">
        <f t="shared" si="25"/>
        <v>3.8858478447045388</v>
      </c>
      <c r="H48" s="25">
        <f t="shared" si="25"/>
        <v>3.7418994229725953</v>
      </c>
      <c r="I48" s="25">
        <f t="shared" si="25"/>
        <v>3.6520727727241162</v>
      </c>
      <c r="J48" s="25">
        <f t="shared" si="25"/>
        <v>5.0456344077469133</v>
      </c>
      <c r="K48" s="25">
        <f t="shared" si="25"/>
        <v>5.5207456299915112</v>
      </c>
      <c r="L48" s="25">
        <f t="shared" si="25"/>
        <v>5.4046563814866762</v>
      </c>
      <c r="M48" s="25">
        <f t="shared" si="25"/>
        <v>4.8160905490637074</v>
      </c>
      <c r="N48" s="25">
        <f t="shared" si="25"/>
        <v>4.5723771130458353</v>
      </c>
      <c r="O48" s="25">
        <f t="shared" si="25"/>
        <v>3.2937542949356433</v>
      </c>
      <c r="P48" s="25">
        <f t="shared" si="25"/>
        <v>2.4715270510078717</v>
      </c>
      <c r="Q48" s="25">
        <f t="shared" si="25"/>
        <v>2.4614350421741706</v>
      </c>
      <c r="R48" s="25">
        <f t="shared" si="25"/>
        <v>2.3988262636228175</v>
      </c>
      <c r="S48" s="25">
        <f t="shared" si="25"/>
        <v>2.3309620689973336</v>
      </c>
      <c r="T48" s="25">
        <f t="shared" si="25"/>
        <v>1.940982578670301</v>
      </c>
      <c r="U48" s="25">
        <f t="shared" si="25"/>
        <v>2.1028390849035987</v>
      </c>
      <c r="V48" s="25">
        <f t="shared" si="25"/>
        <v>2.3256926417661168</v>
      </c>
      <c r="W48" s="25">
        <f t="shared" si="25"/>
        <v>2.5733752512559112</v>
      </c>
      <c r="X48" s="25">
        <f t="shared" si="25"/>
        <v>2.7733778397394362</v>
      </c>
      <c r="Y48" s="25">
        <f t="shared" si="25"/>
        <v>3.0333894443471614</v>
      </c>
      <c r="Z48" s="25"/>
      <c r="AA48" s="25"/>
      <c r="AB48" s="97" t="s">
        <v>1741</v>
      </c>
      <c r="AC48" s="97" t="s">
        <v>1741</v>
      </c>
      <c r="AJ48" s="31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</row>
    <row r="49" spans="3:52">
      <c r="C49" s="38" t="s">
        <v>129</v>
      </c>
      <c r="D49" s="25">
        <f t="shared" ref="D49:Y49" si="26">IF(OR(D$8="A",D$8="E"),IFERROR(D147/D271,"…"),IF(D$8="L","…","…"))</f>
        <v>1.3627307246967775</v>
      </c>
      <c r="E49" s="25">
        <f t="shared" si="26"/>
        <v>1.4401386262675644</v>
      </c>
      <c r="F49" s="25">
        <f t="shared" si="26"/>
        <v>1.619812574363684</v>
      </c>
      <c r="G49" s="25">
        <f t="shared" si="26"/>
        <v>1.7322886501902228</v>
      </c>
      <c r="H49" s="25">
        <f t="shared" si="26"/>
        <v>1.51227658365122</v>
      </c>
      <c r="I49" s="25">
        <f t="shared" si="26"/>
        <v>1.2562503041737565</v>
      </c>
      <c r="J49" s="25">
        <f t="shared" si="26"/>
        <v>1.5130928595970279</v>
      </c>
      <c r="K49" s="25">
        <f t="shared" si="26"/>
        <v>1.5391803840546643</v>
      </c>
      <c r="L49" s="25">
        <f t="shared" si="26"/>
        <v>1.3369860892063992</v>
      </c>
      <c r="M49" s="25">
        <f t="shared" si="26"/>
        <v>1.1606005205020014</v>
      </c>
      <c r="N49" s="25">
        <f t="shared" si="26"/>
        <v>1.1400562459957777</v>
      </c>
      <c r="O49" s="25">
        <f t="shared" si="26"/>
        <v>0.96987389574942406</v>
      </c>
      <c r="P49" s="25">
        <f t="shared" si="26"/>
        <v>0.83990844496557004</v>
      </c>
      <c r="Q49" s="25">
        <f t="shared" si="26"/>
        <v>0.83905649736923227</v>
      </c>
      <c r="R49" s="25">
        <f t="shared" si="26"/>
        <v>0.78362448143633567</v>
      </c>
      <c r="S49" s="25">
        <f t="shared" si="26"/>
        <v>0.8859129506504666</v>
      </c>
      <c r="T49" s="25">
        <f t="shared" si="26"/>
        <v>0.87137673411140215</v>
      </c>
      <c r="U49" s="25">
        <f t="shared" si="26"/>
        <v>0.96421847664579607</v>
      </c>
      <c r="V49" s="25">
        <f t="shared" si="26"/>
        <v>1.0684028855155645</v>
      </c>
      <c r="W49" s="25">
        <f t="shared" si="26"/>
        <v>1.1490739671792565</v>
      </c>
      <c r="X49" s="25">
        <f t="shared" si="26"/>
        <v>1.2193939884748244</v>
      </c>
      <c r="Y49" s="25">
        <f t="shared" si="26"/>
        <v>1.3156058968595268</v>
      </c>
      <c r="Z49" s="25"/>
      <c r="AA49" s="25"/>
      <c r="AB49" s="97" t="s">
        <v>1741</v>
      </c>
      <c r="AC49" s="97" t="s">
        <v>1741</v>
      </c>
      <c r="AJ49" s="31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</row>
    <row r="50" spans="3:52">
      <c r="C50" s="38" t="s">
        <v>130</v>
      </c>
      <c r="D50" s="25">
        <f t="shared" ref="D50:Y50" si="27">IF(OR(D$8="A",D$8="E"),IFERROR(D147/D272,"…"),IF(D$8="L","…","…"))</f>
        <v>1.3674436720895806</v>
      </c>
      <c r="E50" s="25">
        <f t="shared" si="27"/>
        <v>1.4451961162591922</v>
      </c>
      <c r="F50" s="25">
        <f t="shared" si="27"/>
        <v>1.6252472061051337</v>
      </c>
      <c r="G50" s="25">
        <f t="shared" si="27"/>
        <v>1.7377620837633974</v>
      </c>
      <c r="H50" s="25">
        <f t="shared" si="27"/>
        <v>1.5427393831441811</v>
      </c>
      <c r="I50" s="25">
        <f t="shared" si="27"/>
        <v>1.3005167782143936</v>
      </c>
      <c r="J50" s="25">
        <f t="shared" si="27"/>
        <v>1.5725330318697137</v>
      </c>
      <c r="K50" s="25">
        <f t="shared" si="27"/>
        <v>1.5989875631067065</v>
      </c>
      <c r="L50" s="25">
        <f t="shared" si="27"/>
        <v>1.4821151533074497</v>
      </c>
      <c r="M50" s="25">
        <f t="shared" si="27"/>
        <v>1.3499525083710355</v>
      </c>
      <c r="N50" s="25">
        <f t="shared" si="27"/>
        <v>1.315239035817491</v>
      </c>
      <c r="O50" s="25">
        <f t="shared" si="27"/>
        <v>1.0865295591188746</v>
      </c>
      <c r="P50" s="25">
        <f t="shared" si="27"/>
        <v>0.92423804237494467</v>
      </c>
      <c r="Q50" s="25">
        <f t="shared" si="27"/>
        <v>0.9174809813167083</v>
      </c>
      <c r="R50" s="25">
        <f t="shared" si="27"/>
        <v>0.84962320573074623</v>
      </c>
      <c r="S50" s="25">
        <f t="shared" si="27"/>
        <v>0.96467243104444289</v>
      </c>
      <c r="T50" s="25">
        <f t="shared" si="27"/>
        <v>0.95863574749106717</v>
      </c>
      <c r="U50" s="25">
        <f t="shared" si="27"/>
        <v>1.0658657309086919</v>
      </c>
      <c r="V50" s="25">
        <f t="shared" si="27"/>
        <v>1.1878132220301101</v>
      </c>
      <c r="W50" s="25">
        <f t="shared" si="27"/>
        <v>1.2818490348394633</v>
      </c>
      <c r="X50" s="25">
        <f t="shared" si="27"/>
        <v>1.3655037464301558</v>
      </c>
      <c r="Y50" s="25">
        <f t="shared" si="27"/>
        <v>1.4775104307042053</v>
      </c>
      <c r="Z50" s="25"/>
      <c r="AA50" s="25"/>
      <c r="AB50" s="97" t="s">
        <v>1741</v>
      </c>
      <c r="AC50" s="97" t="s">
        <v>1741</v>
      </c>
      <c r="AE50" s="30"/>
      <c r="AF50" s="30"/>
      <c r="AJ50" s="31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</row>
    <row r="51" spans="3:52">
      <c r="C51" s="38" t="s">
        <v>344</v>
      </c>
      <c r="D51" s="73">
        <f t="shared" ref="D51:Y51" si="28">IFERROR(IF(D71="…","…",-D71/D162),"…")</f>
        <v>1.1257606490872212</v>
      </c>
      <c r="E51" s="73">
        <f t="shared" si="28"/>
        <v>0.85056589295990792</v>
      </c>
      <c r="F51" s="73">
        <f t="shared" si="28"/>
        <v>0.77893857083159213</v>
      </c>
      <c r="G51" s="73">
        <f t="shared" si="28"/>
        <v>0.96024844720496894</v>
      </c>
      <c r="H51" s="73">
        <f t="shared" si="28"/>
        <v>1.4882162162162162</v>
      </c>
      <c r="I51" s="73">
        <f t="shared" si="28"/>
        <v>1.3036729339746393</v>
      </c>
      <c r="J51" s="73">
        <f t="shared" si="28"/>
        <v>1.2170788416825196</v>
      </c>
      <c r="K51" s="73">
        <f t="shared" si="28"/>
        <v>1.6447020540980273</v>
      </c>
      <c r="L51" s="73">
        <f t="shared" si="28"/>
        <v>1.757915898810521</v>
      </c>
      <c r="M51" s="73">
        <f t="shared" si="28"/>
        <v>1.7020481387352369</v>
      </c>
      <c r="N51" s="73">
        <f t="shared" si="28"/>
        <v>1.5996803835397524</v>
      </c>
      <c r="O51" s="73">
        <f t="shared" si="28"/>
        <v>1.0097821933511655</v>
      </c>
      <c r="P51" s="73">
        <f t="shared" si="28"/>
        <v>0.85580426861009895</v>
      </c>
      <c r="Q51" s="73">
        <f t="shared" si="28"/>
        <v>0.77857313290384156</v>
      </c>
      <c r="R51" s="73">
        <f t="shared" si="28"/>
        <v>0.79940607895656224</v>
      </c>
      <c r="S51" s="73">
        <f t="shared" si="28"/>
        <v>0.72321610083350274</v>
      </c>
      <c r="T51" s="73">
        <f t="shared" si="28"/>
        <v>0.54990243902439029</v>
      </c>
      <c r="U51" s="73">
        <f t="shared" si="28"/>
        <v>0.82060154378493477</v>
      </c>
      <c r="V51" s="73">
        <f t="shared" si="28"/>
        <v>0.7</v>
      </c>
      <c r="W51" s="73">
        <f t="shared" si="28"/>
        <v>0.75000000000000011</v>
      </c>
      <c r="X51" s="73">
        <f t="shared" si="28"/>
        <v>0.8</v>
      </c>
      <c r="Y51" s="73">
        <f t="shared" si="28"/>
        <v>0.85</v>
      </c>
      <c r="Z51" s="73"/>
      <c r="AA51" s="73"/>
      <c r="AB51" s="31"/>
      <c r="AC51" s="31"/>
      <c r="AE51" s="30"/>
      <c r="AF51" s="30"/>
      <c r="AJ51" s="31"/>
      <c r="AY51" s="73"/>
      <c r="AZ51" s="27"/>
    </row>
    <row r="52" spans="3:52">
      <c r="C52" s="38" t="s">
        <v>1532</v>
      </c>
      <c r="D52" s="30">
        <f>IFERROR(D71/D145,"…")</f>
        <v>-6.2385486100963325E-2</v>
      </c>
      <c r="E52" s="30">
        <f>IFERROR(E71/E145,"…")</f>
        <v>-4.6542385690893057E-2</v>
      </c>
      <c r="F52" s="31">
        <f>IFERROR(F71/F145,"…")</f>
        <v>-3.5547079856972585E-2</v>
      </c>
      <c r="G52" s="31">
        <f>IFERROR(G71/G145,"…")</f>
        <v>-4.2590704978098567E-2</v>
      </c>
      <c r="H52" s="31">
        <f t="shared" ref="H52:Q52" si="29">IFERROR(H62/H145,"…")</f>
        <v>-7.9950442851117673E-2</v>
      </c>
      <c r="I52" s="31">
        <f t="shared" si="29"/>
        <v>-7.5208913649025072E-2</v>
      </c>
      <c r="J52" s="31">
        <f t="shared" si="29"/>
        <v>-5.8522167487684726E-2</v>
      </c>
      <c r="K52" s="31">
        <f t="shared" si="29"/>
        <v>-6.1209888475369817E-2</v>
      </c>
      <c r="L52" s="31">
        <f t="shared" si="29"/>
        <v>-6.8031306441902473E-2</v>
      </c>
      <c r="M52" s="31">
        <f t="shared" si="29"/>
        <v>-7.8200266995588991E-2</v>
      </c>
      <c r="N52" s="31">
        <f t="shared" si="29"/>
        <v>-8.2056525304013667E-2</v>
      </c>
      <c r="O52" s="31">
        <f t="shared" si="29"/>
        <v>-8.5488438384937082E-2</v>
      </c>
      <c r="P52" s="31">
        <f t="shared" si="29"/>
        <v>-8.6998945997321261E-2</v>
      </c>
      <c r="Q52" s="31">
        <f t="shared" si="29"/>
        <v>-7.9382006398418609E-2</v>
      </c>
      <c r="R52" s="31">
        <f t="shared" ref="R52:Y52" si="30">IFERROR(R71/R145,"…")</f>
        <v>-5.8210973970633753E-2</v>
      </c>
      <c r="S52" s="31">
        <f t="shared" si="30"/>
        <v>-5.6326989455017573E-2</v>
      </c>
      <c r="T52" s="31">
        <f t="shared" si="30"/>
        <v>-5.0577879076111339E-2</v>
      </c>
      <c r="U52" s="31">
        <f t="shared" si="30"/>
        <v>-7.3932853717026376E-2</v>
      </c>
      <c r="V52" s="31">
        <f t="shared" si="30"/>
        <v>-6.3503558155029005E-2</v>
      </c>
      <c r="W52" s="31">
        <f t="shared" si="30"/>
        <v>-6.1776302486905015E-2</v>
      </c>
      <c r="X52" s="31">
        <f t="shared" si="30"/>
        <v>-6.1448905367171854E-2</v>
      </c>
      <c r="Y52" s="31">
        <f t="shared" si="30"/>
        <v>-6.0078155811708334E-2</v>
      </c>
      <c r="Z52" s="31"/>
      <c r="AA52" s="31"/>
      <c r="AB52" s="31"/>
      <c r="AC52" s="31"/>
      <c r="AE52" s="30"/>
      <c r="AF52" s="30"/>
      <c r="AJ52" s="31"/>
      <c r="AY52" s="31"/>
      <c r="AZ52" s="27"/>
    </row>
    <row r="53" spans="3:52">
      <c r="C53" s="38" t="s">
        <v>131</v>
      </c>
      <c r="D53" s="36">
        <f>IF(D$8="A",D174,IF(D$8="L","…",IF(D$8="E",C53,"…")))</f>
        <v>6.5843813387423937</v>
      </c>
      <c r="E53" s="36">
        <f t="shared" ref="E53:Y53" si="31">IF(E$8="A",E174,IF(E$8="L",D53,IF(E$8="E",D53,"…")))</f>
        <v>6.2722041051218111</v>
      </c>
      <c r="F53" s="36">
        <f t="shared" si="31"/>
        <v>6.4053489343919763</v>
      </c>
      <c r="G53" s="36">
        <f t="shared" si="31"/>
        <v>5.8020703933747413</v>
      </c>
      <c r="H53" s="36">
        <f t="shared" si="31"/>
        <v>6.5761081081081079</v>
      </c>
      <c r="I53" s="36">
        <f t="shared" si="31"/>
        <v>6.2968954962833408</v>
      </c>
      <c r="J53" s="36">
        <f t="shared" si="31"/>
        <v>5.3150496723737053</v>
      </c>
      <c r="K53" s="36">
        <f t="shared" si="31"/>
        <v>5.8697376449054302</v>
      </c>
      <c r="L53" s="36">
        <f t="shared" si="31"/>
        <v>5.9725247110068684</v>
      </c>
      <c r="M53" s="36">
        <f t="shared" si="31"/>
        <v>6.115413365226491</v>
      </c>
      <c r="N53" s="36">
        <f t="shared" si="31"/>
        <v>5.8967239312824606</v>
      </c>
      <c r="O53" s="36">
        <f t="shared" si="31"/>
        <v>4.9489109667558271</v>
      </c>
      <c r="P53" s="36">
        <f t="shared" si="31"/>
        <v>5.7201978136387295</v>
      </c>
      <c r="Q53" s="36">
        <f t="shared" si="31"/>
        <v>5.5904617036506803</v>
      </c>
      <c r="R53" s="36">
        <f t="shared" si="31"/>
        <v>5.7248456969838131</v>
      </c>
      <c r="S53" s="36">
        <f t="shared" si="31"/>
        <v>5.5082842041065261</v>
      </c>
      <c r="T53" s="36">
        <f t="shared" si="31"/>
        <v>5.6014878048780492</v>
      </c>
      <c r="U53" s="36">
        <f t="shared" si="31"/>
        <v>5.2782361813503682</v>
      </c>
      <c r="V53" s="36">
        <f t="shared" si="31"/>
        <v>5.2782361813503682</v>
      </c>
      <c r="W53" s="36">
        <f t="shared" si="31"/>
        <v>5.2782361813503682</v>
      </c>
      <c r="X53" s="36">
        <f t="shared" si="31"/>
        <v>5.2782361813503682</v>
      </c>
      <c r="Y53" s="36">
        <f t="shared" si="31"/>
        <v>5.2782361813503682</v>
      </c>
      <c r="Z53" s="36"/>
      <c r="AA53" s="36"/>
      <c r="AB53" s="31"/>
      <c r="AC53" s="31"/>
      <c r="AE53" s="30"/>
      <c r="AF53" s="30"/>
      <c r="AJ53" s="31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36"/>
    </row>
    <row r="54" spans="3:52">
      <c r="C54" s="38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1"/>
      <c r="AC54" s="31"/>
      <c r="AE54" s="30"/>
      <c r="AF54" s="30"/>
      <c r="AJ54" s="31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36"/>
    </row>
    <row r="55" spans="3:52">
      <c r="C55" s="38" t="s">
        <v>1545</v>
      </c>
      <c r="D55" s="25" t="str">
        <f t="shared" ref="D55:Y55" si="32">IFERROR(-(D56*D145-C56*C145),"...")</f>
        <v>...</v>
      </c>
      <c r="E55" s="25">
        <f t="shared" si="32"/>
        <v>-927</v>
      </c>
      <c r="F55" s="25">
        <f t="shared" si="32"/>
        <v>569</v>
      </c>
      <c r="G55" s="25">
        <f t="shared" si="32"/>
        <v>-1400</v>
      </c>
      <c r="H55" s="25">
        <f t="shared" si="32"/>
        <v>-12117</v>
      </c>
      <c r="I55" s="25">
        <f t="shared" si="32"/>
        <v>9260</v>
      </c>
      <c r="J55" s="25">
        <f t="shared" si="32"/>
        <v>262</v>
      </c>
      <c r="K55" s="25">
        <f t="shared" si="32"/>
        <v>-4339</v>
      </c>
      <c r="L55" s="25">
        <f t="shared" si="32"/>
        <v>-6618</v>
      </c>
      <c r="M55" s="25">
        <f t="shared" si="32"/>
        <v>3792</v>
      </c>
      <c r="N55" s="25">
        <f t="shared" si="32"/>
        <v>-4094</v>
      </c>
      <c r="O55" s="25">
        <f t="shared" si="32"/>
        <v>2646</v>
      </c>
      <c r="P55" s="25">
        <f t="shared" si="32"/>
        <v>3447</v>
      </c>
      <c r="Q55" s="25">
        <f t="shared" si="32"/>
        <v>-17287</v>
      </c>
      <c r="R55" s="25">
        <f t="shared" si="32"/>
        <v>-12136</v>
      </c>
      <c r="S55" s="25">
        <f t="shared" si="32"/>
        <v>-5451.9999999999927</v>
      </c>
      <c r="T55" s="25">
        <f t="shared" si="32"/>
        <v>1646.9999999999927</v>
      </c>
      <c r="U55" s="25">
        <f t="shared" si="32"/>
        <v>10829</v>
      </c>
      <c r="V55" s="25">
        <f t="shared" si="32"/>
        <v>-5485.7867020784324</v>
      </c>
      <c r="W55" s="25">
        <f t="shared" si="32"/>
        <v>-2156.7845124370215</v>
      </c>
      <c r="X55" s="25">
        <f t="shared" si="32"/>
        <v>-1249.7791758261155</v>
      </c>
      <c r="Y55" s="25">
        <f t="shared" si="32"/>
        <v>-2867.9616559976203</v>
      </c>
      <c r="Z55" s="25"/>
      <c r="AA55" s="25"/>
      <c r="AB55" s="31"/>
      <c r="AC55" s="31"/>
      <c r="AE55" s="30"/>
      <c r="AF55" s="30"/>
      <c r="AJ55" s="31"/>
      <c r="AY55" s="25"/>
      <c r="AZ55" s="27"/>
    </row>
    <row r="56" spans="3:52">
      <c r="C56" s="38" t="s">
        <v>362</v>
      </c>
      <c r="D56" s="31">
        <f t="shared" ref="D56:T56" si="33">IFERROR((D242-D229)/D145,"…")</f>
        <v>0.22891539179209333</v>
      </c>
      <c r="E56" s="31">
        <f t="shared" si="33"/>
        <v>0.2234958223117941</v>
      </c>
      <c r="F56" s="31">
        <f t="shared" si="33"/>
        <v>0.19759713945172824</v>
      </c>
      <c r="G56" s="31">
        <f t="shared" si="33"/>
        <v>0.20315527516827828</v>
      </c>
      <c r="H56" s="31">
        <f t="shared" si="33"/>
        <v>0.30085758470406299</v>
      </c>
      <c r="I56" s="31">
        <f t="shared" si="33"/>
        <v>0.23748181809539201</v>
      </c>
      <c r="J56" s="31">
        <f t="shared" si="33"/>
        <v>0.19482167487684729</v>
      </c>
      <c r="K56" s="31">
        <f t="shared" si="33"/>
        <v>0.18236191217356923</v>
      </c>
      <c r="L56" s="31">
        <f t="shared" si="33"/>
        <v>0.18515539039631299</v>
      </c>
      <c r="M56" s="31">
        <f t="shared" si="33"/>
        <v>0.16183688904455171</v>
      </c>
      <c r="N56" s="31">
        <f t="shared" si="33"/>
        <v>0.17770105404577741</v>
      </c>
      <c r="O56" s="31">
        <f t="shared" si="33"/>
        <v>0.15626933968456388</v>
      </c>
      <c r="P56" s="31">
        <f t="shared" si="33"/>
        <v>0.13754504825859426</v>
      </c>
      <c r="Q56" s="31">
        <f t="shared" si="33"/>
        <v>0.20448496198229599</v>
      </c>
      <c r="R56" s="31">
        <f t="shared" si="33"/>
        <v>0.2514617403508177</v>
      </c>
      <c r="S56" s="31">
        <f t="shared" si="33"/>
        <v>0.25633728110453147</v>
      </c>
      <c r="T56" s="31">
        <f t="shared" si="33"/>
        <v>0.28316074729455681</v>
      </c>
      <c r="U56" s="31">
        <f>IFERROR((U242-U229)/U145,"…")</f>
        <v>0.20896482813749001</v>
      </c>
      <c r="V56" s="31">
        <f>IFERROR((V242-V229)/V145,"…")</f>
        <v>0.20767387328024997</v>
      </c>
      <c r="W56" s="31">
        <f>IFERROR((W242-W229)/W145,"…")</f>
        <v>0.20638291842301004</v>
      </c>
      <c r="X56" s="31">
        <f>IFERROR((X242-X229)/X145,"…")</f>
        <v>0.20509196356576995</v>
      </c>
      <c r="Y56" s="31">
        <f>IFERROR((Y242-Y229)/Y145,"…")</f>
        <v>0.20380100870852996</v>
      </c>
      <c r="Z56" s="31"/>
      <c r="AA56" s="31"/>
      <c r="AB56" s="97" t="s">
        <v>1741</v>
      </c>
      <c r="AC56" s="97" t="s">
        <v>1741</v>
      </c>
      <c r="AE56" s="30"/>
      <c r="AF56" s="30"/>
      <c r="AJ56" s="31"/>
      <c r="AY56" s="31"/>
      <c r="AZ56" s="27"/>
    </row>
    <row r="57" spans="3:52">
      <c r="D57" s="5"/>
      <c r="E57" s="5"/>
      <c r="F57" s="5"/>
      <c r="G57" s="5"/>
      <c r="H57" s="5"/>
      <c r="I57" s="5"/>
      <c r="J57" s="23"/>
      <c r="N57" s="23"/>
      <c r="O57" s="5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5"/>
      <c r="AC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23"/>
      <c r="AZ57" s="5"/>
    </row>
    <row r="58" spans="3:52">
      <c r="D58" s="5"/>
      <c r="E58" s="5"/>
      <c r="F58" s="5"/>
      <c r="G58" s="5"/>
      <c r="H58" s="5"/>
      <c r="I58" s="5"/>
      <c r="J58" s="23"/>
      <c r="N58" s="23"/>
      <c r="O58" s="5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5"/>
      <c r="AC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23"/>
      <c r="AZ58" s="5"/>
    </row>
    <row r="59" spans="3:52">
      <c r="D59" s="5"/>
      <c r="E59" s="5"/>
      <c r="F59" s="5"/>
      <c r="G59" s="5"/>
      <c r="H59" s="5"/>
      <c r="I59" s="5"/>
      <c r="J59" s="23"/>
      <c r="N59" s="23"/>
      <c r="O59" s="5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5"/>
      <c r="AC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23"/>
      <c r="AZ59" s="5"/>
    </row>
    <row r="60" spans="3:52">
      <c r="P60" s="92"/>
      <c r="Q60" s="92"/>
      <c r="R60" s="95"/>
      <c r="S60" s="95"/>
      <c r="T60" s="95"/>
      <c r="U60" s="95">
        <f>IF(U71="…","…",-U71/U162)</f>
        <v>0.82060154378493477</v>
      </c>
      <c r="V60" s="95">
        <f>IF(V71="…","…",-V71/V162)</f>
        <v>0.7</v>
      </c>
      <c r="W60" s="95">
        <f>IF(W71="…","…",-W71/W162)</f>
        <v>0.75000000000000011</v>
      </c>
      <c r="X60" s="95">
        <f>IF(X71="…","…",-X71/X162)</f>
        <v>0.8</v>
      </c>
      <c r="Y60" s="95">
        <f>IF(Y71="…","…",-Y71/Y162)</f>
        <v>0.85</v>
      </c>
      <c r="Z60" s="95"/>
      <c r="AA60" s="95"/>
      <c r="AB60" s="5"/>
      <c r="AC60" s="5"/>
      <c r="AG60" s="27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95"/>
    </row>
    <row r="61" spans="3:52">
      <c r="C61" s="52"/>
      <c r="D61" s="5"/>
      <c r="E61" s="5"/>
      <c r="F61" s="5"/>
      <c r="G61" s="5"/>
      <c r="H61" s="5"/>
      <c r="I61" s="5"/>
      <c r="J61" s="23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"/>
      <c r="AC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4"/>
      <c r="AZ61" s="5"/>
    </row>
    <row r="62" spans="3:52" ht="13.15">
      <c r="C62" s="89" t="s">
        <v>2188</v>
      </c>
      <c r="D62" s="90">
        <f t="shared" ref="D62:Y62" si="34">IF(D$8="A",SUM(D71,D88),IF(D$8="E",IF(D61=0,D63,D73+D95),"?"))</f>
        <v>-7051</v>
      </c>
      <c r="E62" s="90">
        <f t="shared" si="34"/>
        <v>-5866</v>
      </c>
      <c r="F62" s="90">
        <f t="shared" si="34"/>
        <v>-5206</v>
      </c>
      <c r="G62" s="90">
        <f t="shared" si="34"/>
        <v>-6084</v>
      </c>
      <c r="H62" s="90">
        <f t="shared" si="34"/>
        <v>-9099</v>
      </c>
      <c r="I62" s="90">
        <f t="shared" si="34"/>
        <v>-7911</v>
      </c>
      <c r="J62" s="90">
        <f t="shared" si="34"/>
        <v>-7425</v>
      </c>
      <c r="K62" s="90">
        <f t="shared" si="34"/>
        <v>-9753</v>
      </c>
      <c r="L62" s="90">
        <f t="shared" si="34"/>
        <v>-13108</v>
      </c>
      <c r="M62" s="90">
        <f t="shared" si="34"/>
        <v>-15406</v>
      </c>
      <c r="N62" s="90">
        <f t="shared" si="34"/>
        <v>-16613</v>
      </c>
      <c r="O62" s="90">
        <f t="shared" si="34"/>
        <v>-18234</v>
      </c>
      <c r="P62" s="90">
        <f t="shared" si="34"/>
        <v>-18902</v>
      </c>
      <c r="Q62" s="90">
        <f t="shared" si="34"/>
        <v>-18312</v>
      </c>
      <c r="R62" s="90">
        <f t="shared" si="34"/>
        <v>-18963</v>
      </c>
      <c r="S62" s="90">
        <f t="shared" si="34"/>
        <v>-19401</v>
      </c>
      <c r="T62" s="90">
        <f t="shared" si="34"/>
        <v>-17746</v>
      </c>
      <c r="U62" s="90">
        <f t="shared" si="34"/>
        <v>-26341</v>
      </c>
      <c r="V62" s="90">
        <f t="shared" si="34"/>
        <v>0</v>
      </c>
      <c r="W62" s="90">
        <f t="shared" si="34"/>
        <v>0</v>
      </c>
      <c r="X62" s="90">
        <f t="shared" si="34"/>
        <v>0</v>
      </c>
      <c r="Y62" s="90">
        <f t="shared" si="34"/>
        <v>0</v>
      </c>
      <c r="Z62" s="90"/>
      <c r="AA62" s="90"/>
      <c r="AB62" s="5"/>
      <c r="AC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90"/>
      <c r="AZ62" s="5"/>
    </row>
    <row r="63" spans="3:52">
      <c r="C63" s="74" t="s">
        <v>2220</v>
      </c>
      <c r="D63" s="54">
        <f t="shared" ref="D63:Y63" si="35">SUM(D72,D92)</f>
        <v>-7051</v>
      </c>
      <c r="E63" s="54">
        <f t="shared" si="35"/>
        <v>-5866</v>
      </c>
      <c r="F63" s="54">
        <f t="shared" si="35"/>
        <v>-5206</v>
      </c>
      <c r="G63" s="54">
        <f t="shared" si="35"/>
        <v>-6084</v>
      </c>
      <c r="H63" s="54">
        <f t="shared" si="35"/>
        <v>-9099</v>
      </c>
      <c r="I63" s="54">
        <f t="shared" si="35"/>
        <v>-7911</v>
      </c>
      <c r="J63" s="54">
        <f t="shared" si="35"/>
        <v>-7425</v>
      </c>
      <c r="K63" s="54">
        <f t="shared" si="35"/>
        <v>-9753</v>
      </c>
      <c r="L63" s="54">
        <f t="shared" si="35"/>
        <v>-13108</v>
      </c>
      <c r="M63" s="54">
        <f t="shared" si="35"/>
        <v>-15406</v>
      </c>
      <c r="N63" s="54">
        <f t="shared" si="35"/>
        <v>-16613</v>
      </c>
      <c r="O63" s="54">
        <f t="shared" si="35"/>
        <v>-18234</v>
      </c>
      <c r="P63" s="54">
        <f t="shared" si="35"/>
        <v>-18902</v>
      </c>
      <c r="Q63" s="54">
        <f t="shared" si="35"/>
        <v>-18312</v>
      </c>
      <c r="R63" s="54">
        <f t="shared" si="35"/>
        <v>-18963</v>
      </c>
      <c r="S63" s="54">
        <f t="shared" si="35"/>
        <v>-19401</v>
      </c>
      <c r="T63" s="54">
        <f t="shared" si="35"/>
        <v>-17746</v>
      </c>
      <c r="U63" s="54">
        <f t="shared" si="35"/>
        <v>-26341</v>
      </c>
      <c r="V63" s="54">
        <f t="shared" si="35"/>
        <v>0</v>
      </c>
      <c r="W63" s="54">
        <f t="shared" si="35"/>
        <v>0</v>
      </c>
      <c r="X63" s="54">
        <f t="shared" si="35"/>
        <v>0</v>
      </c>
      <c r="Y63" s="54">
        <f t="shared" si="35"/>
        <v>0</v>
      </c>
      <c r="Z63" s="54"/>
      <c r="AA63" s="54"/>
      <c r="AB63" s="5"/>
      <c r="AC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4"/>
      <c r="AZ63" s="5"/>
    </row>
    <row r="64" spans="3:52" hidden="1" outlineLevel="1">
      <c r="C64" s="74" t="s">
        <v>3626</v>
      </c>
      <c r="D64" s="94"/>
      <c r="E64" s="94"/>
      <c r="F64" s="94"/>
      <c r="G64" s="94"/>
      <c r="H64" s="94"/>
      <c r="I64" s="94"/>
      <c r="J64" s="94"/>
      <c r="K64" s="94"/>
      <c r="L64" s="94"/>
      <c r="M64" s="94"/>
      <c r="N64" s="94"/>
      <c r="O64" s="94" t="str">
        <f t="shared" ref="O64:Y64" si="36">IFERROR(1/(1/AM25),"…")</f>
        <v>…</v>
      </c>
      <c r="P64" s="94" t="str">
        <f t="shared" si="36"/>
        <v>…</v>
      </c>
      <c r="Q64" s="94" t="str">
        <f t="shared" si="36"/>
        <v>…</v>
      </c>
      <c r="R64" s="94" t="str">
        <f t="shared" si="36"/>
        <v>…</v>
      </c>
      <c r="S64" s="94">
        <f t="shared" si="36"/>
        <v>-20607.214</v>
      </c>
      <c r="T64" s="94">
        <f t="shared" si="36"/>
        <v>-16145.6</v>
      </c>
      <c r="U64" s="94">
        <f t="shared" si="36"/>
        <v>-16201.499999999998</v>
      </c>
      <c r="V64" s="94">
        <f t="shared" si="36"/>
        <v>-19611.544999999998</v>
      </c>
      <c r="W64" s="94">
        <f t="shared" si="36"/>
        <v>-20830</v>
      </c>
      <c r="X64" s="94">
        <f t="shared" si="36"/>
        <v>-22177.332999999999</v>
      </c>
      <c r="Y64" s="94">
        <f t="shared" si="36"/>
        <v>-23946.332999999999</v>
      </c>
      <c r="Z64" s="94"/>
      <c r="AA64" s="94"/>
      <c r="AB64" s="23"/>
      <c r="AC64" s="58">
        <f>SUMIFS(D63:AA63,D8:AA8,"A",D64:AA64,"&lt;0")/SUMIFS(D64:AA64,D8:AA8,"A")</f>
        <v>1.1989202617184316</v>
      </c>
      <c r="AD64" s="27">
        <f>-2151.751/-2171.527</f>
        <v>0.99089304438765913</v>
      </c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94"/>
      <c r="AZ64" s="5"/>
    </row>
    <row r="65" spans="3:52" collapsed="1">
      <c r="C65" s="52"/>
      <c r="D65" s="5"/>
      <c r="E65" s="5"/>
      <c r="F65" s="5"/>
      <c r="G65" s="5"/>
      <c r="H65" s="5"/>
      <c r="I65" s="5"/>
      <c r="J65" s="23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"/>
      <c r="AC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4"/>
      <c r="AZ65" s="5"/>
    </row>
    <row r="66" spans="3:52">
      <c r="C66" s="38" t="s">
        <v>2222</v>
      </c>
      <c r="D66" s="110">
        <f t="shared" ref="D66:N66" si="37">D72/(SUM(D72,D93))</f>
        <v>0.78712239398666861</v>
      </c>
      <c r="E66" s="110">
        <f t="shared" si="37"/>
        <v>0.7558813501534265</v>
      </c>
      <c r="F66" s="110">
        <f t="shared" si="37"/>
        <v>0.71609681137149439</v>
      </c>
      <c r="G66" s="110">
        <f t="shared" si="37"/>
        <v>0.76232741617357003</v>
      </c>
      <c r="H66" s="110">
        <f t="shared" si="37"/>
        <v>0.75645675348939445</v>
      </c>
      <c r="I66" s="110">
        <f t="shared" si="37"/>
        <v>0.75376058652509159</v>
      </c>
      <c r="J66" s="110">
        <f t="shared" si="37"/>
        <v>0.77548821548821545</v>
      </c>
      <c r="K66" s="110">
        <f t="shared" si="37"/>
        <v>0.82918076489285353</v>
      </c>
      <c r="L66" s="110">
        <f t="shared" si="37"/>
        <v>0.8005035093072933</v>
      </c>
      <c r="M66" s="110">
        <f t="shared" si="37"/>
        <v>0.73899779306763602</v>
      </c>
      <c r="N66" s="110">
        <f t="shared" si="37"/>
        <v>0.72304821525311502</v>
      </c>
      <c r="O66" s="110">
        <f>IF(O8="A",O72/(SUM(O72,O93)),"?")</f>
        <v>0.72463529669847537</v>
      </c>
      <c r="P66" s="110">
        <f t="shared" ref="P66:Y66" si="38">IF(P8="A",P72/(SUM(P72,P93)),P73/(SUM(P73,P95)))</f>
        <v>0.69579938630832716</v>
      </c>
      <c r="Q66" s="110">
        <f t="shared" si="38"/>
        <v>0.71275666229794665</v>
      </c>
      <c r="R66" s="110">
        <f t="shared" si="38"/>
        <v>0.72398882033433531</v>
      </c>
      <c r="S66" s="110">
        <f t="shared" si="38"/>
        <v>0.73346734704396677</v>
      </c>
      <c r="T66" s="110">
        <f>IF(T8="A",T72/(SUM(T72,T93)),T73/(SUM(T73,T95)))</f>
        <v>0.63524174461850558</v>
      </c>
      <c r="U66" s="110">
        <f t="shared" si="38"/>
        <v>0.70225124330891009</v>
      </c>
      <c r="V66" s="110">
        <f>IF(V8="A",V72/(SUM(V72,V93)),V73/(SUM(V73,V95)))</f>
        <v>0.75128952667755033</v>
      </c>
      <c r="W66" s="110">
        <f t="shared" si="38"/>
        <v>0.71825849971551758</v>
      </c>
      <c r="X66" s="110">
        <f t="shared" si="38"/>
        <v>0.68935408884357197</v>
      </c>
      <c r="Y66" s="110">
        <f t="shared" si="38"/>
        <v>0.65758928795454308</v>
      </c>
      <c r="Z66" s="110"/>
      <c r="AA66" s="110"/>
      <c r="AB66" s="5"/>
      <c r="AC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4"/>
      <c r="AZ66" s="5"/>
    </row>
    <row r="67" spans="3:52">
      <c r="C67" s="74" t="s">
        <v>2144</v>
      </c>
      <c r="D67" s="5"/>
      <c r="E67" s="5"/>
      <c r="F67" s="5"/>
      <c r="G67" s="5"/>
      <c r="H67" s="5"/>
      <c r="I67" s="5"/>
      <c r="J67" s="23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"/>
      <c r="AC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4"/>
      <c r="AZ67" s="5"/>
    </row>
    <row r="68" spans="3:52">
      <c r="C68" s="52"/>
      <c r="D68" s="5"/>
      <c r="E68" s="5"/>
      <c r="F68" s="5"/>
      <c r="G68" s="5"/>
      <c r="H68" s="5"/>
      <c r="I68" s="5"/>
      <c r="J68" s="23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"/>
      <c r="AC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4"/>
      <c r="AZ68" s="5"/>
    </row>
    <row r="69" spans="3:52">
      <c r="C69" s="53" t="s">
        <v>2003</v>
      </c>
      <c r="D69" s="6" t="str">
        <f t="shared" ref="D69:J69" si="39">IF(D71="…","…",IFERROR(-D71/C147,"…"))</f>
        <v>…</v>
      </c>
      <c r="E69" s="6">
        <f t="shared" si="39"/>
        <v>4.9840945112012862E-2</v>
      </c>
      <c r="F69" s="6">
        <f t="shared" si="39"/>
        <v>3.9131712642230337E-2</v>
      </c>
      <c r="G69" s="6">
        <f t="shared" si="39"/>
        <v>4.4224076281287245E-2</v>
      </c>
      <c r="H69" s="6">
        <f t="shared" si="39"/>
        <v>6.3206516249299793E-2</v>
      </c>
      <c r="I69" s="6">
        <f t="shared" si="39"/>
        <v>5.2395262195979196E-2</v>
      </c>
      <c r="J69" s="6">
        <f t="shared" si="39"/>
        <v>5.4740604827592763E-2</v>
      </c>
      <c r="K69" s="6">
        <f t="shared" ref="K69:Y69" si="40">IF(K71="…","…",IFERROR(-K71/K147,"…"))</f>
        <v>5.07540621450134E-2</v>
      </c>
      <c r="L69" s="6">
        <f t="shared" si="40"/>
        <v>5.4459299549502793E-2</v>
      </c>
      <c r="M69" s="6">
        <f t="shared" si="40"/>
        <v>5.7789824727040154E-2</v>
      </c>
      <c r="N69" s="6">
        <f t="shared" si="40"/>
        <v>5.9330824170939156E-2</v>
      </c>
      <c r="O69" s="6">
        <f t="shared" si="40"/>
        <v>6.1947939913358216E-2</v>
      </c>
      <c r="P69" s="6">
        <f t="shared" si="40"/>
        <v>6.0533813234407437E-2</v>
      </c>
      <c r="Q69" s="6">
        <f t="shared" si="40"/>
        <v>5.6580053927051094E-2</v>
      </c>
      <c r="R69" s="6">
        <f t="shared" si="40"/>
        <v>5.8210973970633753E-2</v>
      </c>
      <c r="S69" s="6">
        <f t="shared" si="40"/>
        <v>5.6326989455017573E-2</v>
      </c>
      <c r="T69" s="6">
        <f t="shared" si="40"/>
        <v>5.0577879076111339E-2</v>
      </c>
      <c r="U69" s="6">
        <f t="shared" si="40"/>
        <v>7.3932853717026376E-2</v>
      </c>
      <c r="V69" s="6">
        <f t="shared" si="40"/>
        <v>6.3503558155029005E-2</v>
      </c>
      <c r="W69" s="6">
        <f t="shared" si="40"/>
        <v>6.1776302486905015E-2</v>
      </c>
      <c r="X69" s="6">
        <f t="shared" si="40"/>
        <v>6.1448905367171854E-2</v>
      </c>
      <c r="Y69" s="6">
        <f t="shared" si="40"/>
        <v>6.0078155811708334E-2</v>
      </c>
      <c r="Z69" s="6"/>
      <c r="AA69" s="6"/>
      <c r="AB69" s="5"/>
      <c r="AC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6"/>
      <c r="AZ69" s="5"/>
    </row>
    <row r="70" spans="3:52">
      <c r="C70" s="52"/>
      <c r="D70" s="5"/>
      <c r="E70" s="5"/>
      <c r="F70" s="5"/>
      <c r="G70" s="5"/>
      <c r="H70" s="5"/>
      <c r="I70" s="5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5"/>
      <c r="AC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23"/>
      <c r="AZ70" s="5"/>
    </row>
    <row r="71" spans="3:52" ht="13.15">
      <c r="C71" s="89" t="s">
        <v>2221</v>
      </c>
      <c r="D71" s="90">
        <f t="shared" ref="D71:V71" si="41">IF(ISNUMBER(D72),D72,IF(ISNUMBER(D73),D73,"…"))</f>
        <v>-5550</v>
      </c>
      <c r="E71" s="90">
        <f t="shared" si="41"/>
        <v>-4434</v>
      </c>
      <c r="F71" s="90">
        <f t="shared" si="41"/>
        <v>-3728</v>
      </c>
      <c r="G71" s="90">
        <f t="shared" si="41"/>
        <v>-4638</v>
      </c>
      <c r="H71" s="90">
        <f t="shared" si="41"/>
        <v>-6883</v>
      </c>
      <c r="I71" s="90">
        <f t="shared" si="41"/>
        <v>-5963</v>
      </c>
      <c r="J71" s="90">
        <f t="shared" si="41"/>
        <v>-5758</v>
      </c>
      <c r="K71" s="90">
        <f t="shared" si="41"/>
        <v>-8087</v>
      </c>
      <c r="L71" s="90">
        <f t="shared" si="41"/>
        <v>-10493</v>
      </c>
      <c r="M71" s="90">
        <f t="shared" si="41"/>
        <v>-11385</v>
      </c>
      <c r="N71" s="90">
        <f t="shared" si="41"/>
        <v>-12012</v>
      </c>
      <c r="O71" s="90">
        <f t="shared" si="41"/>
        <v>-13213</v>
      </c>
      <c r="P71" s="90">
        <f t="shared" si="41"/>
        <v>-13152</v>
      </c>
      <c r="Q71" s="90">
        <f t="shared" si="41"/>
        <v>-13052</v>
      </c>
      <c r="R71" s="90">
        <f t="shared" si="41"/>
        <v>-13729</v>
      </c>
      <c r="S71" s="90">
        <f t="shared" si="41"/>
        <v>-14230</v>
      </c>
      <c r="T71" s="90">
        <f t="shared" si="41"/>
        <v>-11273</v>
      </c>
      <c r="U71" s="90">
        <f t="shared" si="41"/>
        <v>-18498</v>
      </c>
      <c r="V71" s="90">
        <f t="shared" si="41"/>
        <v>-17664.829224475128</v>
      </c>
      <c r="W71" s="90">
        <f>IF(ISNUMBER(W72),W72,IF(ISNUMBER(W73),W73,"…"))</f>
        <v>-17937.435144030474</v>
      </c>
      <c r="X71" s="90">
        <f>IF(ISNUMBER(X72),X72,IF(ISNUMBER(X73),X73,"…"))</f>
        <v>-18329.135142997315</v>
      </c>
      <c r="Y71" s="90">
        <f>IF(ISNUMBER(Y72),Y72,IF(ISNUMBER(Y73),Y73,"…"))</f>
        <v>-18879.220000920359</v>
      </c>
      <c r="Z71" s="90"/>
      <c r="AA71" s="90"/>
      <c r="AB71" s="27"/>
      <c r="AC71" s="27"/>
      <c r="AD71" s="27"/>
      <c r="AE71" s="27"/>
      <c r="AF71" s="27"/>
      <c r="AG71" s="27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90"/>
    </row>
    <row r="72" spans="3:52">
      <c r="C72" s="67" t="s">
        <v>1549</v>
      </c>
      <c r="D72" s="68">
        <f t="shared" ref="D72:Y72" si="42">IFERROR(D478/1,"…")</f>
        <v>-5550</v>
      </c>
      <c r="E72" s="68">
        <f t="shared" si="42"/>
        <v>-4434</v>
      </c>
      <c r="F72" s="68">
        <f t="shared" si="42"/>
        <v>-3728</v>
      </c>
      <c r="G72" s="68">
        <f t="shared" si="42"/>
        <v>-4638</v>
      </c>
      <c r="H72" s="68">
        <f t="shared" si="42"/>
        <v>-6883</v>
      </c>
      <c r="I72" s="68">
        <f t="shared" si="42"/>
        <v>-5963</v>
      </c>
      <c r="J72" s="68">
        <f t="shared" si="42"/>
        <v>-5758</v>
      </c>
      <c r="K72" s="68">
        <f t="shared" si="42"/>
        <v>-8087</v>
      </c>
      <c r="L72" s="68">
        <f t="shared" si="42"/>
        <v>-10493</v>
      </c>
      <c r="M72" s="68">
        <f t="shared" si="42"/>
        <v>-11385</v>
      </c>
      <c r="N72" s="68">
        <f t="shared" si="42"/>
        <v>-12012</v>
      </c>
      <c r="O72" s="68">
        <f t="shared" si="42"/>
        <v>-13213</v>
      </c>
      <c r="P72" s="68">
        <f t="shared" si="42"/>
        <v>-13152</v>
      </c>
      <c r="Q72" s="68">
        <f t="shared" si="42"/>
        <v>-13052</v>
      </c>
      <c r="R72" s="68">
        <f t="shared" si="42"/>
        <v>-13729</v>
      </c>
      <c r="S72" s="68">
        <f t="shared" si="42"/>
        <v>-14230</v>
      </c>
      <c r="T72" s="68">
        <f t="shared" si="42"/>
        <v>-11273</v>
      </c>
      <c r="U72" s="68">
        <f t="shared" si="42"/>
        <v>-18498</v>
      </c>
      <c r="V72" s="68" t="str">
        <f t="shared" si="42"/>
        <v>…</v>
      </c>
      <c r="W72" s="68" t="str">
        <f t="shared" si="42"/>
        <v>…</v>
      </c>
      <c r="X72" s="68" t="str">
        <f t="shared" si="42"/>
        <v>…</v>
      </c>
      <c r="Y72" s="68" t="str">
        <f t="shared" si="42"/>
        <v>…</v>
      </c>
      <c r="Z72" s="68"/>
      <c r="AA72" s="68"/>
      <c r="AB72" s="23"/>
      <c r="AC72" s="23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68"/>
      <c r="AZ72" s="5"/>
    </row>
    <row r="73" spans="3:52" ht="13.15">
      <c r="C73" s="67" t="s">
        <v>353</v>
      </c>
      <c r="D73" s="7"/>
      <c r="E73" s="55" t="str">
        <f t="shared" ref="E73:V73" si="43">IFERROR(-E79*E162,"…")</f>
        <v>…</v>
      </c>
      <c r="F73" s="55" t="str">
        <f t="shared" si="43"/>
        <v>…</v>
      </c>
      <c r="G73" s="55" t="str">
        <f t="shared" si="43"/>
        <v>…</v>
      </c>
      <c r="H73" s="55" t="str">
        <f t="shared" si="43"/>
        <v>…</v>
      </c>
      <c r="I73" s="55" t="str">
        <f t="shared" si="43"/>
        <v>…</v>
      </c>
      <c r="J73" s="55" t="str">
        <f t="shared" si="43"/>
        <v>…</v>
      </c>
      <c r="K73" s="55" t="str">
        <f t="shared" si="43"/>
        <v>…</v>
      </c>
      <c r="L73" s="55" t="str">
        <f t="shared" si="43"/>
        <v>…</v>
      </c>
      <c r="M73" s="55" t="str">
        <f t="shared" si="43"/>
        <v>…</v>
      </c>
      <c r="N73" s="55" t="str">
        <f t="shared" si="43"/>
        <v>…</v>
      </c>
      <c r="O73" s="55" t="str">
        <f t="shared" si="43"/>
        <v>…</v>
      </c>
      <c r="P73" s="55" t="str">
        <f t="shared" si="43"/>
        <v>…</v>
      </c>
      <c r="Q73" s="55" t="str">
        <f t="shared" si="43"/>
        <v>…</v>
      </c>
      <c r="R73" s="55" t="str">
        <f t="shared" si="43"/>
        <v>…</v>
      </c>
      <c r="S73" s="55" t="str">
        <f t="shared" si="43"/>
        <v>…</v>
      </c>
      <c r="T73" s="55" t="str">
        <f t="shared" si="43"/>
        <v>…</v>
      </c>
      <c r="U73" s="55" t="str">
        <f t="shared" si="43"/>
        <v>…</v>
      </c>
      <c r="V73" s="55">
        <f t="shared" si="43"/>
        <v>-17664.829224475128</v>
      </c>
      <c r="W73" s="55">
        <f>IFERROR(-W79*W162,"…")</f>
        <v>-17937.435144030474</v>
      </c>
      <c r="X73" s="55">
        <f>IFERROR(-X79*X162,"…")</f>
        <v>-18329.135142997315</v>
      </c>
      <c r="Y73" s="55">
        <f>IFERROR(-Y79*Y162,"…")</f>
        <v>-18879.220000920359</v>
      </c>
      <c r="Z73" s="55"/>
      <c r="AA73" s="55"/>
      <c r="AG73" s="9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5"/>
      <c r="AZ73" s="5"/>
    </row>
    <row r="74" spans="3:52" ht="13.15">
      <c r="C74" s="67" t="s">
        <v>2474</v>
      </c>
      <c r="D74" s="7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G74" s="9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5"/>
      <c r="AZ74" s="5"/>
    </row>
    <row r="75" spans="3:52">
      <c r="C75" s="52"/>
      <c r="D75" s="68"/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55"/>
      <c r="AB75" s="23"/>
      <c r="AC75" s="23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68"/>
      <c r="AZ75" s="5"/>
    </row>
    <row r="76" spans="3:52">
      <c r="C76" s="53" t="s">
        <v>344</v>
      </c>
      <c r="D76" s="109"/>
      <c r="E76" s="109">
        <f t="shared" ref="E76:Y76" si="44">IF(E8="A",IF(E72="…","…",-E72/E162),IF(E73="…","…",-E73/E$162))</f>
        <v>0.85056589295990792</v>
      </c>
      <c r="F76" s="109">
        <f t="shared" si="44"/>
        <v>0.77893857083159213</v>
      </c>
      <c r="G76" s="109">
        <f t="shared" si="44"/>
        <v>0.96024844720496894</v>
      </c>
      <c r="H76" s="109">
        <f t="shared" si="44"/>
        <v>1.4882162162162162</v>
      </c>
      <c r="I76" s="109">
        <f t="shared" si="44"/>
        <v>1.3036729339746393</v>
      </c>
      <c r="J76" s="109">
        <f t="shared" si="44"/>
        <v>1.2170788416825196</v>
      </c>
      <c r="K76" s="109">
        <f t="shared" si="44"/>
        <v>1.6447020540980273</v>
      </c>
      <c r="L76" s="109">
        <f t="shared" si="44"/>
        <v>1.757915898810521</v>
      </c>
      <c r="M76" s="109">
        <f t="shared" si="44"/>
        <v>1.7020481387352369</v>
      </c>
      <c r="N76" s="109">
        <f t="shared" si="44"/>
        <v>1.5996803835397524</v>
      </c>
      <c r="O76" s="109">
        <f t="shared" si="44"/>
        <v>1.0097821933511655</v>
      </c>
      <c r="P76" s="109">
        <f t="shared" si="44"/>
        <v>0.85580426861009895</v>
      </c>
      <c r="Q76" s="109">
        <f t="shared" si="44"/>
        <v>0.77857313290384156</v>
      </c>
      <c r="R76" s="109">
        <f t="shared" si="44"/>
        <v>0.79940607895656224</v>
      </c>
      <c r="S76" s="109">
        <f t="shared" si="44"/>
        <v>0.72321610083350274</v>
      </c>
      <c r="T76" s="109">
        <f t="shared" si="44"/>
        <v>0.54990243902439029</v>
      </c>
      <c r="U76" s="109">
        <f t="shared" si="44"/>
        <v>0.82060154378493477</v>
      </c>
      <c r="V76" s="109">
        <f t="shared" si="44"/>
        <v>0.7</v>
      </c>
      <c r="W76" s="109">
        <f t="shared" si="44"/>
        <v>0.75000000000000011</v>
      </c>
      <c r="X76" s="109">
        <f t="shared" si="44"/>
        <v>0.8</v>
      </c>
      <c r="Y76" s="109">
        <f t="shared" si="44"/>
        <v>0.85</v>
      </c>
      <c r="Z76" s="109"/>
      <c r="AA76" s="55"/>
      <c r="AB76" s="5"/>
      <c r="AC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109"/>
      <c r="AZ76" s="5"/>
    </row>
    <row r="77" spans="3:52">
      <c r="C77" s="52" t="s">
        <v>1548</v>
      </c>
      <c r="D77" s="73"/>
      <c r="E77" s="73"/>
      <c r="F77" s="73"/>
      <c r="G77" s="73"/>
      <c r="H77" s="73"/>
      <c r="I77" s="73"/>
      <c r="J77" s="73"/>
      <c r="K77" s="73"/>
      <c r="L77" s="73"/>
      <c r="M77" s="73"/>
      <c r="N77" s="73"/>
      <c r="O77" s="7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09"/>
      <c r="AA77" s="55"/>
      <c r="AB77" s="5"/>
      <c r="AC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23"/>
      <c r="AZ77" s="5"/>
    </row>
    <row r="78" spans="3:52">
      <c r="C78" s="52"/>
      <c r="D78" s="73"/>
      <c r="E78" s="73"/>
      <c r="F78" s="73"/>
      <c r="G78" s="73"/>
      <c r="H78" s="73"/>
      <c r="I78" s="73"/>
      <c r="J78" s="73"/>
      <c r="K78" s="73"/>
      <c r="L78" s="73"/>
      <c r="M78" s="73"/>
      <c r="N78" s="73"/>
      <c r="O78" s="7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09"/>
      <c r="AA78" s="55"/>
      <c r="AB78" s="5"/>
      <c r="AC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23"/>
      <c r="AZ78" s="5"/>
    </row>
    <row r="79" spans="3:52" ht="13.15">
      <c r="C79" s="52" t="s">
        <v>1550</v>
      </c>
      <c r="D79" s="109" t="str">
        <f t="shared" ref="D79:Y79" si="45">IF(D8="A","…",IFERROR(IF(D80&gt;0,D80,IFERROR(1/(1/(D82*D83)),IFERROR(1/(1/(D85*D86)),"no dep. ratio"))),"…"))</f>
        <v>…</v>
      </c>
      <c r="E79" s="109" t="str">
        <f t="shared" si="45"/>
        <v>…</v>
      </c>
      <c r="F79" s="109" t="str">
        <f t="shared" si="45"/>
        <v>…</v>
      </c>
      <c r="G79" s="109" t="str">
        <f t="shared" si="45"/>
        <v>…</v>
      </c>
      <c r="H79" s="109" t="str">
        <f t="shared" si="45"/>
        <v>…</v>
      </c>
      <c r="I79" s="109" t="str">
        <f t="shared" si="45"/>
        <v>…</v>
      </c>
      <c r="J79" s="109" t="str">
        <f t="shared" si="45"/>
        <v>…</v>
      </c>
      <c r="K79" s="109" t="str">
        <f t="shared" si="45"/>
        <v>…</v>
      </c>
      <c r="L79" s="109" t="str">
        <f t="shared" si="45"/>
        <v>…</v>
      </c>
      <c r="M79" s="109" t="str">
        <f t="shared" si="45"/>
        <v>…</v>
      </c>
      <c r="N79" s="109" t="str">
        <f t="shared" si="45"/>
        <v>…</v>
      </c>
      <c r="O79" s="109" t="str">
        <f t="shared" si="45"/>
        <v>…</v>
      </c>
      <c r="P79" s="109" t="str">
        <f t="shared" si="45"/>
        <v>…</v>
      </c>
      <c r="Q79" s="109" t="str">
        <f t="shared" si="45"/>
        <v>…</v>
      </c>
      <c r="R79" s="109" t="str">
        <f t="shared" si="45"/>
        <v>…</v>
      </c>
      <c r="S79" s="109" t="str">
        <f t="shared" si="45"/>
        <v>…</v>
      </c>
      <c r="T79" s="109" t="str">
        <f t="shared" si="45"/>
        <v>…</v>
      </c>
      <c r="U79" s="109" t="str">
        <f t="shared" si="45"/>
        <v>…</v>
      </c>
      <c r="V79" s="129">
        <f t="shared" si="45"/>
        <v>0.7</v>
      </c>
      <c r="W79" s="129">
        <f t="shared" si="45"/>
        <v>0.75</v>
      </c>
      <c r="X79" s="129">
        <f t="shared" si="45"/>
        <v>0.8</v>
      </c>
      <c r="Y79" s="129">
        <f t="shared" si="45"/>
        <v>0.85</v>
      </c>
      <c r="Z79" s="109"/>
      <c r="AA79" s="55"/>
      <c r="AG79" s="9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36"/>
      <c r="AZ79" s="5"/>
    </row>
    <row r="80" spans="3:52">
      <c r="C80" s="52" t="s">
        <v>1551</v>
      </c>
      <c r="D80" s="36"/>
      <c r="E80" s="36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113">
        <v>0</v>
      </c>
      <c r="S80" s="113">
        <v>0</v>
      </c>
      <c r="T80" s="113">
        <v>0</v>
      </c>
      <c r="U80" s="113">
        <v>0</v>
      </c>
      <c r="V80" s="130">
        <v>0.7</v>
      </c>
      <c r="W80" s="130">
        <v>0.75</v>
      </c>
      <c r="X80" s="130">
        <v>0.8</v>
      </c>
      <c r="Y80" s="130">
        <v>0.85</v>
      </c>
      <c r="Z80" s="109"/>
      <c r="AA80" s="5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75"/>
      <c r="AZ80" s="5"/>
    </row>
    <row r="81" spans="1:54">
      <c r="Z81" s="109"/>
      <c r="AA81" s="55"/>
    </row>
    <row r="82" spans="1:54" ht="13.15" thickBot="1">
      <c r="C82" s="74" t="s">
        <v>2144</v>
      </c>
      <c r="R82" s="75">
        <v>0</v>
      </c>
      <c r="S82" s="75">
        <v>1</v>
      </c>
      <c r="T82" s="75">
        <v>1</v>
      </c>
      <c r="U82" s="75">
        <v>1</v>
      </c>
      <c r="V82" s="75">
        <v>1</v>
      </c>
      <c r="W82" s="75">
        <v>1</v>
      </c>
      <c r="X82" s="75">
        <v>1</v>
      </c>
      <c r="Y82" s="75">
        <v>1</v>
      </c>
      <c r="Z82" s="109"/>
      <c r="AA82" s="55"/>
    </row>
    <row r="83" spans="1:54" ht="13.15" thickBot="1">
      <c r="D83" s="36" t="str">
        <f t="shared" ref="D83:P83" si="46">IF("E"=D8,MAX($AF$86,C76-(($K$76-$AF$86)/$AF$83)),"…")</f>
        <v>…</v>
      </c>
      <c r="E83" s="36" t="str">
        <f t="shared" si="46"/>
        <v>…</v>
      </c>
      <c r="F83" s="36" t="str">
        <f t="shared" si="46"/>
        <v>…</v>
      </c>
      <c r="G83" s="36" t="str">
        <f t="shared" si="46"/>
        <v>…</v>
      </c>
      <c r="H83" s="36" t="str">
        <f t="shared" si="46"/>
        <v>…</v>
      </c>
      <c r="I83" s="36" t="str">
        <f t="shared" si="46"/>
        <v>…</v>
      </c>
      <c r="J83" s="36" t="str">
        <f t="shared" si="46"/>
        <v>…</v>
      </c>
      <c r="K83" s="36" t="str">
        <f t="shared" si="46"/>
        <v>…</v>
      </c>
      <c r="L83" s="36" t="str">
        <f t="shared" si="46"/>
        <v>…</v>
      </c>
      <c r="M83" s="36" t="str">
        <f t="shared" si="46"/>
        <v>…</v>
      </c>
      <c r="N83" s="36" t="str">
        <f t="shared" si="46"/>
        <v>…</v>
      </c>
      <c r="O83" s="36" t="str">
        <f t="shared" si="46"/>
        <v>…</v>
      </c>
      <c r="P83" s="36" t="str">
        <f t="shared" si="46"/>
        <v>…</v>
      </c>
      <c r="Q83" s="25" t="str">
        <f t="shared" ref="Q83:Y83" si="47">IF("E"=Q8,MAX($AF$86,P76-((P76-$AF$86)/($AF$83-COUNTIF(D8:Q8,"E")+1))),"…")</f>
        <v>…</v>
      </c>
      <c r="R83" s="25" t="str">
        <f t="shared" si="47"/>
        <v>…</v>
      </c>
      <c r="S83" s="25" t="str">
        <f t="shared" si="47"/>
        <v>…</v>
      </c>
      <c r="T83" s="25" t="str">
        <f t="shared" si="47"/>
        <v>…</v>
      </c>
      <c r="U83" s="25" t="str">
        <f t="shared" si="47"/>
        <v>…</v>
      </c>
      <c r="V83" s="25">
        <f t="shared" si="47"/>
        <v>0.79648123502794776</v>
      </c>
      <c r="W83" s="25">
        <f t="shared" si="47"/>
        <v>0.7</v>
      </c>
      <c r="X83" s="25">
        <f t="shared" si="47"/>
        <v>0.73333333333333339</v>
      </c>
      <c r="Y83" s="25">
        <f t="shared" si="47"/>
        <v>0.75</v>
      </c>
      <c r="Z83" s="109"/>
      <c r="AA83" s="125" t="s">
        <v>3813</v>
      </c>
      <c r="AC83" s="29" t="s">
        <v>324</v>
      </c>
      <c r="AF83" s="26">
        <v>5</v>
      </c>
      <c r="AG83" s="29" t="s">
        <v>1748</v>
      </c>
      <c r="AK83" s="22"/>
      <c r="AY83" s="36"/>
    </row>
    <row r="84" spans="1:54">
      <c r="D84" s="36"/>
      <c r="E84" s="36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25"/>
      <c r="R84" s="25"/>
      <c r="S84" s="25"/>
      <c r="T84" s="25"/>
      <c r="U84" s="25"/>
      <c r="V84" s="25"/>
      <c r="W84" s="25"/>
      <c r="X84" s="25"/>
      <c r="Y84" s="25"/>
      <c r="Z84" s="109"/>
      <c r="AA84" s="55"/>
      <c r="AC84" s="29"/>
      <c r="AF84" s="23"/>
      <c r="AG84" s="29"/>
      <c r="AK84" s="22"/>
      <c r="AY84" s="36"/>
    </row>
    <row r="85" spans="1:54" ht="13.15" thickBot="1">
      <c r="C85" s="74" t="s">
        <v>2145</v>
      </c>
      <c r="R85" s="75">
        <v>0</v>
      </c>
      <c r="S85" s="75">
        <v>0</v>
      </c>
      <c r="T85" s="75">
        <v>0</v>
      </c>
      <c r="U85" s="75">
        <v>0</v>
      </c>
      <c r="V85" s="75">
        <v>0</v>
      </c>
      <c r="W85" s="75">
        <v>0</v>
      </c>
      <c r="X85" s="75">
        <v>0</v>
      </c>
      <c r="Y85" s="75">
        <v>0</v>
      </c>
      <c r="Z85" s="109"/>
      <c r="AA85" s="55"/>
    </row>
    <row r="86" spans="1:54" s="33" customFormat="1" ht="13.5" thickBot="1">
      <c r="A86" s="5"/>
      <c r="B86" s="5"/>
      <c r="C86" s="74"/>
      <c r="D86" s="7"/>
      <c r="E86" s="7"/>
      <c r="F86" s="7"/>
      <c r="G86" s="7"/>
      <c r="H86" s="7"/>
      <c r="I86" s="7"/>
      <c r="J86" s="7"/>
      <c r="K86" s="36" t="str">
        <f>IF("E"=K8,(SUM($D76:J76)-MAX($D76:J76)-MIN($D76:J76))/(COUNT($D76:J76)-2),"…")</f>
        <v>…</v>
      </c>
      <c r="L86" s="36" t="str">
        <f>IF("E"=L8,(SUM($D76:K76)-MAX($D76:K76)-MIN($D76:K76))/(COUNT($D76:K76)-2),"…")</f>
        <v>…</v>
      </c>
      <c r="M86" s="36" t="str">
        <f>IF("E"=M8,(SUM($D76:L76)-MAX($D76:L76)-MIN($D76:L76))/(COUNT($D76:L76)-2),"…")</f>
        <v>…</v>
      </c>
      <c r="N86" s="36" t="str">
        <f>IF("E"=N8,(SUM($D76:M76)-MAX($D76:M76)-MIN($D76:M76))/(COUNT($D76:M76)-2),"…")</f>
        <v>…</v>
      </c>
      <c r="O86" s="36" t="str">
        <f>IF("E"=O8,(SUM($D76:N76)-MAX($D76:N76)-MIN($D76:N76))/(COUNT($D76:N76)-2),"…")</f>
        <v>…</v>
      </c>
      <c r="P86" s="36" t="str">
        <f>IF("E"=P8,(SUM($D76:O76)-MAX($D76:O76)-MIN($D76:O76))/(COUNT($D76:O76)-2),"…")</f>
        <v>…</v>
      </c>
      <c r="Q86" s="25" t="str">
        <f>IF("E"=Q8,(SUM($D76:P76)-MAX($D76:P76)-MIN($D76:P76))/(COUNT($D76:P76)-2),"…")</f>
        <v>…</v>
      </c>
      <c r="R86" s="25" t="str">
        <f>IF("E"=R8,(SUM($D76:Q76)-MAX($D76:Q76)-MIN($D76:Q76))/(COUNT($D76:Q76)-2),"…")</f>
        <v>…</v>
      </c>
      <c r="S86" s="25" t="str">
        <f>IF("E"=S8,(SUM($D76:R76)-MAX($D76:R76)-MIN($D76:R76))/(COUNT($D76:R76)-2),"…")</f>
        <v>…</v>
      </c>
      <c r="T86" s="25" t="str">
        <f>IF("E"=T8,(SUM($D76:S76)-MAX($D76:S76)-MIN($D76:S76))/(COUNT($D76:S76)-2),"…")</f>
        <v>…</v>
      </c>
      <c r="U86" s="25" t="str">
        <f>IF("E"=U8,(SUM($D76:T76)-MAX($D76:T76)-MIN($D76:T76))/(COUNT($D76:T76)-2),"…")</f>
        <v>…</v>
      </c>
      <c r="V86" s="25">
        <f>IF("E"=V8,(SUM($D76:U76)-MAX($D76:U76)-MIN($D76:U76))/(COUNT($D76:U76)-2),"…")</f>
        <v>1.102168986512198</v>
      </c>
      <c r="W86" s="25">
        <f>IF("E"=W8,(SUM($D76:V76)-MAX($D76:V76)-MIN($D76:V76))/(COUNT($D76:V76)-2),"…")</f>
        <v>1.0770334248551856</v>
      </c>
      <c r="X86" s="25">
        <f>IF("E"=X8,(SUM($D76:W76)-MAX($D76:W76)-MIN($D76:W76))/(COUNT($D76:W76)-2),"…")</f>
        <v>1.0577961645695864</v>
      </c>
      <c r="Y86" s="25">
        <f>IF("E"=Y8,(SUM($D76:X76)-MAX($D76:X76)-MIN($D76:X76))/(COUNT($D76:X76)-2),"…")</f>
        <v>1.0434741554268316</v>
      </c>
      <c r="Z86" s="109"/>
      <c r="AA86" s="55"/>
      <c r="AB86" s="20"/>
      <c r="AC86" s="29" t="s">
        <v>324</v>
      </c>
      <c r="AE86" s="5"/>
      <c r="AF86" s="26">
        <v>0.7</v>
      </c>
      <c r="AG86" s="29" t="s">
        <v>1749</v>
      </c>
      <c r="AH86" s="5"/>
      <c r="AI86" s="5"/>
      <c r="AJ86" s="22"/>
      <c r="AK86" s="23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36"/>
      <c r="AZ86" s="24"/>
      <c r="BA86" s="5"/>
      <c r="BB86" s="5"/>
    </row>
    <row r="87" spans="1:54">
      <c r="C87" s="52"/>
      <c r="D87" s="5"/>
      <c r="E87" s="5"/>
      <c r="F87" s="5"/>
      <c r="G87" s="5"/>
      <c r="H87" s="5"/>
      <c r="I87" s="5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109"/>
      <c r="AA87" s="55"/>
      <c r="AB87" s="5"/>
      <c r="AC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23"/>
      <c r="AZ87" s="5"/>
    </row>
    <row r="88" spans="1:54" s="33" customFormat="1" ht="13.15">
      <c r="A88" s="5"/>
      <c r="B88" s="5"/>
      <c r="C88" s="89" t="s">
        <v>2000</v>
      </c>
      <c r="D88" s="90">
        <f t="shared" ref="D88:X88" si="48">IFERROR(1/(1/D93),IFERROR(1/(1/D95),IFERROR(1/(1/D94),"…")))</f>
        <v>-1501</v>
      </c>
      <c r="E88" s="90">
        <f t="shared" si="48"/>
        <v>-1432</v>
      </c>
      <c r="F88" s="90">
        <f t="shared" si="48"/>
        <v>-1478</v>
      </c>
      <c r="G88" s="90">
        <f t="shared" si="48"/>
        <v>-1446</v>
      </c>
      <c r="H88" s="90">
        <f t="shared" si="48"/>
        <v>-2216</v>
      </c>
      <c r="I88" s="90">
        <f t="shared" si="48"/>
        <v>-1948</v>
      </c>
      <c r="J88" s="90">
        <f t="shared" si="48"/>
        <v>-1667.0000000000002</v>
      </c>
      <c r="K88" s="90">
        <f t="shared" si="48"/>
        <v>-1666.0000000000002</v>
      </c>
      <c r="L88" s="90">
        <f t="shared" si="48"/>
        <v>-2615</v>
      </c>
      <c r="M88" s="90">
        <f t="shared" si="48"/>
        <v>-4021</v>
      </c>
      <c r="N88" s="90">
        <f t="shared" si="48"/>
        <v>-4601</v>
      </c>
      <c r="O88" s="90">
        <f t="shared" si="48"/>
        <v>-5021</v>
      </c>
      <c r="P88" s="90">
        <f t="shared" si="48"/>
        <v>-5750</v>
      </c>
      <c r="Q88" s="90">
        <f t="shared" si="48"/>
        <v>-5260</v>
      </c>
      <c r="R88" s="90">
        <f t="shared" si="48"/>
        <v>-5234</v>
      </c>
      <c r="S88" s="90">
        <f t="shared" si="48"/>
        <v>-5171</v>
      </c>
      <c r="T88" s="90">
        <f t="shared" si="48"/>
        <v>-6473</v>
      </c>
      <c r="U88" s="90">
        <f t="shared" si="48"/>
        <v>-7843</v>
      </c>
      <c r="V88" s="90">
        <f t="shared" si="48"/>
        <v>-5847.8494396276692</v>
      </c>
      <c r="W88" s="90">
        <f t="shared" si="48"/>
        <v>-7036.0739075644551</v>
      </c>
      <c r="X88" s="90">
        <f t="shared" si="48"/>
        <v>-8259.7187415794942</v>
      </c>
      <c r="Y88" s="90">
        <f>IFERROR(1/(1/Y93),IFERROR(1/(1/Y95),IFERROR(1/(1/Y94),"…")))</f>
        <v>-9830.5238266363558</v>
      </c>
      <c r="Z88" s="109"/>
      <c r="AA88" s="55"/>
      <c r="AB88" s="20"/>
      <c r="AC88" s="20"/>
      <c r="AD88" s="24"/>
      <c r="AE88" s="5"/>
      <c r="AF88" s="5"/>
      <c r="AG88" s="9"/>
      <c r="AH88" s="5"/>
      <c r="AI88" s="5"/>
      <c r="AJ88" s="22"/>
      <c r="AK88" s="23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90"/>
      <c r="AZ88" s="24"/>
      <c r="BA88" s="5"/>
      <c r="BB88" s="5"/>
    </row>
    <row r="89" spans="1:54" s="33" customFormat="1" ht="13.15">
      <c r="A89" s="5"/>
      <c r="B89" s="5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109"/>
      <c r="AA89" s="55"/>
      <c r="AB89" s="20"/>
      <c r="AC89" s="20"/>
      <c r="AD89" s="24"/>
      <c r="AE89" s="5"/>
      <c r="AF89" s="5"/>
      <c r="AG89" s="9"/>
      <c r="AH89" s="5"/>
      <c r="AI89" s="5"/>
      <c r="AJ89" s="22"/>
      <c r="AK89" s="23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90"/>
      <c r="AZ89" s="24"/>
      <c r="BA89" s="5"/>
      <c r="BB89" s="5"/>
    </row>
    <row r="90" spans="1:54" s="33" customFormat="1" ht="13.15">
      <c r="A90" s="5"/>
      <c r="B90" s="5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109"/>
      <c r="AA90" s="55"/>
      <c r="AB90" s="20"/>
      <c r="AC90" s="20"/>
      <c r="AD90" s="24"/>
      <c r="AE90" s="5"/>
      <c r="AF90" s="5"/>
      <c r="AG90" s="9"/>
      <c r="AH90" s="5"/>
      <c r="AI90" s="5"/>
      <c r="AJ90" s="22"/>
      <c r="AK90" s="23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90"/>
      <c r="AZ90" s="24"/>
      <c r="BA90" s="5"/>
      <c r="BB90" s="5"/>
    </row>
    <row r="91" spans="1:54" s="33" customFormat="1" ht="13.15">
      <c r="A91" s="5"/>
      <c r="B91" s="5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109"/>
      <c r="AA91" s="55"/>
      <c r="AB91" s="20"/>
      <c r="AC91" s="20"/>
      <c r="AD91" s="24"/>
      <c r="AE91" s="5"/>
      <c r="AF91" s="5"/>
      <c r="AG91" s="9"/>
      <c r="AH91" s="5"/>
      <c r="AI91" s="5"/>
      <c r="AJ91" s="22"/>
      <c r="AK91" s="23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90"/>
      <c r="AZ91" s="24"/>
      <c r="BA91" s="5"/>
      <c r="BB91" s="5"/>
    </row>
    <row r="92" spans="1:54" s="33" customFormat="1" ht="13.15">
      <c r="A92" s="5"/>
      <c r="B92" s="5"/>
      <c r="C92" s="38" t="s">
        <v>2001</v>
      </c>
      <c r="D92" s="36">
        <f>IFERROR(IF(D93&lt;0,D93,1/(1/#REF!)),0)</f>
        <v>-1501</v>
      </c>
      <c r="E92" s="36">
        <f>IFERROR(IF(E93&lt;0,E93,1/(1/#REF!)),0)</f>
        <v>-1432</v>
      </c>
      <c r="F92" s="36">
        <f>IFERROR(IF(F93&lt;0,F93,1/(1/#REF!)),0)</f>
        <v>-1478</v>
      </c>
      <c r="G92" s="36">
        <f>IFERROR(IF(G93&lt;0,G93,1/(1/#REF!)),0)</f>
        <v>-1446</v>
      </c>
      <c r="H92" s="36">
        <f>IFERROR(IF(H93&lt;0,H93,1/(1/#REF!)),0)</f>
        <v>-2216</v>
      </c>
      <c r="I92" s="36">
        <f>IFERROR(IF(I93&lt;0,I93,1/(1/#REF!)),0)</f>
        <v>-1948</v>
      </c>
      <c r="J92" s="36">
        <f>IFERROR(IF(J93&lt;0,J93,1/(1/#REF!)),0)</f>
        <v>-1667</v>
      </c>
      <c r="K92" s="36">
        <f>IFERROR(IF(K93&lt;0,K93,1/(1/#REF!)),0)</f>
        <v>-1666</v>
      </c>
      <c r="L92" s="36">
        <f>IFERROR(IF(L93&lt;0,L93,1/(1/#REF!)),0)</f>
        <v>-2615</v>
      </c>
      <c r="M92" s="36">
        <f>IFERROR(IF(M93&lt;0,M93,1/(1/#REF!)),0)</f>
        <v>-4021</v>
      </c>
      <c r="N92" s="36">
        <f>IFERROR(IF(N93&lt;0,N93,1/(1/#REF!)),0)</f>
        <v>-4601</v>
      </c>
      <c r="O92" s="36">
        <f>IFERROR(IF(O93&lt;0,O93,1/(1/#REF!)),0)</f>
        <v>-5021</v>
      </c>
      <c r="P92" s="36">
        <f>IFERROR(IF(P93&lt;0,P93,1/(1/#REF!)),0)</f>
        <v>-5750</v>
      </c>
      <c r="Q92" s="36">
        <f>IFERROR(IF(Q93&lt;0,Q93,1/(1/#REF!)),0)</f>
        <v>-5260</v>
      </c>
      <c r="R92" s="36">
        <f>IFERROR(IF(R93&lt;0,R93,1/(1/#REF!)),0)</f>
        <v>-5234</v>
      </c>
      <c r="S92" s="36">
        <f>IFERROR(IF(S93&lt;0,S93,1/(1/#REF!)),0)</f>
        <v>-5171</v>
      </c>
      <c r="T92" s="36">
        <f>IFERROR(IF(T93&lt;0,T93,1/(1/#REF!)),0)</f>
        <v>-6473</v>
      </c>
      <c r="U92" s="36">
        <f>IFERROR(IF(U93&lt;0,U93,1/(1/#REF!)),0)</f>
        <v>-7843</v>
      </c>
      <c r="V92" s="36">
        <f>IFERROR(IF(V93&lt;0,V93,1/(1/#REF!)),0)</f>
        <v>0</v>
      </c>
      <c r="W92" s="36">
        <f>IFERROR(IF(W93&lt;0,W93,1/(1/#REF!)),0)</f>
        <v>0</v>
      </c>
      <c r="X92" s="36">
        <f>IFERROR(IF(X93&lt;0,X93,1/(1/#REF!)),0)</f>
        <v>0</v>
      </c>
      <c r="Y92" s="36">
        <f>IFERROR(IF(Y93&lt;0,Y93,1/(1/#REF!)),0)</f>
        <v>0</v>
      </c>
      <c r="Z92" s="109"/>
      <c r="AA92" s="55"/>
      <c r="AB92" s="20"/>
      <c r="AC92" s="20"/>
      <c r="AD92" s="24"/>
      <c r="AE92" s="5"/>
      <c r="AF92" s="5"/>
      <c r="AG92" s="9"/>
      <c r="AH92" s="5"/>
      <c r="AI92" s="5"/>
      <c r="AJ92" s="22"/>
      <c r="AK92" s="23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36"/>
      <c r="AZ92" s="24"/>
      <c r="BA92" s="5"/>
      <c r="BB92" s="5"/>
    </row>
    <row r="93" spans="1:54" s="33" customFormat="1" ht="13.15">
      <c r="A93" s="5"/>
      <c r="B93" s="5"/>
      <c r="C93" s="67" t="s">
        <v>1575</v>
      </c>
      <c r="D93" s="25">
        <f t="shared" ref="D93:V93" si="49">IFERROR(D118/1,"…")</f>
        <v>-1501</v>
      </c>
      <c r="E93" s="25">
        <f t="shared" si="49"/>
        <v>-1432</v>
      </c>
      <c r="F93" s="25">
        <f t="shared" si="49"/>
        <v>-1478</v>
      </c>
      <c r="G93" s="25">
        <f t="shared" si="49"/>
        <v>-1446</v>
      </c>
      <c r="H93" s="25">
        <f t="shared" si="49"/>
        <v>-2216</v>
      </c>
      <c r="I93" s="36">
        <f t="shared" si="49"/>
        <v>-1948</v>
      </c>
      <c r="J93" s="36">
        <f t="shared" si="49"/>
        <v>-1667</v>
      </c>
      <c r="K93" s="36">
        <f t="shared" si="49"/>
        <v>-1666</v>
      </c>
      <c r="L93" s="36">
        <f t="shared" si="49"/>
        <v>-2615</v>
      </c>
      <c r="M93" s="36">
        <f t="shared" si="49"/>
        <v>-4021</v>
      </c>
      <c r="N93" s="36">
        <f t="shared" si="49"/>
        <v>-4601</v>
      </c>
      <c r="O93" s="36">
        <f t="shared" si="49"/>
        <v>-5021</v>
      </c>
      <c r="P93" s="36">
        <f t="shared" si="49"/>
        <v>-5750</v>
      </c>
      <c r="Q93" s="36">
        <f t="shared" si="49"/>
        <v>-5260</v>
      </c>
      <c r="R93" s="36">
        <f t="shared" si="49"/>
        <v>-5234</v>
      </c>
      <c r="S93" s="36">
        <f t="shared" si="49"/>
        <v>-5171</v>
      </c>
      <c r="T93" s="36">
        <f t="shared" si="49"/>
        <v>-6473</v>
      </c>
      <c r="U93" s="36">
        <f t="shared" si="49"/>
        <v>-7843</v>
      </c>
      <c r="V93" s="36" t="str">
        <f t="shared" si="49"/>
        <v>…</v>
      </c>
      <c r="W93" s="36" t="str">
        <f>IFERROR(W118/1,"…")</f>
        <v>…</v>
      </c>
      <c r="X93" s="36" t="str">
        <f>IFERROR(X118/1,"…")</f>
        <v>…</v>
      </c>
      <c r="Y93" s="36" t="str">
        <f>IFERROR(Y118/1,"…")</f>
        <v>…</v>
      </c>
      <c r="Z93" s="109"/>
      <c r="AA93" s="25"/>
      <c r="AB93" s="20"/>
      <c r="AC93" s="20"/>
      <c r="AD93" s="24"/>
      <c r="AE93" s="5"/>
      <c r="AF93" s="5"/>
      <c r="AG93" s="9"/>
      <c r="AH93" s="5"/>
      <c r="AI93" s="5"/>
      <c r="AJ93" s="22"/>
      <c r="AK93" s="23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5"/>
      <c r="AZ93" s="24"/>
      <c r="BA93" s="5"/>
      <c r="BB93" s="5"/>
    </row>
    <row r="94" spans="1:54" ht="13.15" hidden="1">
      <c r="C94" s="67" t="s">
        <v>2002</v>
      </c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109"/>
      <c r="AA94" s="55"/>
      <c r="AG94" s="9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5"/>
      <c r="AZ94" s="5"/>
    </row>
    <row r="95" spans="1:54" ht="13.15" hidden="1">
      <c r="C95" s="67"/>
      <c r="D95" s="55">
        <f t="shared" ref="D95:Y95" si="50">IF(D$8="A",IF(D66=1,0,D64*$AC$64-D71),IFERROR(D64*$AC$64-D71,"…"))</f>
        <v>5550</v>
      </c>
      <c r="E95" s="55">
        <f t="shared" si="50"/>
        <v>4434</v>
      </c>
      <c r="F95" s="55">
        <f t="shared" si="50"/>
        <v>3728</v>
      </c>
      <c r="G95" s="55">
        <f t="shared" si="50"/>
        <v>4638</v>
      </c>
      <c r="H95" s="55">
        <f t="shared" si="50"/>
        <v>6883</v>
      </c>
      <c r="I95" s="55">
        <f t="shared" si="50"/>
        <v>5963</v>
      </c>
      <c r="J95" s="55">
        <f t="shared" si="50"/>
        <v>5758</v>
      </c>
      <c r="K95" s="55">
        <f t="shared" si="50"/>
        <v>8087</v>
      </c>
      <c r="L95" s="55">
        <f t="shared" si="50"/>
        <v>10493</v>
      </c>
      <c r="M95" s="55">
        <f t="shared" si="50"/>
        <v>11385</v>
      </c>
      <c r="N95" s="55">
        <f t="shared" si="50"/>
        <v>12012</v>
      </c>
      <c r="O95" s="55" t="e">
        <f t="shared" si="50"/>
        <v>#VALUE!</v>
      </c>
      <c r="P95" s="55" t="e">
        <f t="shared" si="50"/>
        <v>#VALUE!</v>
      </c>
      <c r="Q95" s="55" t="e">
        <f t="shared" si="50"/>
        <v>#VALUE!</v>
      </c>
      <c r="R95" s="55" t="e">
        <f t="shared" si="50"/>
        <v>#VALUE!</v>
      </c>
      <c r="S95" s="55">
        <f t="shared" si="50"/>
        <v>-10476.406402167726</v>
      </c>
      <c r="T95" s="55">
        <f t="shared" si="50"/>
        <v>-8084.2869776011103</v>
      </c>
      <c r="U95" s="55">
        <f>IF(U$8="A",IF(U66=1,0,U64*$AC$64-U71),IFERROR(U64*$AC$64-U71,"…"))</f>
        <v>-926.30662023116747</v>
      </c>
      <c r="V95" s="55">
        <f>IF(V$8="A",IF(V66=1,0,V64*$AC$64-V71),IFERROR(V64*$AC$64-V71,"…"))</f>
        <v>-5847.8494396276692</v>
      </c>
      <c r="W95" s="55">
        <f t="shared" si="50"/>
        <v>-7036.073907564456</v>
      </c>
      <c r="X95" s="55">
        <f t="shared" si="50"/>
        <v>-8259.7187415794942</v>
      </c>
      <c r="Y95" s="55">
        <f t="shared" si="50"/>
        <v>-9830.5238266363558</v>
      </c>
      <c r="Z95" s="55"/>
      <c r="AA95" s="55"/>
      <c r="AG95" s="9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5"/>
      <c r="AZ95" s="5"/>
    </row>
    <row r="96" spans="1:54" ht="13.15">
      <c r="C96" s="67"/>
      <c r="D96" s="55"/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G96" s="9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5"/>
      <c r="AZ96" s="5"/>
    </row>
    <row r="97" spans="1:54" ht="13.15">
      <c r="C97" s="67"/>
      <c r="D97" s="55"/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G97" s="9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5"/>
      <c r="AZ97" s="5"/>
    </row>
    <row r="98" spans="1:54" ht="13.15">
      <c r="C98" s="67"/>
      <c r="D98" s="55"/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G98" s="9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5"/>
      <c r="AZ98" s="5"/>
    </row>
    <row r="99" spans="1:54" ht="13.15">
      <c r="C99" s="67"/>
      <c r="D99" s="55"/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G99" s="9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5"/>
      <c r="AZ99" s="5"/>
    </row>
    <row r="100" spans="1:54" ht="13.15">
      <c r="C100" s="67"/>
      <c r="D100" s="55"/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G100" s="9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5"/>
      <c r="AZ100" s="5"/>
    </row>
    <row r="101" spans="1:54" s="33" customFormat="1" ht="13.15">
      <c r="A101" s="5"/>
      <c r="B101" s="5"/>
      <c r="C101" s="52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55"/>
      <c r="AB101" s="20"/>
      <c r="AC101" s="20"/>
      <c r="AD101" s="24"/>
      <c r="AE101" s="5"/>
      <c r="AF101" s="5"/>
      <c r="AG101" s="9"/>
      <c r="AH101" s="5"/>
      <c r="AI101" s="5"/>
      <c r="AJ101" s="22"/>
      <c r="AK101" s="23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5"/>
      <c r="AZ101" s="24"/>
      <c r="BA101" s="5"/>
      <c r="BB101" s="5"/>
    </row>
    <row r="102" spans="1:54">
      <c r="C102" s="53" t="s">
        <v>2208</v>
      </c>
      <c r="D102" s="109"/>
      <c r="E102" s="109">
        <f t="shared" ref="E102:V102" si="51">IF(E$8="A",IF(E92="…","…",-E92/E190),IF(E95="…","…",-E95/E190))</f>
        <v>0.9623655913978495</v>
      </c>
      <c r="F102" s="109">
        <f t="shared" si="51"/>
        <v>0.95849546044098577</v>
      </c>
      <c r="G102" s="109">
        <f t="shared" si="51"/>
        <v>0.91000629326620519</v>
      </c>
      <c r="H102" s="109">
        <f t="shared" si="51"/>
        <v>1.394587791063562</v>
      </c>
      <c r="I102" s="109">
        <f t="shared" si="51"/>
        <v>1.1195402298850574</v>
      </c>
      <c r="J102" s="109">
        <f t="shared" si="51"/>
        <v>0.87783043707214325</v>
      </c>
      <c r="K102" s="109">
        <f t="shared" si="51"/>
        <v>0.76987060998151569</v>
      </c>
      <c r="L102" s="109">
        <f t="shared" si="51"/>
        <v>0.74353141882286045</v>
      </c>
      <c r="M102" s="109">
        <f t="shared" si="51"/>
        <v>1.1203677904708833</v>
      </c>
      <c r="N102" s="109">
        <f t="shared" si="51"/>
        <v>1.147667747567972</v>
      </c>
      <c r="O102" s="109">
        <f t="shared" si="51"/>
        <v>1.2273282815937423</v>
      </c>
      <c r="P102" s="109">
        <f t="shared" si="51"/>
        <v>1.3732983042751374</v>
      </c>
      <c r="Q102" s="109">
        <f t="shared" si="51"/>
        <v>1.2589755864049785</v>
      </c>
      <c r="R102" s="109">
        <f t="shared" si="51"/>
        <v>1.2068249942356468</v>
      </c>
      <c r="S102" s="109">
        <f t="shared" si="51"/>
        <v>1.093003593320651</v>
      </c>
      <c r="T102" s="109">
        <f t="shared" si="51"/>
        <v>1.2331872737664318</v>
      </c>
      <c r="U102" s="109">
        <f t="shared" si="51"/>
        <v>1.3455138102590496</v>
      </c>
      <c r="V102" s="109">
        <f t="shared" si="51"/>
        <v>0.99327734828190051</v>
      </c>
      <c r="W102" s="109">
        <f>IF(W$8="A",IF(W92="…","…",-W92/W190),IF(W95="…","…",-W95/W190))</f>
        <v>1.3493079899632205</v>
      </c>
      <c r="X102" s="109">
        <f>IF(X$8="A",IF(X92="…","…",-X92/X190),IF(X95="…","…",-X95/X190))</f>
        <v>1.7883491348721705</v>
      </c>
      <c r="Y102" s="109">
        <f>IF(Y$8="A",IF(Y92="…","…",-Y92/Y190),IF(Y95="…","…",-Y95/Y190))</f>
        <v>2.4030901347109772</v>
      </c>
      <c r="Z102" s="109"/>
      <c r="AA102" s="55"/>
      <c r="AB102" s="86" t="s">
        <v>1711</v>
      </c>
      <c r="AC102" s="86" t="s">
        <v>1711</v>
      </c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109"/>
      <c r="AZ102" s="5"/>
    </row>
    <row r="103" spans="1:54">
      <c r="C103" s="53" t="s">
        <v>2003</v>
      </c>
      <c r="D103" s="6">
        <f t="shared" ref="D103:T103" si="52">IF(D88="…","…",IFERROR(-D88/D147,"…"))</f>
        <v>1.6872182817575847E-2</v>
      </c>
      <c r="E103" s="6">
        <f t="shared" si="52"/>
        <v>1.50312801780241E-2</v>
      </c>
      <c r="F103" s="6">
        <f t="shared" si="52"/>
        <v>1.4092967818831943E-2</v>
      </c>
      <c r="G103" s="6">
        <f t="shared" si="52"/>
        <v>1.3278602716328273E-2</v>
      </c>
      <c r="H103" s="6">
        <f t="shared" si="52"/>
        <v>1.9471390411921832E-2</v>
      </c>
      <c r="I103" s="6">
        <f t="shared" si="52"/>
        <v>1.8519398785020964E-2</v>
      </c>
      <c r="J103" s="6">
        <f t="shared" si="52"/>
        <v>1.3138916256157637E-2</v>
      </c>
      <c r="K103" s="6">
        <f t="shared" si="52"/>
        <v>1.0455826330356415E-2</v>
      </c>
      <c r="L103" s="6">
        <f t="shared" si="52"/>
        <v>1.3572006892399676E-2</v>
      </c>
      <c r="M103" s="6">
        <f t="shared" si="52"/>
        <v>2.0410442268548833E-2</v>
      </c>
      <c r="N103" s="6">
        <f t="shared" si="52"/>
        <v>2.2725701133074514E-2</v>
      </c>
      <c r="O103" s="6">
        <f t="shared" si="52"/>
        <v>2.354049847157887E-2</v>
      </c>
      <c r="P103" s="6">
        <f t="shared" si="52"/>
        <v>2.6465132762913835E-2</v>
      </c>
      <c r="Q103" s="6">
        <f t="shared" si="52"/>
        <v>2.2801952471367511E-2</v>
      </c>
      <c r="R103" s="6">
        <f t="shared" si="52"/>
        <v>2.219216532611968E-2</v>
      </c>
      <c r="S103" s="39">
        <f t="shared" si="52"/>
        <v>2.0468507552487414E-2</v>
      </c>
      <c r="T103" s="39">
        <f t="shared" si="52"/>
        <v>2.9042012885626602E-2</v>
      </c>
      <c r="U103" s="39">
        <f>IF(U88="…","…",IFERROR(-U88/U147,"…"))</f>
        <v>3.1346922462030379E-2</v>
      </c>
      <c r="V103" s="39">
        <f>IF(V88="…","…",IFERROR(-V88/V147,"…"))</f>
        <v>2.1022521205963349E-2</v>
      </c>
      <c r="W103" s="39">
        <f>IF(W88="…","…",IFERROR(-W88/W147,"…"))</f>
        <v>2.42321506137167E-2</v>
      </c>
      <c r="X103" s="39">
        <f>IF(X88="…","…",IFERROR(-X88/X147,"…"))</f>
        <v>2.7690923295128025E-2</v>
      </c>
      <c r="Y103" s="39">
        <f>IF(Y88="…","…",IFERROR(-Y88/Y147,"…"))</f>
        <v>3.1283058417592394E-2</v>
      </c>
      <c r="Z103" s="39"/>
      <c r="AA103" s="55"/>
      <c r="AB103" s="86" t="s">
        <v>1711</v>
      </c>
      <c r="AC103" s="86" t="s">
        <v>1711</v>
      </c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6"/>
      <c r="AZ103" s="5"/>
    </row>
    <row r="104" spans="1:54">
      <c r="C104" s="53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55"/>
      <c r="AB104" s="5"/>
      <c r="AC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6"/>
      <c r="AZ104" s="5"/>
    </row>
    <row r="105" spans="1:54" ht="13.15">
      <c r="C105" s="111" t="s">
        <v>2207</v>
      </c>
      <c r="D105" s="5"/>
      <c r="E105" s="5"/>
      <c r="F105" s="5"/>
      <c r="G105" s="5"/>
      <c r="H105" s="5"/>
      <c r="I105" s="5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55"/>
      <c r="AB105" s="5"/>
      <c r="AC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23"/>
      <c r="AZ105" s="5"/>
    </row>
    <row r="106" spans="1:54" ht="13.15" hidden="1" outlineLevel="1">
      <c r="C106" s="52" t="s">
        <v>1550</v>
      </c>
      <c r="D106" s="36"/>
      <c r="E106" s="36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 t="str">
        <f t="shared" ref="P106:V106" si="53">IFERROR(IF(P107&gt;0,P107,IF(P109=1,P110,IF(P109=2,P111,"…"))),"…")</f>
        <v>…</v>
      </c>
      <c r="Q106" s="25" t="str">
        <f t="shared" si="53"/>
        <v>…</v>
      </c>
      <c r="R106" s="25" t="str">
        <f t="shared" si="53"/>
        <v>…</v>
      </c>
      <c r="S106" s="25" t="str">
        <f t="shared" si="53"/>
        <v>…</v>
      </c>
      <c r="T106" s="25" t="str">
        <f t="shared" si="53"/>
        <v>…</v>
      </c>
      <c r="U106" s="25" t="str">
        <f t="shared" si="53"/>
        <v>…</v>
      </c>
      <c r="V106" s="25" t="str">
        <f t="shared" si="53"/>
        <v>…</v>
      </c>
      <c r="W106" s="25" t="str">
        <f>IFERROR(IF(W107&gt;0,W107,IF(W109=1,W110,IF(W109=2,W111,"…"))),"…")</f>
        <v>…</v>
      </c>
      <c r="X106" s="25" t="str">
        <f>IFERROR(IF(X107&gt;0,X107,IF(X109=1,X110,IF(X109=2,X111,"…"))),"…")</f>
        <v>…</v>
      </c>
      <c r="Y106" s="25" t="str">
        <f>IFERROR(IF(Y107&gt;0,Y107,IF(Y109=1,Y110,IF(Y109=2,Y111,"…"))),"…")</f>
        <v>…</v>
      </c>
      <c r="Z106" s="25"/>
      <c r="AA106" s="55"/>
      <c r="AG106" s="9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36"/>
      <c r="AZ106" s="5"/>
    </row>
    <row r="107" spans="1:54" hidden="1" outlineLevel="1">
      <c r="C107" s="52" t="s">
        <v>1551</v>
      </c>
      <c r="D107" s="36"/>
      <c r="E107" s="36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75">
        <v>0</v>
      </c>
      <c r="Q107" s="75">
        <v>0</v>
      </c>
      <c r="R107" s="75">
        <v>0</v>
      </c>
      <c r="S107" s="75">
        <v>0</v>
      </c>
      <c r="T107" s="75">
        <v>0</v>
      </c>
      <c r="U107" s="75">
        <v>0</v>
      </c>
      <c r="V107" s="75">
        <v>0</v>
      </c>
      <c r="W107" s="75">
        <v>0</v>
      </c>
      <c r="X107" s="75">
        <v>0</v>
      </c>
      <c r="Y107" s="75">
        <v>0</v>
      </c>
      <c r="Z107" s="75"/>
      <c r="AA107" s="5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75"/>
      <c r="AZ107" s="5"/>
    </row>
    <row r="108" spans="1:54" hidden="1" outlineLevel="1">
      <c r="AA108" s="55"/>
    </row>
    <row r="109" spans="1:54" ht="13.15" hidden="1" outlineLevel="1" thickBot="1">
      <c r="C109" s="52" t="s">
        <v>1548</v>
      </c>
      <c r="D109" s="5"/>
      <c r="E109" s="5"/>
      <c r="F109" s="5"/>
      <c r="G109" s="5"/>
      <c r="H109" s="5"/>
      <c r="I109" s="5"/>
      <c r="J109" s="23"/>
      <c r="K109" s="23"/>
      <c r="L109" s="23"/>
      <c r="M109" s="23"/>
      <c r="N109" s="23"/>
      <c r="O109" s="23"/>
      <c r="P109" s="75">
        <v>1</v>
      </c>
      <c r="Q109" s="75">
        <v>1</v>
      </c>
      <c r="R109" s="75">
        <v>1</v>
      </c>
      <c r="S109" s="75">
        <v>1</v>
      </c>
      <c r="T109" s="75">
        <v>1</v>
      </c>
      <c r="U109" s="75">
        <v>1</v>
      </c>
      <c r="V109" s="75">
        <v>1</v>
      </c>
      <c r="W109" s="75">
        <v>1</v>
      </c>
      <c r="X109" s="75">
        <v>1</v>
      </c>
      <c r="Y109" s="75">
        <v>1</v>
      </c>
      <c r="Z109" s="75"/>
      <c r="AA109" s="55"/>
      <c r="AB109" s="5"/>
      <c r="AC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75"/>
      <c r="AZ109" s="5"/>
    </row>
    <row r="110" spans="1:54" ht="13.15" hidden="1" outlineLevel="1" thickBot="1">
      <c r="C110" s="74" t="s">
        <v>2144</v>
      </c>
      <c r="D110" s="36" t="str">
        <f t="shared" ref="D110:P110" si="54">IF("E"=D28,MAX($AF$86,C102-(($K$76-$AF$86)/$AF$83)),"…")</f>
        <v>…</v>
      </c>
      <c r="E110" s="36" t="str">
        <f t="shared" si="54"/>
        <v>…</v>
      </c>
      <c r="F110" s="36" t="str">
        <f t="shared" si="54"/>
        <v>…</v>
      </c>
      <c r="G110" s="36" t="str">
        <f t="shared" si="54"/>
        <v>…</v>
      </c>
      <c r="H110" s="36" t="str">
        <f t="shared" si="54"/>
        <v>…</v>
      </c>
      <c r="I110" s="36" t="str">
        <f t="shared" si="54"/>
        <v>…</v>
      </c>
      <c r="J110" s="36" t="str">
        <f t="shared" si="54"/>
        <v>…</v>
      </c>
      <c r="K110" s="36" t="str">
        <f t="shared" si="54"/>
        <v>…</v>
      </c>
      <c r="L110" s="36" t="str">
        <f t="shared" si="54"/>
        <v>…</v>
      </c>
      <c r="M110" s="36" t="str">
        <f t="shared" si="54"/>
        <v>…</v>
      </c>
      <c r="N110" s="36" t="str">
        <f t="shared" si="54"/>
        <v>…</v>
      </c>
      <c r="O110" s="36" t="str">
        <f t="shared" si="54"/>
        <v>…</v>
      </c>
      <c r="P110" s="36" t="str">
        <f t="shared" si="54"/>
        <v>…</v>
      </c>
      <c r="Q110" s="25" t="str">
        <f t="shared" ref="Q110:Y110" si="55">IF("E"=Q28,MAX($AF$86,P102-((P102-$AF$86)/($AF$83-COUNTIF(D28:Q28,"E")+1))),"…")</f>
        <v>…</v>
      </c>
      <c r="R110" s="25" t="str">
        <f t="shared" si="55"/>
        <v>…</v>
      </c>
      <c r="S110" s="25" t="str">
        <f t="shared" si="55"/>
        <v>…</v>
      </c>
      <c r="T110" s="25" t="str">
        <f t="shared" si="55"/>
        <v>…</v>
      </c>
      <c r="U110" s="25" t="str">
        <f t="shared" si="55"/>
        <v>…</v>
      </c>
      <c r="V110" s="25" t="str">
        <f t="shared" si="55"/>
        <v>…</v>
      </c>
      <c r="W110" s="25" t="str">
        <f t="shared" si="55"/>
        <v>…</v>
      </c>
      <c r="X110" s="25" t="str">
        <f t="shared" si="55"/>
        <v>…</v>
      </c>
      <c r="Y110" s="25" t="str">
        <f t="shared" si="55"/>
        <v>…</v>
      </c>
      <c r="Z110" s="25"/>
      <c r="AA110" s="55"/>
      <c r="AC110" s="29" t="s">
        <v>324</v>
      </c>
      <c r="AF110" s="26">
        <v>5</v>
      </c>
      <c r="AG110" s="29" t="s">
        <v>1748</v>
      </c>
      <c r="AK110" s="22"/>
      <c r="AY110" s="36"/>
    </row>
    <row r="111" spans="1:54" s="33" customFormat="1" ht="13.5" hidden="1" outlineLevel="1" thickBot="1">
      <c r="A111" s="5"/>
      <c r="B111" s="5"/>
      <c r="C111" s="74" t="s">
        <v>2145</v>
      </c>
      <c r="D111" s="7"/>
      <c r="E111" s="7"/>
      <c r="F111" s="7"/>
      <c r="G111" s="7"/>
      <c r="H111" s="7"/>
      <c r="I111" s="7"/>
      <c r="J111" s="7"/>
      <c r="K111" s="36" t="str">
        <f>IF("E"=K28,(SUM($D102:J102)-MAX($D102:J102)-MIN($D102:J102))/(COUNT($D102:J102)-2),"…")</f>
        <v>…</v>
      </c>
      <c r="L111" s="36" t="str">
        <f>IF("E"=L28,(SUM($D102:K102)-MAX($D102:K102)-MIN($D102:K102))/(COUNT($D102:K102)-2),"…")</f>
        <v>…</v>
      </c>
      <c r="M111" s="36" t="str">
        <f>IF("E"=M28,(SUM($D102:L102)-MAX($D102:L102)-MIN($D102:L102))/(COUNT($D102:L102)-2),"…")</f>
        <v>…</v>
      </c>
      <c r="N111" s="36" t="str">
        <f>IF("E"=N28,(SUM($D102:M102)-MAX($D102:M102)-MIN($D102:M102))/(COUNT($D102:M102)-2),"…")</f>
        <v>…</v>
      </c>
      <c r="O111" s="36" t="str">
        <f>IF("E"=O28,(SUM($D102:N102)-MAX($D102:N102)-MIN($D102:N102))/(COUNT($D102:N102)-2),"…")</f>
        <v>…</v>
      </c>
      <c r="P111" s="36" t="str">
        <f>IF("E"=P28,(SUM($D102:O102)-MAX($D102:O102)-MIN($D102:O102))/(COUNT($D102:O102)-2),"…")</f>
        <v>…</v>
      </c>
      <c r="Q111" s="25" t="str">
        <f>IF("E"=Q28,(SUM($D102:P102)-MAX($D102:P102)-MIN($D102:P102))/(COUNT($D102:P102)-2),"…")</f>
        <v>…</v>
      </c>
      <c r="R111" s="25" t="str">
        <f>IF("E"=R28,(SUM($D102:Q102)-MAX($D102:Q102)-MIN($D102:Q102))/(COUNT($D102:Q102)-2),"…")</f>
        <v>…</v>
      </c>
      <c r="S111" s="25" t="str">
        <f>IF("E"=S28,(SUM($D102:R102)-MAX($D102:R102)-MIN($D102:R102))/(COUNT($D102:R102)-2),"…")</f>
        <v>…</v>
      </c>
      <c r="T111" s="25" t="str">
        <f>IF("E"=T28,(SUM($D102:S102)-MAX($D102:S102)-MIN($D102:S102))/(COUNT($D102:S102)-2),"…")</f>
        <v>…</v>
      </c>
      <c r="U111" s="25" t="str">
        <f>IF("E"=U28,(SUM($D102:T102)-MAX($D102:T102)-MIN($D102:T102))/(COUNT($D102:T102)-2),"…")</f>
        <v>…</v>
      </c>
      <c r="V111" s="25" t="str">
        <f>IF("E"=V28,(SUM($D102:U102)-MAX($D102:U102)-MIN($D102:U102))/(COUNT($D102:U102)-2),"…")</f>
        <v>…</v>
      </c>
      <c r="W111" s="25" t="str">
        <f>IF("E"=W28,(SUM($D102:V102)-MAX($D102:V102)-MIN($D102:V102))/(COUNT($D102:V102)-2),"…")</f>
        <v>…</v>
      </c>
      <c r="X111" s="25" t="str">
        <f>IF("E"=X28,(SUM($D102:W102)-MAX($D102:W102)-MIN($D102:W102))/(COUNT($D102:W102)-2),"…")</f>
        <v>…</v>
      </c>
      <c r="Y111" s="25" t="str">
        <f>IF("E"=Y28,(SUM($D102:X102)-MAX($D102:X102)-MIN($D102:X102))/(COUNT($D102:X102)-2),"…")</f>
        <v>…</v>
      </c>
      <c r="Z111" s="25"/>
      <c r="AA111" s="55"/>
      <c r="AB111" s="20"/>
      <c r="AC111" s="29" t="s">
        <v>324</v>
      </c>
      <c r="AE111" s="5"/>
      <c r="AF111" s="26">
        <v>1.2</v>
      </c>
      <c r="AG111" s="29" t="s">
        <v>1749</v>
      </c>
      <c r="AH111" s="5"/>
      <c r="AI111" s="5"/>
      <c r="AJ111" s="22"/>
      <c r="AK111" s="23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36"/>
      <c r="AZ111" s="24"/>
      <c r="BA111" s="5"/>
      <c r="BB111" s="5"/>
    </row>
    <row r="112" spans="1:54" hidden="1" outlineLevel="1">
      <c r="C112" s="52"/>
      <c r="D112" s="5"/>
      <c r="E112" s="5"/>
      <c r="F112" s="5"/>
      <c r="G112" s="5"/>
      <c r="H112" s="5"/>
      <c r="I112" s="5"/>
      <c r="J112" s="23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5"/>
      <c r="AB112" s="5"/>
      <c r="AC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4"/>
      <c r="AZ112" s="5"/>
    </row>
    <row r="113" spans="1:72" s="33" customFormat="1" ht="13.15" collapsed="1">
      <c r="A113" s="5"/>
      <c r="B113" s="5"/>
      <c r="C113" s="52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55"/>
      <c r="AB113" s="20"/>
      <c r="AC113" s="20"/>
      <c r="AD113" s="24"/>
      <c r="AE113" s="5"/>
      <c r="AF113" s="5"/>
      <c r="AG113" s="9"/>
      <c r="AH113" s="5"/>
      <c r="AI113" s="5"/>
      <c r="AJ113" s="22"/>
      <c r="AK113" s="23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5"/>
      <c r="AZ113" s="24"/>
      <c r="BA113" s="5"/>
      <c r="BB113" s="5"/>
    </row>
    <row r="114" spans="1:72" s="33" customFormat="1" ht="13.15">
      <c r="A114" s="5"/>
      <c r="B114" s="5"/>
      <c r="C114" s="52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55"/>
      <c r="AB114" s="20"/>
      <c r="AC114" s="20"/>
      <c r="AD114" s="24"/>
      <c r="AE114" s="5"/>
      <c r="AF114" s="5"/>
      <c r="AG114" s="9"/>
      <c r="AH114" s="5"/>
      <c r="AI114" s="5"/>
      <c r="AJ114" s="22"/>
      <c r="AK114" s="23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5"/>
      <c r="AZ114" s="24"/>
      <c r="BA114" s="5"/>
      <c r="BB114" s="5"/>
    </row>
    <row r="115" spans="1:72" s="33" customFormat="1" ht="13.15">
      <c r="A115" s="5"/>
      <c r="B115" s="5"/>
      <c r="C115" s="52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55"/>
      <c r="AB115" s="20"/>
      <c r="AC115" s="20"/>
      <c r="AD115" s="24"/>
      <c r="AE115" s="5"/>
      <c r="AF115" s="5"/>
      <c r="AG115" s="9"/>
      <c r="AH115" s="5"/>
      <c r="AI115" s="5"/>
      <c r="AJ115" s="22"/>
      <c r="AK115" s="23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5"/>
      <c r="AZ115" s="24"/>
      <c r="BA115" s="5"/>
      <c r="BB115" s="5"/>
    </row>
    <row r="116" spans="1:72" s="33" customFormat="1" ht="13.15">
      <c r="A116" s="5"/>
      <c r="B116" s="5"/>
      <c r="C116" s="52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55"/>
      <c r="AB116" s="20"/>
      <c r="AC116" s="20"/>
      <c r="AD116" s="24"/>
      <c r="AE116" s="5"/>
      <c r="AF116" s="5"/>
      <c r="AG116" s="9"/>
      <c r="AH116" s="5"/>
      <c r="AI116" s="5"/>
      <c r="AJ116" s="22"/>
      <c r="AK116" s="23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5"/>
      <c r="AZ116" s="24"/>
      <c r="BA116" s="5"/>
      <c r="BB116" s="5"/>
    </row>
    <row r="117" spans="1:72">
      <c r="C117" s="38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Z117" s="5"/>
    </row>
    <row r="118" spans="1:72">
      <c r="C118" s="38" t="s">
        <v>2000</v>
      </c>
      <c r="D118" s="103">
        <f t="shared" ref="D118:V118" si="56">IF(ISNUMBER(D463),D463,IF(ISNUMBER(D119),D119,IF(ISNUMBER(D464),D464,"…")))</f>
        <v>-1501</v>
      </c>
      <c r="E118" s="103">
        <f t="shared" si="56"/>
        <v>-1432</v>
      </c>
      <c r="F118" s="103">
        <f t="shared" si="56"/>
        <v>-1478</v>
      </c>
      <c r="G118" s="103">
        <f t="shared" si="56"/>
        <v>-1446</v>
      </c>
      <c r="H118" s="103">
        <f t="shared" si="56"/>
        <v>-2216</v>
      </c>
      <c r="I118" s="103">
        <f t="shared" si="56"/>
        <v>-1948</v>
      </c>
      <c r="J118" s="103">
        <f t="shared" si="56"/>
        <v>-1667</v>
      </c>
      <c r="K118" s="103">
        <f t="shared" si="56"/>
        <v>-1666</v>
      </c>
      <c r="L118" s="103">
        <f t="shared" si="56"/>
        <v>-2615</v>
      </c>
      <c r="M118" s="36">
        <f t="shared" si="56"/>
        <v>-4021</v>
      </c>
      <c r="N118" s="36">
        <f t="shared" si="56"/>
        <v>-4601</v>
      </c>
      <c r="O118" s="36">
        <f t="shared" si="56"/>
        <v>-5021</v>
      </c>
      <c r="P118" s="36">
        <f t="shared" si="56"/>
        <v>-5750</v>
      </c>
      <c r="Q118" s="36">
        <f t="shared" si="56"/>
        <v>-5260</v>
      </c>
      <c r="R118" s="36">
        <f t="shared" si="56"/>
        <v>-5234</v>
      </c>
      <c r="S118" s="36">
        <f t="shared" si="56"/>
        <v>-5171</v>
      </c>
      <c r="T118" s="36">
        <f t="shared" si="56"/>
        <v>-6473</v>
      </c>
      <c r="U118" s="36">
        <f t="shared" si="56"/>
        <v>-7843</v>
      </c>
      <c r="V118" s="36" t="str">
        <f t="shared" si="56"/>
        <v>…</v>
      </c>
      <c r="W118" s="36" t="str">
        <f>IF(ISNUMBER(W463),W463,IF(ISNUMBER(W119),W119,IF(ISNUMBER(W464),W464,"…")))</f>
        <v>…</v>
      </c>
      <c r="X118" s="36" t="str">
        <f>IF(ISNUMBER(X463),X463,IF(ISNUMBER(X119),X119,IF(ISNUMBER(X464),X464,"…")))</f>
        <v>…</v>
      </c>
      <c r="Y118" s="36" t="str">
        <f>IF(ISNUMBER(Y463),Y463,IF(ISNUMBER(Y119),Y119,IF(ISNUMBER(Y464),Y464,"…")))</f>
        <v>…</v>
      </c>
      <c r="Z118" s="36"/>
      <c r="AA118" s="25"/>
      <c r="AD118" s="33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25"/>
      <c r="AZ118" s="5"/>
      <c r="BJ118" s="33"/>
      <c r="BK118" s="23"/>
      <c r="BL118" s="23"/>
      <c r="BM118" s="23"/>
      <c r="BN118" s="23"/>
      <c r="BO118" s="23"/>
      <c r="BP118" s="23"/>
      <c r="BQ118" s="23"/>
      <c r="BR118" s="33"/>
      <c r="BT118" s="33"/>
    </row>
    <row r="119" spans="1:72">
      <c r="B119" s="5" t="s">
        <v>1776</v>
      </c>
      <c r="C119" s="43" t="s">
        <v>154</v>
      </c>
      <c r="D119" s="105">
        <v>-1501</v>
      </c>
      <c r="E119" s="105">
        <v>-1432</v>
      </c>
      <c r="F119" s="105">
        <v>-1478</v>
      </c>
      <c r="G119" s="105">
        <v>-1446</v>
      </c>
      <c r="H119" s="105">
        <v>-2216</v>
      </c>
      <c r="I119" s="105">
        <v>-1948</v>
      </c>
      <c r="J119" s="105">
        <v>-1667</v>
      </c>
      <c r="K119" s="105">
        <v>-1666</v>
      </c>
      <c r="L119" s="105">
        <v>-2615</v>
      </c>
      <c r="M119" s="99">
        <v>-4021</v>
      </c>
      <c r="N119" s="99">
        <v>-4601</v>
      </c>
      <c r="O119" s="99">
        <v>-5021</v>
      </c>
      <c r="P119" s="99">
        <v>-5750</v>
      </c>
      <c r="Q119" s="99">
        <v>-5260</v>
      </c>
      <c r="R119" s="99">
        <v>-5234</v>
      </c>
      <c r="S119" s="99">
        <v>-5171</v>
      </c>
      <c r="T119" s="99">
        <v>-6473</v>
      </c>
      <c r="U119" s="99">
        <v>-7843</v>
      </c>
      <c r="V119" s="99" t="s">
        <v>289</v>
      </c>
      <c r="W119" s="99"/>
      <c r="X119" s="99"/>
      <c r="Y119" s="99"/>
      <c r="Z119" s="99"/>
      <c r="AA119" s="16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16"/>
      <c r="AZ119" s="5"/>
    </row>
    <row r="120" spans="1:72" s="33" customFormat="1" ht="13.15">
      <c r="A120" s="5"/>
      <c r="B120" s="5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20"/>
      <c r="AC120" s="20"/>
      <c r="AD120" s="24"/>
      <c r="AE120" s="5"/>
      <c r="AF120" s="5"/>
      <c r="AG120" s="9"/>
      <c r="AH120" s="5"/>
      <c r="AI120" s="5"/>
      <c r="AJ120" s="22"/>
      <c r="AK120" s="23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7"/>
      <c r="AZ120" s="24"/>
      <c r="BA120" s="5"/>
      <c r="BB120" s="5"/>
    </row>
    <row r="121" spans="1:72" ht="13.15" hidden="1" outlineLevel="1">
      <c r="C121" s="50" t="s">
        <v>1574</v>
      </c>
      <c r="D121" s="14">
        <f t="shared" ref="D121:Y121" si="57">IF(D11="yes",SUM(D122,D629,D630),"...")</f>
        <v>-5550</v>
      </c>
      <c r="E121" s="14">
        <f t="shared" si="57"/>
        <v>-4434</v>
      </c>
      <c r="F121" s="14">
        <f t="shared" si="57"/>
        <v>-3728</v>
      </c>
      <c r="G121" s="14">
        <f t="shared" si="57"/>
        <v>-4638</v>
      </c>
      <c r="H121" s="14">
        <f t="shared" si="57"/>
        <v>-6883</v>
      </c>
      <c r="I121" s="14">
        <f t="shared" si="57"/>
        <v>0</v>
      </c>
      <c r="J121" s="14">
        <f t="shared" si="57"/>
        <v>0</v>
      </c>
      <c r="K121" s="14">
        <f t="shared" si="57"/>
        <v>0</v>
      </c>
      <c r="L121" s="14">
        <f t="shared" si="57"/>
        <v>0</v>
      </c>
      <c r="M121" s="14">
        <f t="shared" si="57"/>
        <v>0</v>
      </c>
      <c r="N121" s="14">
        <f t="shared" si="57"/>
        <v>0</v>
      </c>
      <c r="O121" s="14">
        <f t="shared" si="57"/>
        <v>0</v>
      </c>
      <c r="P121" s="14">
        <f t="shared" si="57"/>
        <v>0</v>
      </c>
      <c r="Q121" s="14">
        <f t="shared" si="57"/>
        <v>0</v>
      </c>
      <c r="R121" s="14">
        <f t="shared" si="57"/>
        <v>0</v>
      </c>
      <c r="S121" s="14">
        <f t="shared" si="57"/>
        <v>0</v>
      </c>
      <c r="T121" s="14">
        <f t="shared" si="57"/>
        <v>0</v>
      </c>
      <c r="U121" s="14">
        <f>IF(U11="yes",SUM(U122,U629,U630),"...")</f>
        <v>0</v>
      </c>
      <c r="V121" s="14" t="str">
        <f t="shared" si="57"/>
        <v>...</v>
      </c>
      <c r="W121" s="14" t="str">
        <f t="shared" si="57"/>
        <v>...</v>
      </c>
      <c r="X121" s="14" t="str">
        <f t="shared" si="57"/>
        <v>...</v>
      </c>
      <c r="Y121" s="14" t="str">
        <f t="shared" si="57"/>
        <v>...</v>
      </c>
      <c r="Z121" s="14"/>
      <c r="AA121" s="14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14"/>
      <c r="AZ121" s="5"/>
    </row>
    <row r="122" spans="1:72" hidden="1" outlineLevel="1">
      <c r="A122" s="5" t="s">
        <v>1561</v>
      </c>
      <c r="B122" s="5" t="s">
        <v>1561</v>
      </c>
      <c r="C122" s="38" t="s">
        <v>1573</v>
      </c>
      <c r="D122" s="16" t="s">
        <v>289</v>
      </c>
      <c r="E122" s="16" t="s">
        <v>289</v>
      </c>
      <c r="F122" s="16" t="s">
        <v>289</v>
      </c>
      <c r="G122" s="16" t="s">
        <v>289</v>
      </c>
      <c r="H122" s="16" t="s">
        <v>289</v>
      </c>
      <c r="I122" s="16" t="s">
        <v>289</v>
      </c>
      <c r="J122" s="16" t="s">
        <v>289</v>
      </c>
      <c r="K122" s="16" t="s">
        <v>289</v>
      </c>
      <c r="L122" s="16" t="s">
        <v>289</v>
      </c>
      <c r="M122" s="16" t="s">
        <v>289</v>
      </c>
      <c r="N122" s="16" t="s">
        <v>289</v>
      </c>
      <c r="O122" s="16" t="s">
        <v>289</v>
      </c>
      <c r="P122" s="20" t="s">
        <v>289</v>
      </c>
      <c r="Q122" s="20" t="s">
        <v>289</v>
      </c>
      <c r="R122" s="20" t="s">
        <v>289</v>
      </c>
      <c r="S122" s="20" t="s">
        <v>289</v>
      </c>
      <c r="T122" s="20" t="s">
        <v>289</v>
      </c>
      <c r="U122" s="20" t="s">
        <v>289</v>
      </c>
      <c r="V122" s="20" t="s">
        <v>289</v>
      </c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Z122" s="5"/>
    </row>
    <row r="123" spans="1:72" s="33" customFormat="1" ht="13.15" collapsed="1">
      <c r="A123" s="5"/>
      <c r="B123" s="5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20"/>
      <c r="AC123" s="20"/>
      <c r="AD123" s="24"/>
      <c r="AE123" s="5"/>
      <c r="AF123" s="5"/>
      <c r="AG123" s="9"/>
      <c r="AH123" s="5"/>
      <c r="AI123" s="5"/>
      <c r="AJ123" s="22"/>
      <c r="AK123" s="23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7"/>
      <c r="AZ123" s="24"/>
      <c r="BA123" s="5"/>
      <c r="BB123" s="5"/>
    </row>
    <row r="124" spans="1:72" s="33" customFormat="1" ht="13.15">
      <c r="A124" s="5"/>
      <c r="B124" s="5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20"/>
      <c r="AC124" s="20"/>
      <c r="AD124" s="24"/>
      <c r="AE124" s="5"/>
      <c r="AF124" s="5"/>
      <c r="AG124" s="9"/>
      <c r="AH124" s="5"/>
      <c r="AI124" s="5"/>
      <c r="AJ124" s="22"/>
      <c r="AK124" s="23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7"/>
      <c r="AZ124" s="24"/>
      <c r="BA124" s="5"/>
      <c r="BB124" s="5"/>
    </row>
    <row r="125" spans="1:72" s="33" customFormat="1" ht="13.15">
      <c r="A125" s="5"/>
      <c r="B125" s="5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20"/>
      <c r="AC125" s="20"/>
      <c r="AD125" s="24"/>
      <c r="AE125" s="5"/>
      <c r="AF125" s="5"/>
      <c r="AG125" s="9"/>
      <c r="AH125" s="5"/>
      <c r="AI125" s="5"/>
      <c r="AJ125" s="22"/>
      <c r="AK125" s="23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7"/>
      <c r="AZ125" s="24"/>
      <c r="BA125" s="5"/>
      <c r="BB125" s="5"/>
    </row>
    <row r="126" spans="1:72" s="33" customFormat="1" ht="13.15">
      <c r="A126" s="5"/>
      <c r="B126" s="5"/>
      <c r="C126" s="38" t="s">
        <v>1560</v>
      </c>
      <c r="D126" s="58" t="str">
        <f t="shared" ref="D126:Y128" si="58">IFERROR((D31-C31)*100,"…")</f>
        <v>…</v>
      </c>
      <c r="E126" s="58">
        <f t="shared" si="58"/>
        <v>0.38237225158164745</v>
      </c>
      <c r="F126" s="58">
        <f t="shared" si="58"/>
        <v>-0.32574173664177419</v>
      </c>
      <c r="G126" s="58">
        <f t="shared" si="58"/>
        <v>3.3918512515949404</v>
      </c>
      <c r="H126" s="58">
        <f t="shared" si="58"/>
        <v>-1.7383507194899313</v>
      </c>
      <c r="I126" s="58">
        <f t="shared" si="58"/>
        <v>-2.7631884659377715</v>
      </c>
      <c r="J126" s="58">
        <f t="shared" si="58"/>
        <v>3.3927248590956527</v>
      </c>
      <c r="K126" s="58">
        <f t="shared" si="58"/>
        <v>-2.1611770522872442E-2</v>
      </c>
      <c r="L126" s="58">
        <f t="shared" si="58"/>
        <v>-0.78490813113290536</v>
      </c>
      <c r="M126" s="58">
        <f t="shared" si="58"/>
        <v>0.58666330432700087</v>
      </c>
      <c r="N126" s="58">
        <f t="shared" si="58"/>
        <v>1.2045572275683565</v>
      </c>
      <c r="O126" s="58">
        <f t="shared" si="58"/>
        <v>-7.2571740562023122</v>
      </c>
      <c r="P126" s="58">
        <f t="shared" si="58"/>
        <v>5.5316794864906065</v>
      </c>
      <c r="Q126" s="58">
        <f t="shared" si="58"/>
        <v>2.7005058291214219</v>
      </c>
      <c r="R126" s="58">
        <f t="shared" si="58"/>
        <v>-0.14413976114351079</v>
      </c>
      <c r="S126" s="58">
        <f t="shared" si="58"/>
        <v>4.9523229340212027E-2</v>
      </c>
      <c r="T126" s="58">
        <f t="shared" si="58"/>
        <v>0.68811349947738853</v>
      </c>
      <c r="U126" s="58">
        <f t="shared" si="58"/>
        <v>2.1938337056705559</v>
      </c>
      <c r="V126" s="58">
        <f t="shared" si="58"/>
        <v>-2.3768404674493233</v>
      </c>
      <c r="W126" s="58">
        <f t="shared" si="58"/>
        <v>-0.344355172574487</v>
      </c>
      <c r="X126" s="58">
        <f t="shared" si="58"/>
        <v>-0.23662603173217334</v>
      </c>
      <c r="Y126" s="58">
        <f t="shared" si="58"/>
        <v>0.43570094295014572</v>
      </c>
      <c r="Z126" s="58"/>
      <c r="AA126" s="58"/>
      <c r="AB126" s="20"/>
      <c r="AC126" s="20"/>
      <c r="AD126" s="24"/>
      <c r="AE126" s="5"/>
      <c r="AF126" s="5"/>
      <c r="AG126" s="9"/>
      <c r="AH126" s="5"/>
      <c r="AI126" s="5"/>
      <c r="AJ126" s="22"/>
      <c r="AK126" s="23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106"/>
      <c r="AZ126" s="24"/>
      <c r="BA126" s="5"/>
      <c r="BB126" s="5"/>
    </row>
    <row r="127" spans="1:72" s="33" customFormat="1" ht="13.15">
      <c r="A127" s="5"/>
      <c r="B127" s="5"/>
      <c r="C127" s="38" t="s">
        <v>1557</v>
      </c>
      <c r="D127" s="58" t="str">
        <f t="shared" si="58"/>
        <v>…</v>
      </c>
      <c r="E127" s="58">
        <f t="shared" si="58"/>
        <v>0.45207010443680945</v>
      </c>
      <c r="F127" s="58">
        <f t="shared" si="58"/>
        <v>0.58266206723365377</v>
      </c>
      <c r="G127" s="58">
        <f t="shared" si="58"/>
        <v>3.5199953662569659</v>
      </c>
      <c r="H127" s="58">
        <f t="shared" si="58"/>
        <v>-1.3668287675382071</v>
      </c>
      <c r="I127" s="58">
        <f t="shared" si="58"/>
        <v>-3.0477726237702547</v>
      </c>
      <c r="J127" s="58">
        <f t="shared" si="58"/>
        <v>4.0123039647756586</v>
      </c>
      <c r="K127" s="58">
        <f t="shared" si="58"/>
        <v>0.62134297566971697</v>
      </c>
      <c r="L127" s="58">
        <f t="shared" si="58"/>
        <v>-0.79694269451675293</v>
      </c>
      <c r="M127" s="58">
        <f t="shared" si="58"/>
        <v>0.28929929007329297</v>
      </c>
      <c r="N127" s="58">
        <f t="shared" si="58"/>
        <v>0.89095064899578502</v>
      </c>
      <c r="O127" s="58">
        <f t="shared" si="58"/>
        <v>-9.6830390151939252</v>
      </c>
      <c r="P127" s="58">
        <f t="shared" si="58"/>
        <v>4.5931373236091293</v>
      </c>
      <c r="Q127" s="58">
        <f t="shared" si="58"/>
        <v>2.5066833745269115</v>
      </c>
      <c r="R127" s="58">
        <f t="shared" si="58"/>
        <v>-0.15877052721114115</v>
      </c>
      <c r="S127" s="58">
        <f t="shared" si="58"/>
        <v>-0.45710270902698524</v>
      </c>
      <c r="T127" s="58">
        <f t="shared" si="58"/>
        <v>-0.72109233338161216</v>
      </c>
      <c r="U127" s="58">
        <f t="shared" si="58"/>
        <v>2.381850898384323</v>
      </c>
      <c r="V127" s="58">
        <f t="shared" si="58"/>
        <v>-2.4391850206000933</v>
      </c>
      <c r="W127" s="58">
        <f t="shared" si="58"/>
        <v>0.49074137512803845</v>
      </c>
      <c r="X127" s="58">
        <f t="shared" si="58"/>
        <v>0.31910112895867926</v>
      </c>
      <c r="Y127" s="58">
        <f t="shared" si="58"/>
        <v>1.0487957830574102</v>
      </c>
      <c r="Z127" s="58"/>
      <c r="AA127" s="58"/>
      <c r="AB127" s="20"/>
      <c r="AC127" s="20"/>
      <c r="AD127" s="24"/>
      <c r="AE127" s="5"/>
      <c r="AF127" s="5"/>
      <c r="AG127" s="9"/>
      <c r="AH127" s="5"/>
      <c r="AI127" s="5"/>
      <c r="AJ127" s="22"/>
      <c r="AK127" s="23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106"/>
      <c r="AZ127" s="24"/>
      <c r="BA127" s="5"/>
      <c r="BB127" s="5"/>
    </row>
    <row r="128" spans="1:72" s="33" customFormat="1" ht="13.15">
      <c r="A128" s="5"/>
      <c r="B128" s="5"/>
      <c r="C128" s="38" t="s">
        <v>1558</v>
      </c>
      <c r="D128" s="58" t="str">
        <f t="shared" si="58"/>
        <v>…</v>
      </c>
      <c r="E128" s="58">
        <f t="shared" si="58"/>
        <v>0.63679207262557147</v>
      </c>
      <c r="F128" s="58">
        <f t="shared" si="58"/>
        <v>0.76515713803648744</v>
      </c>
      <c r="G128" s="58">
        <f t="shared" si="58"/>
        <v>3.0605502002893177</v>
      </c>
      <c r="H128" s="58">
        <f t="shared" si="58"/>
        <v>-0.80652289176543346</v>
      </c>
      <c r="I128" s="58">
        <f t="shared" si="58"/>
        <v>-3.8011092640350257</v>
      </c>
      <c r="J128" s="58">
        <f t="shared" si="58"/>
        <v>3.8648484732398471</v>
      </c>
      <c r="K128" s="58">
        <f t="shared" si="58"/>
        <v>1.4453122045658968</v>
      </c>
      <c r="L128" s="58">
        <f t="shared" si="58"/>
        <v>-1.1061556041441669</v>
      </c>
      <c r="M128" s="58">
        <f t="shared" si="58"/>
        <v>-4.3376005393486877E-2</v>
      </c>
      <c r="N128" s="58">
        <f t="shared" si="58"/>
        <v>0.34726921735880112</v>
      </c>
      <c r="O128" s="58">
        <f t="shared" si="58"/>
        <v>-8.1791375660888317</v>
      </c>
      <c r="P128" s="58">
        <f t="shared" si="58"/>
        <v>5.1769627262475426</v>
      </c>
      <c r="Q128" s="58">
        <f t="shared" si="58"/>
        <v>2.7208148875021312</v>
      </c>
      <c r="R128" s="58">
        <f t="shared" si="58"/>
        <v>-8.7982827784800072E-2</v>
      </c>
      <c r="S128" s="58">
        <f t="shared" si="58"/>
        <v>-0.11738272433069324</v>
      </c>
      <c r="T128" s="58">
        <f t="shared" si="58"/>
        <v>-1.2038404879011553</v>
      </c>
      <c r="U128" s="58">
        <f t="shared" si="58"/>
        <v>2.8428028668753944</v>
      </c>
      <c r="V128" s="58">
        <f t="shared" si="58"/>
        <v>0.51772851446028612</v>
      </c>
      <c r="W128" s="58">
        <f t="shared" si="58"/>
        <v>-0.28850495332997106</v>
      </c>
      <c r="X128" s="58">
        <f t="shared" si="58"/>
        <v>0.27669902859754902</v>
      </c>
      <c r="Y128" s="58">
        <f t="shared" si="58"/>
        <v>0.19345860891598204</v>
      </c>
      <c r="Z128" s="58"/>
      <c r="AA128" s="58"/>
      <c r="AB128" s="20"/>
      <c r="AC128" s="20"/>
      <c r="AD128" s="24"/>
      <c r="AE128" s="5"/>
      <c r="AF128" s="5"/>
      <c r="AG128" s="9"/>
      <c r="AH128" s="5"/>
      <c r="AI128" s="5"/>
      <c r="AJ128" s="22"/>
      <c r="AK128" s="23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106"/>
      <c r="AZ128" s="24"/>
      <c r="BA128" s="5"/>
      <c r="BB128" s="5"/>
    </row>
    <row r="129" spans="1:54" s="33" customFormat="1" ht="13.15">
      <c r="A129" s="5"/>
      <c r="B129" s="5"/>
      <c r="C129" s="12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20"/>
      <c r="AC129" s="20"/>
      <c r="AD129" s="24"/>
      <c r="AE129" s="5"/>
      <c r="AF129" s="5"/>
      <c r="AG129" s="9"/>
      <c r="AH129" s="5"/>
      <c r="AI129" s="5"/>
      <c r="AJ129" s="22"/>
      <c r="AK129" s="23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7"/>
      <c r="AZ129" s="24"/>
      <c r="BA129" s="5"/>
      <c r="BB129" s="5"/>
    </row>
    <row r="130" spans="1:54" s="33" customFormat="1" ht="13.15">
      <c r="A130" s="5"/>
      <c r="B130" s="5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20"/>
      <c r="AC130" s="20"/>
      <c r="AD130" s="24"/>
      <c r="AE130" s="5"/>
      <c r="AF130" s="5"/>
      <c r="AG130" s="9"/>
      <c r="AH130" s="5"/>
      <c r="AI130" s="5"/>
      <c r="AJ130" s="22"/>
      <c r="AK130" s="23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7"/>
      <c r="AZ130" s="24"/>
      <c r="BA130" s="5"/>
      <c r="BB130" s="5"/>
    </row>
    <row r="131" spans="1:54" s="33" customFormat="1" ht="13.15">
      <c r="A131" s="5"/>
      <c r="B131" s="5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20"/>
      <c r="AC131" s="20"/>
      <c r="AD131" s="24"/>
      <c r="AE131" s="5"/>
      <c r="AF131" s="5"/>
      <c r="AG131" s="9"/>
      <c r="AH131" s="5"/>
      <c r="AI131" s="5"/>
      <c r="AJ131" s="22"/>
      <c r="AK131" s="23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7"/>
      <c r="AZ131" s="24"/>
      <c r="BA131" s="5"/>
      <c r="BB131" s="5"/>
    </row>
    <row r="132" spans="1:54" s="33" customFormat="1" ht="13.15">
      <c r="A132" s="5"/>
      <c r="B132" s="5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20"/>
      <c r="AC132" s="20"/>
      <c r="AD132" s="24"/>
      <c r="AE132" s="5"/>
      <c r="AF132" s="5"/>
      <c r="AG132" s="9"/>
      <c r="AH132" s="5"/>
      <c r="AI132" s="5"/>
      <c r="AJ132" s="22"/>
      <c r="AK132" s="23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7"/>
      <c r="AZ132" s="24"/>
      <c r="BA132" s="5"/>
      <c r="BB132" s="5"/>
    </row>
    <row r="133" spans="1:54" s="33" customFormat="1" ht="13.15">
      <c r="A133" s="5"/>
      <c r="B133" s="5"/>
      <c r="C133" s="12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20"/>
      <c r="AC133" s="20"/>
      <c r="AD133" s="24"/>
      <c r="AE133" s="5"/>
      <c r="AF133" s="5"/>
      <c r="AG133" s="9"/>
      <c r="AH133" s="5"/>
      <c r="AI133" s="5"/>
      <c r="AJ133" s="22"/>
      <c r="AK133" s="23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7"/>
      <c r="AZ133" s="24"/>
      <c r="BA133" s="5"/>
      <c r="BB133" s="5"/>
    </row>
    <row r="134" spans="1:54" s="33" customFormat="1" ht="13.15">
      <c r="A134" s="5"/>
      <c r="B134" s="5"/>
      <c r="C134" s="12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20"/>
      <c r="AC134" s="20"/>
      <c r="AD134" s="24"/>
      <c r="AE134" s="5"/>
      <c r="AF134" s="5"/>
      <c r="AG134" s="9"/>
      <c r="AH134" s="5"/>
      <c r="AI134" s="5"/>
      <c r="AJ134" s="22"/>
      <c r="AK134" s="23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7"/>
      <c r="AZ134" s="24"/>
      <c r="BA134" s="5"/>
      <c r="BB134" s="5"/>
    </row>
    <row r="135" spans="1:54" s="33" customFormat="1" ht="13.15">
      <c r="A135" s="5"/>
      <c r="B135" s="5"/>
      <c r="C135" s="12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20"/>
      <c r="AC135" s="20"/>
      <c r="AD135" s="24"/>
      <c r="AE135" s="5"/>
      <c r="AF135" s="5"/>
      <c r="AG135" s="9"/>
      <c r="AH135" s="5"/>
      <c r="AI135" s="5"/>
      <c r="AJ135" s="22"/>
      <c r="AK135" s="23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7"/>
      <c r="AZ135" s="24"/>
      <c r="BA135" s="5"/>
      <c r="BB135" s="5"/>
    </row>
    <row r="136" spans="1:54" s="33" customFormat="1">
      <c r="A136" s="5"/>
      <c r="C136" s="5" t="s">
        <v>315</v>
      </c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Y136" s="23"/>
    </row>
    <row r="137" spans="1:54">
      <c r="C137" s="5" t="s">
        <v>138</v>
      </c>
      <c r="D137" s="36">
        <f t="shared" ref="D137:J137" si="59">IF(ISNUMBER(D138),D138,IF(ISNUMBER(D139),D139,IF(ISNUMBER(D144),D144,"…")))</f>
        <v>184.2411997122399</v>
      </c>
      <c r="E137" s="36">
        <f t="shared" si="59"/>
        <v>186.67626695217703</v>
      </c>
      <c r="F137" s="36">
        <f t="shared" si="59"/>
        <v>173.72868891537544</v>
      </c>
      <c r="G137" s="36">
        <f t="shared" si="59"/>
        <v>184.53591145761592</v>
      </c>
      <c r="H137" s="36">
        <f t="shared" si="59"/>
        <v>212.74104280894142</v>
      </c>
      <c r="I137" s="36">
        <f t="shared" si="59"/>
        <v>198.01132887143851</v>
      </c>
      <c r="J137" s="36">
        <f t="shared" si="59"/>
        <v>188.63847290640393</v>
      </c>
      <c r="K137" s="36">
        <f t="shared" ref="K137:Y137" si="60">IF(ISNUMBER(K138),K138,IF(ISNUMBER(K139),K139,"…"))</f>
        <v>196.96514400296226</v>
      </c>
      <c r="L137" s="36">
        <f>IF(ISNUMBER(L138),L138,IF(ISNUMBER(L139),L139,"…"))</f>
        <v>176.02556727355767</v>
      </c>
      <c r="M137" s="36">
        <f>IF(ISNUMBER(M138),M138,IF(ISNUMBER(M139),M139,"…"))</f>
        <v>178.66246706969804</v>
      </c>
      <c r="N137" s="36">
        <f t="shared" si="60"/>
        <v>193.25168726353121</v>
      </c>
      <c r="O137" s="36">
        <f t="shared" si="60"/>
        <v>198.34765204508372</v>
      </c>
      <c r="P137" s="36">
        <f t="shared" si="60"/>
        <v>210.75947405726592</v>
      </c>
      <c r="Q137" s="36">
        <f t="shared" si="60"/>
        <v>209.86599691349994</v>
      </c>
      <c r="R137" s="36">
        <f t="shared" si="60"/>
        <v>223.77290787749789</v>
      </c>
      <c r="S137" s="36">
        <f t="shared" si="60"/>
        <v>220.11358576902373</v>
      </c>
      <c r="T137" s="36">
        <f t="shared" si="60"/>
        <v>240.00926401177293</v>
      </c>
      <c r="U137" s="36">
        <f t="shared" si="60"/>
        <v>212.40315747402079</v>
      </c>
      <c r="V137" s="36">
        <f t="shared" si="60"/>
        <v>211.10194919095716</v>
      </c>
      <c r="W137" s="36">
        <f t="shared" si="60"/>
        <v>209.80074090789353</v>
      </c>
      <c r="X137" s="36">
        <f t="shared" si="60"/>
        <v>208.4995326248299</v>
      </c>
      <c r="Y137" s="36">
        <f t="shared" si="60"/>
        <v>207.19832434176627</v>
      </c>
      <c r="Z137" s="36"/>
      <c r="AA137" s="36"/>
      <c r="AB137" s="5"/>
      <c r="AC137" s="5"/>
      <c r="AD137" s="27"/>
      <c r="AE137" s="27"/>
      <c r="AF137" s="30"/>
      <c r="AJ137" s="31"/>
      <c r="AY137" s="36"/>
      <c r="AZ137" s="27"/>
    </row>
    <row r="138" spans="1:54">
      <c r="C138" s="38" t="s">
        <v>349</v>
      </c>
      <c r="D138" s="36">
        <f t="shared" ref="D138:O138" si="61">IF(D$8="A",(D242+D233)/D145*365,IF(D$8="L","…",IF(D$8="E","…","…")))</f>
        <v>184.2411997122399</v>
      </c>
      <c r="E138" s="36">
        <f t="shared" si="61"/>
        <v>186.67626695217703</v>
      </c>
      <c r="F138" s="36">
        <f t="shared" si="61"/>
        <v>173.72868891537544</v>
      </c>
      <c r="G138" s="36">
        <f t="shared" si="61"/>
        <v>184.53591145761592</v>
      </c>
      <c r="H138" s="36">
        <f t="shared" si="61"/>
        <v>212.74104280894142</v>
      </c>
      <c r="I138" s="36">
        <f t="shared" si="61"/>
        <v>198.01132887143851</v>
      </c>
      <c r="J138" s="36">
        <f t="shared" si="61"/>
        <v>188.63847290640393</v>
      </c>
      <c r="K138" s="36">
        <f t="shared" si="61"/>
        <v>196.96514400296226</v>
      </c>
      <c r="L138" s="36">
        <f t="shared" si="61"/>
        <v>176.02556727355767</v>
      </c>
      <c r="M138" s="36">
        <f t="shared" si="61"/>
        <v>178.66246706969804</v>
      </c>
      <c r="N138" s="36">
        <f t="shared" si="61"/>
        <v>193.25168726353121</v>
      </c>
      <c r="O138" s="36">
        <f t="shared" si="61"/>
        <v>198.34765204508372</v>
      </c>
      <c r="P138" s="36">
        <f t="shared" ref="P138:V138" si="62">IF(P$8="A",(P242+P233)/P147*365,IF(P$8="L","…",IF(P$8="E","…","…")))</f>
        <v>210.75947405726592</v>
      </c>
      <c r="Q138" s="36">
        <f t="shared" si="62"/>
        <v>209.86599691349994</v>
      </c>
      <c r="R138" s="36">
        <f t="shared" si="62"/>
        <v>223.77290787749789</v>
      </c>
      <c r="S138" s="36">
        <f t="shared" si="62"/>
        <v>220.11358576902373</v>
      </c>
      <c r="T138" s="36">
        <f t="shared" si="62"/>
        <v>240.00926401177293</v>
      </c>
      <c r="U138" s="36">
        <f t="shared" si="62"/>
        <v>212.40315747402079</v>
      </c>
      <c r="V138" s="36" t="str">
        <f t="shared" si="62"/>
        <v>…</v>
      </c>
      <c r="W138" s="36" t="str">
        <f>IF(W$8="A",(W242+W233)/W147*365,IF(W$8="L","…",IF(W$8="E","…","…")))</f>
        <v>…</v>
      </c>
      <c r="X138" s="36" t="str">
        <f>IF(X$8="A",(X242+X233)/X147*365,IF(X$8="L","…",IF(X$8="E","…","…")))</f>
        <v>…</v>
      </c>
      <c r="Y138" s="36" t="str">
        <f>IF(Y$8="A",(Y242+Y233)/Y147*365,IF(Y$8="L","…",IF(Y$8="E","…","…")))</f>
        <v>…</v>
      </c>
      <c r="Z138" s="36"/>
      <c r="AA138" s="36"/>
      <c r="AB138" s="5"/>
      <c r="AC138" s="5"/>
      <c r="AD138" s="27"/>
      <c r="AE138" s="27"/>
      <c r="AF138" s="30"/>
      <c r="AG138" s="5" t="s">
        <v>421</v>
      </c>
      <c r="AJ138" s="31"/>
      <c r="AY138" s="36"/>
      <c r="AZ138" s="27"/>
    </row>
    <row r="139" spans="1:54">
      <c r="C139" s="38" t="s">
        <v>350</v>
      </c>
      <c r="D139" s="36" t="str">
        <f t="shared" ref="D139:Y139" si="63">IF(D$8="E",C137+$AE139,"…")</f>
        <v>…</v>
      </c>
      <c r="E139" s="36" t="str">
        <f t="shared" si="63"/>
        <v>…</v>
      </c>
      <c r="F139" s="36" t="str">
        <f t="shared" si="63"/>
        <v>…</v>
      </c>
      <c r="G139" s="36" t="str">
        <f t="shared" si="63"/>
        <v>…</v>
      </c>
      <c r="H139" s="36" t="str">
        <f t="shared" si="63"/>
        <v>…</v>
      </c>
      <c r="I139" s="36" t="str">
        <f t="shared" si="63"/>
        <v>…</v>
      </c>
      <c r="J139" s="36" t="str">
        <f t="shared" si="63"/>
        <v>…</v>
      </c>
      <c r="K139" s="36" t="str">
        <f t="shared" si="63"/>
        <v>…</v>
      </c>
      <c r="L139" s="36" t="str">
        <f t="shared" si="63"/>
        <v>…</v>
      </c>
      <c r="M139" s="36" t="str">
        <f t="shared" si="63"/>
        <v>…</v>
      </c>
      <c r="N139" s="36" t="str">
        <f t="shared" si="63"/>
        <v>…</v>
      </c>
      <c r="O139" s="36" t="str">
        <f t="shared" si="63"/>
        <v>…</v>
      </c>
      <c r="P139" s="55" t="str">
        <f t="shared" si="63"/>
        <v>…</v>
      </c>
      <c r="Q139" s="55" t="str">
        <f t="shared" si="63"/>
        <v>…</v>
      </c>
      <c r="R139" s="55" t="str">
        <f t="shared" si="63"/>
        <v>…</v>
      </c>
      <c r="S139" s="55" t="str">
        <f t="shared" si="63"/>
        <v>…</v>
      </c>
      <c r="T139" s="55" t="str">
        <f t="shared" si="63"/>
        <v>…</v>
      </c>
      <c r="U139" s="55" t="str">
        <f t="shared" si="63"/>
        <v>…</v>
      </c>
      <c r="V139" s="55">
        <f t="shared" si="63"/>
        <v>211.10194919095716</v>
      </c>
      <c r="W139" s="55">
        <f t="shared" si="63"/>
        <v>209.80074090789353</v>
      </c>
      <c r="X139" s="55">
        <f t="shared" si="63"/>
        <v>208.4995326248299</v>
      </c>
      <c r="Y139" s="55">
        <f t="shared" si="63"/>
        <v>207.19832434176627</v>
      </c>
      <c r="Z139" s="55"/>
      <c r="AA139" s="55"/>
      <c r="AB139" s="5"/>
      <c r="AC139" s="5"/>
      <c r="AD139" s="27">
        <f>(SUMIF(L15:AA15,"A",L137:AA137)-_xlfn.MAXIFS(L137:AA137,L15:AA15,"A")-_xlfn.MINIFS(L137:AA137,L15:AA15,"A"))/(COUNTIF(L15:AA15,"A")-2)</f>
        <v>205.89711605870264</v>
      </c>
      <c r="AE139" s="75">
        <f>(AD139-U138)/5</f>
        <v>-1.3012082830636302</v>
      </c>
      <c r="AF139" s="30"/>
      <c r="AG139" s="5">
        <f>(SUMIFS($C138:Q138,C$8:Q$8,"A")-MAX($A138:Q138)-MIN($A138:Q138))/(COUNTIFS($C$8:Q9,"A")-2)</f>
        <v>192.16509737712281</v>
      </c>
      <c r="AJ139" s="31"/>
      <c r="AY139" s="55"/>
      <c r="AZ139" s="27"/>
    </row>
    <row r="140" spans="1:54">
      <c r="C140" s="5" t="s">
        <v>139</v>
      </c>
      <c r="D140" s="36">
        <f t="shared" ref="D140:Y140" si="64">IF(ISNUMBER(D141),D141,IF(ISNUMBER(D142),D142,"…"))</f>
        <v>89.737081708125856</v>
      </c>
      <c r="E140" s="36">
        <f t="shared" si="64"/>
        <v>94.150291808372174</v>
      </c>
      <c r="F140" s="36">
        <f t="shared" si="64"/>
        <v>90.655733015494647</v>
      </c>
      <c r="G140" s="36">
        <f t="shared" si="64"/>
        <v>99.434236021194337</v>
      </c>
      <c r="H140" s="36">
        <f t="shared" si="64"/>
        <v>91.978024391958385</v>
      </c>
      <c r="I140" s="36">
        <f t="shared" si="64"/>
        <v>100.3804652666204</v>
      </c>
      <c r="J140" s="36">
        <f t="shared" si="64"/>
        <v>106.57856157635469</v>
      </c>
      <c r="K140" s="36">
        <f t="shared" si="64"/>
        <v>119.45304605960951</v>
      </c>
      <c r="L140" s="36">
        <f t="shared" si="64"/>
        <v>97.493849778903453</v>
      </c>
      <c r="M140" s="36">
        <f t="shared" si="64"/>
        <v>108.64200256843667</v>
      </c>
      <c r="N140" s="36">
        <f t="shared" si="64"/>
        <v>117.44080253682246</v>
      </c>
      <c r="O140" s="36">
        <f t="shared" si="64"/>
        <v>130.35934306021792</v>
      </c>
      <c r="P140" s="36">
        <f t="shared" si="64"/>
        <v>149.60553144287906</v>
      </c>
      <c r="Q140" s="36">
        <f t="shared" si="64"/>
        <v>124.27898578996194</v>
      </c>
      <c r="R140" s="36">
        <f t="shared" si="64"/>
        <v>121.03937264944943</v>
      </c>
      <c r="S140" s="36">
        <f t="shared" si="64"/>
        <v>115.60047816586973</v>
      </c>
      <c r="T140" s="36">
        <f t="shared" si="64"/>
        <v>125.70559124925971</v>
      </c>
      <c r="U140" s="36">
        <f t="shared" si="64"/>
        <v>125.18099520383694</v>
      </c>
      <c r="V140" s="36">
        <f t="shared" si="64"/>
        <v>124.35098544366592</v>
      </c>
      <c r="W140" s="36">
        <f t="shared" si="64"/>
        <v>123.5209756834949</v>
      </c>
      <c r="X140" s="36">
        <f t="shared" si="64"/>
        <v>122.69096592332387</v>
      </c>
      <c r="Y140" s="36">
        <f t="shared" si="64"/>
        <v>121.86095616315285</v>
      </c>
      <c r="Z140" s="36"/>
      <c r="AA140" s="36"/>
      <c r="AB140" s="5"/>
      <c r="AC140" s="5"/>
      <c r="AD140" s="27"/>
      <c r="AE140" s="27"/>
      <c r="AF140" s="30"/>
      <c r="AJ140" s="31"/>
      <c r="AY140" s="36"/>
      <c r="AZ140" s="27"/>
    </row>
    <row r="141" spans="1:54">
      <c r="C141" s="38" t="s">
        <v>351</v>
      </c>
      <c r="D141" s="36">
        <f t="shared" ref="D141:T141" si="65">IF(D$8="A",(D229)/D147*365,IF(D$8="L","…",IF(D$8="E",".","…")))</f>
        <v>89.737081708125856</v>
      </c>
      <c r="E141" s="36">
        <f t="shared" si="65"/>
        <v>94.150291808372174</v>
      </c>
      <c r="F141" s="36">
        <f t="shared" si="65"/>
        <v>90.655733015494647</v>
      </c>
      <c r="G141" s="36">
        <f t="shared" si="65"/>
        <v>99.434236021194337</v>
      </c>
      <c r="H141" s="36">
        <f t="shared" si="65"/>
        <v>91.978024391958385</v>
      </c>
      <c r="I141" s="36">
        <f t="shared" si="65"/>
        <v>100.3804652666204</v>
      </c>
      <c r="J141" s="36">
        <f t="shared" si="65"/>
        <v>106.57856157635469</v>
      </c>
      <c r="K141" s="36">
        <f t="shared" si="65"/>
        <v>119.45304605960951</v>
      </c>
      <c r="L141" s="36">
        <f t="shared" si="65"/>
        <v>97.493849778903453</v>
      </c>
      <c r="M141" s="55">
        <f t="shared" si="65"/>
        <v>108.64200256843667</v>
      </c>
      <c r="N141" s="55">
        <f t="shared" si="65"/>
        <v>117.44080253682246</v>
      </c>
      <c r="O141" s="55">
        <f t="shared" si="65"/>
        <v>130.35934306021792</v>
      </c>
      <c r="P141" s="55">
        <f t="shared" si="65"/>
        <v>149.60553144287906</v>
      </c>
      <c r="Q141" s="55">
        <f t="shared" si="65"/>
        <v>124.27898578996194</v>
      </c>
      <c r="R141" s="55">
        <f t="shared" si="65"/>
        <v>121.03937264944943</v>
      </c>
      <c r="S141" s="55">
        <f t="shared" si="65"/>
        <v>115.60047816586973</v>
      </c>
      <c r="T141" s="55">
        <f t="shared" si="65"/>
        <v>125.70559124925971</v>
      </c>
      <c r="U141" s="55">
        <f>IF(U$8="A",(U229)/U147*365,IF(U$8="L","…",IF(U$8="E",".","…")))</f>
        <v>125.18099520383694</v>
      </c>
      <c r="V141" s="55" t="str">
        <f>IF(V$8="A",(V229)/V147*365,IF(V$8="L","…",IF(V$8="E",".","…")))</f>
        <v>.</v>
      </c>
      <c r="W141" s="55" t="str">
        <f>IF(W$8="A",(W229)/W147*365,IF(W$8="L","…",IF(W$8="E",".","…")))</f>
        <v>.</v>
      </c>
      <c r="X141" s="55" t="str">
        <f>IF(X$8="A",(X229)/X147*365,IF(X$8="L","…",IF(X$8="E",".","…")))</f>
        <v>.</v>
      </c>
      <c r="Y141" s="55" t="str">
        <f>IF(Y$8="A",(Y229)/Y147*365,IF(Y$8="L","…",IF(Y$8="E",".","…")))</f>
        <v>.</v>
      </c>
      <c r="Z141" s="55"/>
      <c r="AA141" s="55"/>
      <c r="AB141" s="31"/>
      <c r="AC141" s="31"/>
      <c r="AE141" s="30"/>
      <c r="AF141" s="30"/>
      <c r="AG141" s="5" t="s">
        <v>421</v>
      </c>
      <c r="AJ141" s="31"/>
      <c r="AY141" s="55"/>
      <c r="AZ141" s="27"/>
    </row>
    <row r="142" spans="1:54">
      <c r="C142" s="38" t="s">
        <v>352</v>
      </c>
      <c r="D142" s="36" t="str">
        <f t="shared" ref="D142:Y142" si="66">IF(D$8="E",C140+$AE142,"…")</f>
        <v>…</v>
      </c>
      <c r="E142" s="36" t="str">
        <f t="shared" si="66"/>
        <v>…</v>
      </c>
      <c r="F142" s="36" t="str">
        <f t="shared" si="66"/>
        <v>…</v>
      </c>
      <c r="G142" s="36" t="str">
        <f t="shared" si="66"/>
        <v>…</v>
      </c>
      <c r="H142" s="36" t="str">
        <f t="shared" si="66"/>
        <v>…</v>
      </c>
      <c r="I142" s="36" t="str">
        <f t="shared" si="66"/>
        <v>…</v>
      </c>
      <c r="J142" s="36" t="str">
        <f t="shared" si="66"/>
        <v>…</v>
      </c>
      <c r="K142" s="55" t="str">
        <f t="shared" si="66"/>
        <v>…</v>
      </c>
      <c r="L142" s="55" t="str">
        <f t="shared" si="66"/>
        <v>…</v>
      </c>
      <c r="M142" s="55" t="str">
        <f t="shared" si="66"/>
        <v>…</v>
      </c>
      <c r="N142" s="55" t="str">
        <f t="shared" si="66"/>
        <v>…</v>
      </c>
      <c r="O142" s="55" t="str">
        <f t="shared" si="66"/>
        <v>…</v>
      </c>
      <c r="P142" s="55" t="str">
        <f t="shared" si="66"/>
        <v>…</v>
      </c>
      <c r="Q142" s="55" t="str">
        <f t="shared" si="66"/>
        <v>…</v>
      </c>
      <c r="R142" s="55" t="str">
        <f t="shared" si="66"/>
        <v>…</v>
      </c>
      <c r="S142" s="55" t="str">
        <f t="shared" si="66"/>
        <v>…</v>
      </c>
      <c r="T142" s="55" t="str">
        <f t="shared" si="66"/>
        <v>…</v>
      </c>
      <c r="U142" s="55" t="str">
        <f t="shared" si="66"/>
        <v>…</v>
      </c>
      <c r="V142" s="55">
        <f t="shared" si="66"/>
        <v>124.35098544366592</v>
      </c>
      <c r="W142" s="55">
        <f t="shared" si="66"/>
        <v>123.5209756834949</v>
      </c>
      <c r="X142" s="55">
        <f t="shared" si="66"/>
        <v>122.69096592332387</v>
      </c>
      <c r="Y142" s="55">
        <f t="shared" si="66"/>
        <v>121.86095616315285</v>
      </c>
      <c r="Z142" s="55"/>
      <c r="AA142" s="55"/>
      <c r="AB142" s="31"/>
      <c r="AC142" s="31"/>
      <c r="AD142" s="27">
        <f>(SUMIF(L15:AA15,"A",L140:AA140)-_xlfn.MAXIFS(L140:AA140,L15:AA15,"A")-_xlfn.MINIFS(L140:AA140,L15:AA15,"A"))/(COUNTIF(L15:AA15,"A")-2)</f>
        <v>121.03094640298184</v>
      </c>
      <c r="AE142" s="75">
        <f>(AD142-U141)/5</f>
        <v>-0.83000976017102057</v>
      </c>
      <c r="AF142" s="30"/>
      <c r="AG142" s="5">
        <f>(SUMIFS($C141:O141,C$8:O$8,"A")-MAX($A141:O141)-MIN($A141:O141))/(COUNTIFS($C$8:O8,"A")-2)</f>
        <v>102.62070130237666</v>
      </c>
      <c r="AJ142" s="31"/>
      <c r="AY142" s="55"/>
      <c r="AZ142" s="27"/>
    </row>
    <row r="143" spans="1:54">
      <c r="C143" s="38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31"/>
      <c r="AC143" s="31"/>
      <c r="AE143" s="30"/>
      <c r="AF143" s="30"/>
      <c r="AJ143" s="31"/>
      <c r="AY143" s="5"/>
      <c r="AZ143" s="27"/>
    </row>
    <row r="144" spans="1:54"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31"/>
      <c r="AC144" s="31"/>
      <c r="AE144" s="30"/>
      <c r="AF144" s="30"/>
      <c r="AJ144" s="31"/>
      <c r="AY144" s="25"/>
      <c r="AZ144" s="27"/>
    </row>
    <row r="145" spans="1:54" ht="13.15">
      <c r="C145" s="89" t="s">
        <v>340</v>
      </c>
      <c r="D145" s="90">
        <f t="shared" ref="D145:Y145" si="67">D147</f>
        <v>88963</v>
      </c>
      <c r="E145" s="90">
        <f t="shared" si="67"/>
        <v>95268</v>
      </c>
      <c r="F145" s="90">
        <f t="shared" si="67"/>
        <v>104875</v>
      </c>
      <c r="G145" s="90">
        <f t="shared" si="67"/>
        <v>108897</v>
      </c>
      <c r="H145" s="90">
        <f t="shared" si="67"/>
        <v>113808</v>
      </c>
      <c r="I145" s="90">
        <f t="shared" si="67"/>
        <v>105187</v>
      </c>
      <c r="J145" s="90">
        <f t="shared" si="67"/>
        <v>126875</v>
      </c>
      <c r="K145" s="90">
        <f t="shared" si="67"/>
        <v>159337</v>
      </c>
      <c r="L145" s="90">
        <f t="shared" si="67"/>
        <v>192676</v>
      </c>
      <c r="M145" s="90">
        <f t="shared" si="67"/>
        <v>197007</v>
      </c>
      <c r="N145" s="90">
        <f t="shared" si="67"/>
        <v>202458</v>
      </c>
      <c r="O145" s="90">
        <f t="shared" si="67"/>
        <v>213292</v>
      </c>
      <c r="P145" s="90">
        <f t="shared" si="67"/>
        <v>217267</v>
      </c>
      <c r="Q145" s="90">
        <f t="shared" si="67"/>
        <v>230682</v>
      </c>
      <c r="R145" s="90">
        <f t="shared" si="67"/>
        <v>235849</v>
      </c>
      <c r="S145" s="90">
        <f t="shared" si="67"/>
        <v>252632</v>
      </c>
      <c r="T145" s="90">
        <f t="shared" si="67"/>
        <v>222884</v>
      </c>
      <c r="U145" s="90">
        <f t="shared" si="67"/>
        <v>250200</v>
      </c>
      <c r="V145" s="90">
        <f t="shared" si="67"/>
        <v>278170.7</v>
      </c>
      <c r="W145" s="90">
        <f t="shared" si="67"/>
        <v>290361.09999999998</v>
      </c>
      <c r="X145" s="90">
        <f t="shared" si="67"/>
        <v>298282.533</v>
      </c>
      <c r="Y145" s="90">
        <f t="shared" si="67"/>
        <v>314244.33299999998</v>
      </c>
      <c r="Z145" s="90"/>
      <c r="AA145" s="90"/>
      <c r="AB145" s="31"/>
      <c r="AC145" s="31"/>
      <c r="AE145" s="30"/>
      <c r="AF145" s="30"/>
      <c r="AJ145" s="31"/>
      <c r="AY145" s="90"/>
      <c r="AZ145" s="27"/>
    </row>
    <row r="146" spans="1:54" hidden="1" outlineLevel="1">
      <c r="C146" s="41"/>
      <c r="D146" s="36"/>
      <c r="E146" s="36"/>
      <c r="F146" s="36"/>
      <c r="G146" s="36"/>
      <c r="H146" s="36"/>
      <c r="I146" s="36"/>
      <c r="J146" s="36"/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1"/>
      <c r="AC146" s="31"/>
      <c r="AE146" s="30"/>
      <c r="AF146" s="30"/>
      <c r="AJ146" s="31"/>
      <c r="AY146" s="36"/>
      <c r="AZ146" s="27"/>
    </row>
    <row r="147" spans="1:54" hidden="1" outlineLevel="1">
      <c r="C147" s="41" t="s">
        <v>345</v>
      </c>
      <c r="D147" s="25">
        <f t="shared" ref="D147:Y147" si="68">IF(ISNUMBER(D148),D148,IF(ISNUMBER(D149),D149,"…"))</f>
        <v>88963</v>
      </c>
      <c r="E147" s="25">
        <f t="shared" si="68"/>
        <v>95268</v>
      </c>
      <c r="F147" s="25">
        <f t="shared" si="68"/>
        <v>104875</v>
      </c>
      <c r="G147" s="25">
        <f t="shared" si="68"/>
        <v>108897</v>
      </c>
      <c r="H147" s="25">
        <f t="shared" si="68"/>
        <v>113808</v>
      </c>
      <c r="I147" s="25">
        <f t="shared" si="68"/>
        <v>105187</v>
      </c>
      <c r="J147" s="25">
        <f t="shared" si="68"/>
        <v>126875</v>
      </c>
      <c r="K147" s="25">
        <f t="shared" si="68"/>
        <v>159337</v>
      </c>
      <c r="L147" s="25">
        <f t="shared" si="68"/>
        <v>192676</v>
      </c>
      <c r="M147" s="25">
        <f t="shared" si="68"/>
        <v>197007</v>
      </c>
      <c r="N147" s="36">
        <f t="shared" si="68"/>
        <v>202458</v>
      </c>
      <c r="O147" s="36">
        <f t="shared" si="68"/>
        <v>213292</v>
      </c>
      <c r="P147" s="36">
        <f t="shared" si="68"/>
        <v>217267</v>
      </c>
      <c r="Q147" s="36">
        <f t="shared" si="68"/>
        <v>230682</v>
      </c>
      <c r="R147" s="36">
        <f t="shared" si="68"/>
        <v>235849</v>
      </c>
      <c r="S147" s="36">
        <f t="shared" si="68"/>
        <v>252632</v>
      </c>
      <c r="T147" s="36">
        <f t="shared" si="68"/>
        <v>222884</v>
      </c>
      <c r="U147" s="25">
        <f t="shared" si="68"/>
        <v>250200</v>
      </c>
      <c r="V147" s="25">
        <f t="shared" si="68"/>
        <v>278170.7</v>
      </c>
      <c r="W147" s="25">
        <f t="shared" si="68"/>
        <v>290361.09999999998</v>
      </c>
      <c r="X147" s="25">
        <f t="shared" si="68"/>
        <v>298282.533</v>
      </c>
      <c r="Y147" s="25">
        <f t="shared" si="68"/>
        <v>314244.33299999998</v>
      </c>
      <c r="Z147" s="25"/>
      <c r="AA147" s="2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25"/>
      <c r="AZ147" s="5"/>
    </row>
    <row r="148" spans="1:54" s="23" customFormat="1" hidden="1" outlineLevel="1">
      <c r="A148" s="5"/>
      <c r="B148" s="5"/>
      <c r="C148" s="43" t="s">
        <v>299</v>
      </c>
      <c r="D148" s="25">
        <f t="shared" ref="D148:T148" si="69">IF(D$8="A",D315,IF(D$8="L","…","…"))</f>
        <v>88963</v>
      </c>
      <c r="E148" s="25">
        <f t="shared" si="69"/>
        <v>95268</v>
      </c>
      <c r="F148" s="25">
        <f t="shared" si="69"/>
        <v>104875</v>
      </c>
      <c r="G148" s="25">
        <f t="shared" si="69"/>
        <v>108897</v>
      </c>
      <c r="H148" s="25">
        <f t="shared" si="69"/>
        <v>113808</v>
      </c>
      <c r="I148" s="25">
        <f t="shared" si="69"/>
        <v>105187</v>
      </c>
      <c r="J148" s="25">
        <f t="shared" si="69"/>
        <v>126875</v>
      </c>
      <c r="K148" s="25">
        <f t="shared" si="69"/>
        <v>159337</v>
      </c>
      <c r="L148" s="25">
        <f t="shared" si="69"/>
        <v>192676</v>
      </c>
      <c r="M148" s="25">
        <f t="shared" si="69"/>
        <v>197007</v>
      </c>
      <c r="N148" s="36">
        <f t="shared" si="69"/>
        <v>202458</v>
      </c>
      <c r="O148" s="36">
        <f t="shared" si="69"/>
        <v>213292</v>
      </c>
      <c r="P148" s="36">
        <f t="shared" si="69"/>
        <v>217267</v>
      </c>
      <c r="Q148" s="36">
        <f t="shared" si="69"/>
        <v>230682</v>
      </c>
      <c r="R148" s="36">
        <f t="shared" si="69"/>
        <v>235849</v>
      </c>
      <c r="S148" s="36">
        <f t="shared" si="69"/>
        <v>252632</v>
      </c>
      <c r="T148" s="36">
        <f t="shared" si="69"/>
        <v>222884</v>
      </c>
      <c r="U148" s="25">
        <f>IF(U$8="A",U315,IF(U$8="L","…","…"))</f>
        <v>250200</v>
      </c>
      <c r="V148" s="25" t="str">
        <f>IF(V$8="A",V315,IF(V$8="L","…","…"))</f>
        <v>…</v>
      </c>
      <c r="W148" s="25" t="str">
        <f>IF(W$8="A",W315,IF(W$8="L","…","…"))</f>
        <v>…</v>
      </c>
      <c r="X148" s="25" t="str">
        <f>IF(X$8="A",X315,IF(X$8="L","…","…"))</f>
        <v>…</v>
      </c>
      <c r="Y148" s="25" t="str">
        <f>IF(Y$8="A",Y315,IF(Y$8="L","…","…"))</f>
        <v>…</v>
      </c>
      <c r="Z148" s="25"/>
      <c r="AA148" s="25"/>
      <c r="AB148" s="20"/>
      <c r="AC148" s="20"/>
      <c r="AD148" s="5"/>
      <c r="AE148" s="5"/>
      <c r="AF148" s="5"/>
      <c r="AG148" s="5"/>
      <c r="AI148" s="5"/>
      <c r="AJ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5"/>
      <c r="AZ148" s="24"/>
      <c r="BA148" s="5"/>
      <c r="BB148" s="5"/>
    </row>
    <row r="149" spans="1:54" s="23" customFormat="1" hidden="1" outlineLevel="1">
      <c r="A149" s="5"/>
      <c r="B149" s="5"/>
      <c r="C149" s="43" t="s">
        <v>346</v>
      </c>
      <c r="D149" s="25"/>
      <c r="E149" s="25"/>
      <c r="F149" s="25"/>
      <c r="G149" s="25"/>
      <c r="H149" s="25"/>
      <c r="I149" s="60"/>
      <c r="J149" s="60"/>
      <c r="K149" s="60"/>
      <c r="L149" s="60"/>
      <c r="M149" s="60"/>
      <c r="N149" s="60" t="str">
        <f t="shared" ref="N149:Y149" si="70">IFERROR(1/(1/AL19),"…")</f>
        <v>…</v>
      </c>
      <c r="O149" s="94" t="str">
        <f t="shared" si="70"/>
        <v>…</v>
      </c>
      <c r="P149" s="94" t="str">
        <f t="shared" si="70"/>
        <v>…</v>
      </c>
      <c r="Q149" s="94" t="str">
        <f t="shared" si="70"/>
        <v>…</v>
      </c>
      <c r="R149" s="94" t="str">
        <f t="shared" si="70"/>
        <v>…</v>
      </c>
      <c r="S149" s="94">
        <f t="shared" si="70"/>
        <v>250082.14300000004</v>
      </c>
      <c r="T149" s="94">
        <f t="shared" si="70"/>
        <v>221235.09100000001</v>
      </c>
      <c r="U149" s="94">
        <f t="shared" si="70"/>
        <v>247553.39099999997</v>
      </c>
      <c r="V149" s="94">
        <f t="shared" si="70"/>
        <v>278170.7</v>
      </c>
      <c r="W149" s="94">
        <f t="shared" si="70"/>
        <v>290361.09999999998</v>
      </c>
      <c r="X149" s="94">
        <f t="shared" si="70"/>
        <v>298282.533</v>
      </c>
      <c r="Y149" s="94">
        <f t="shared" si="70"/>
        <v>314244.33299999998</v>
      </c>
      <c r="Z149" s="94"/>
      <c r="AA149" s="60"/>
      <c r="AB149" s="20"/>
      <c r="AC149" s="20"/>
      <c r="AD149" s="5"/>
      <c r="AE149" s="5"/>
      <c r="AF149" s="5"/>
      <c r="AG149" s="5"/>
      <c r="AI149" s="5"/>
      <c r="AJ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60"/>
      <c r="AZ149" s="24"/>
      <c r="BA149" s="5"/>
      <c r="BB149" s="5"/>
    </row>
    <row r="150" spans="1:54" s="23" customFormat="1" hidden="1" outlineLevel="1">
      <c r="A150" s="5"/>
      <c r="B150" s="5"/>
      <c r="C150" s="43"/>
      <c r="D150" s="25"/>
      <c r="E150" s="25"/>
      <c r="F150" s="25"/>
      <c r="G150" s="25"/>
      <c r="H150" s="25"/>
      <c r="I150" s="60"/>
      <c r="J150" s="60"/>
      <c r="K150" s="60"/>
      <c r="L150" s="60"/>
      <c r="M150" s="60"/>
      <c r="N150" s="60"/>
      <c r="O150" s="60"/>
      <c r="P150" s="60"/>
      <c r="Q150" s="60"/>
      <c r="R150" s="60"/>
      <c r="S150" s="60"/>
      <c r="T150" s="60"/>
      <c r="U150" s="60"/>
      <c r="V150" s="60"/>
      <c r="W150" s="60"/>
      <c r="X150" s="60"/>
      <c r="Y150" s="60"/>
      <c r="Z150" s="60"/>
      <c r="AA150" s="60"/>
      <c r="AB150" s="20"/>
      <c r="AC150" s="20"/>
      <c r="AD150" s="5"/>
      <c r="AE150" s="5"/>
      <c r="AF150" s="5"/>
      <c r="AG150" s="5"/>
      <c r="AI150" s="5"/>
      <c r="AJ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60"/>
      <c r="AZ150" s="24"/>
      <c r="BA150" s="5"/>
      <c r="BB150" s="5"/>
    </row>
    <row r="151" spans="1:54" ht="13.15" collapsed="1">
      <c r="C151" s="89" t="str">
        <f t="shared" ref="C151:Y151" si="71">C153</f>
        <v>EBITDA</v>
      </c>
      <c r="D151" s="90">
        <f t="shared" si="71"/>
        <v>10000</v>
      </c>
      <c r="E151" s="90">
        <f t="shared" si="71"/>
        <v>11073</v>
      </c>
      <c r="F151" s="90">
        <f t="shared" si="71"/>
        <v>11848</v>
      </c>
      <c r="G151" s="90">
        <f t="shared" si="71"/>
        <v>15996</v>
      </c>
      <c r="H151" s="90">
        <f t="shared" si="71"/>
        <v>14739</v>
      </c>
      <c r="I151" s="90">
        <f t="shared" si="71"/>
        <v>10716</v>
      </c>
      <c r="J151" s="90">
        <f t="shared" si="71"/>
        <v>17230</v>
      </c>
      <c r="K151" s="90">
        <f t="shared" si="71"/>
        <v>21604</v>
      </c>
      <c r="L151" s="90">
        <f t="shared" si="71"/>
        <v>24612</v>
      </c>
      <c r="M151" s="90">
        <f t="shared" si="71"/>
        <v>26321</v>
      </c>
      <c r="N151" s="90">
        <f t="shared" si="71"/>
        <v>29488</v>
      </c>
      <c r="O151" s="90">
        <f t="shared" si="71"/>
        <v>15587</v>
      </c>
      <c r="P151" s="90">
        <f t="shared" si="71"/>
        <v>27896</v>
      </c>
      <c r="Q151" s="90">
        <f t="shared" si="71"/>
        <v>35848</v>
      </c>
      <c r="R151" s="90">
        <f t="shared" si="71"/>
        <v>36311</v>
      </c>
      <c r="S151" s="90">
        <f t="shared" si="71"/>
        <v>39020</v>
      </c>
      <c r="T151" s="90">
        <f t="shared" si="71"/>
        <v>35959</v>
      </c>
      <c r="U151" s="90">
        <f t="shared" si="71"/>
        <v>45855</v>
      </c>
      <c r="V151" s="90">
        <f t="shared" si="71"/>
        <v>44369.610999999997</v>
      </c>
      <c r="W151" s="90">
        <f t="shared" si="71"/>
        <v>45314.167000000001</v>
      </c>
      <c r="X151" s="90">
        <f t="shared" si="71"/>
        <v>45844.582999999999</v>
      </c>
      <c r="Y151" s="90">
        <f t="shared" si="71"/>
        <v>49667</v>
      </c>
      <c r="Z151" s="90"/>
      <c r="AA151" s="90"/>
      <c r="AB151" s="31"/>
      <c r="AC151" s="31"/>
      <c r="AE151" s="30"/>
      <c r="AF151" s="30"/>
      <c r="AJ151" s="31"/>
      <c r="AY151" s="90"/>
      <c r="AZ151" s="27"/>
    </row>
    <row r="152" spans="1:54" s="23" customFormat="1" hidden="1" outlineLevel="1">
      <c r="A152" s="5"/>
      <c r="B152" s="5"/>
      <c r="C152" s="44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0"/>
      <c r="AC152" s="20"/>
      <c r="AD152" s="5"/>
      <c r="AE152" s="5"/>
      <c r="AF152" s="5"/>
      <c r="AG152" s="5"/>
      <c r="AI152" s="5"/>
      <c r="AY152" s="25"/>
      <c r="BB152" s="5"/>
    </row>
    <row r="153" spans="1:54" s="23" customFormat="1" hidden="1" outlineLevel="1">
      <c r="A153" s="5"/>
      <c r="B153" s="5"/>
      <c r="C153" s="44" t="s">
        <v>7</v>
      </c>
      <c r="D153" s="25">
        <f>IF(ISNUMBER(D154),D154,IF(ISNUMBER(D155),D155,"…"))</f>
        <v>10000</v>
      </c>
      <c r="E153" s="25">
        <f>IF(ISNUMBER(E154),E154,IF(ISNUMBER(E155),E155,"…"))</f>
        <v>11073</v>
      </c>
      <c r="F153" s="25">
        <f>IF(ISNUMBER(F154),F154,IF(ISNUMBER(F155),F155,"…"))</f>
        <v>11848</v>
      </c>
      <c r="G153" s="25">
        <f t="shared" ref="G153:Y153" si="72">IF(ISNUMBER(G154),G154,IF(ISNUMBER(G155),G155,IF(ISNUMBER(G158),G158,"…")))</f>
        <v>15996</v>
      </c>
      <c r="H153" s="25">
        <f t="shared" si="72"/>
        <v>14739</v>
      </c>
      <c r="I153" s="25">
        <f t="shared" si="72"/>
        <v>10716</v>
      </c>
      <c r="J153" s="25">
        <f t="shared" si="72"/>
        <v>17230</v>
      </c>
      <c r="K153" s="25">
        <f t="shared" si="72"/>
        <v>21604</v>
      </c>
      <c r="L153" s="25">
        <f>IF(ISNUMBER(L154),L154,IF(ISNUMBER(L155),L155,IF(ISNUMBER(L158),L158,"…")))</f>
        <v>24612</v>
      </c>
      <c r="M153" s="25">
        <f>IF(ISNUMBER(M154),M154,IF(ISNUMBER(M155),M155,IF(ISNUMBER(M158),M158,"…")))</f>
        <v>26321</v>
      </c>
      <c r="N153" s="25">
        <f t="shared" si="72"/>
        <v>29488</v>
      </c>
      <c r="O153" s="25">
        <f t="shared" si="72"/>
        <v>15587</v>
      </c>
      <c r="P153" s="25">
        <f t="shared" si="72"/>
        <v>27896</v>
      </c>
      <c r="Q153" s="25">
        <f t="shared" si="72"/>
        <v>35848</v>
      </c>
      <c r="R153" s="25">
        <f t="shared" si="72"/>
        <v>36311</v>
      </c>
      <c r="S153" s="25">
        <f t="shared" si="72"/>
        <v>39020</v>
      </c>
      <c r="T153" s="25">
        <f t="shared" si="72"/>
        <v>35959</v>
      </c>
      <c r="U153" s="25">
        <f t="shared" si="72"/>
        <v>45855</v>
      </c>
      <c r="V153" s="25">
        <f t="shared" si="72"/>
        <v>44369.610999999997</v>
      </c>
      <c r="W153" s="25">
        <f t="shared" si="72"/>
        <v>45314.167000000001</v>
      </c>
      <c r="X153" s="25">
        <f t="shared" si="72"/>
        <v>45844.582999999999</v>
      </c>
      <c r="Y153" s="25">
        <f t="shared" si="72"/>
        <v>49667</v>
      </c>
      <c r="Z153" s="25"/>
      <c r="AA153" s="25"/>
      <c r="AB153" s="20"/>
      <c r="AC153" s="20"/>
      <c r="AD153" s="5"/>
      <c r="AE153" s="5"/>
      <c r="AF153" s="5"/>
      <c r="AG153" s="5"/>
      <c r="AI153" s="5"/>
      <c r="AY153" s="25"/>
      <c r="BB153" s="5"/>
    </row>
    <row r="154" spans="1:54" s="23" customFormat="1" hidden="1" outlineLevel="1">
      <c r="A154" s="5"/>
      <c r="B154" s="5"/>
      <c r="C154" s="43" t="s">
        <v>293</v>
      </c>
      <c r="D154" s="25">
        <f t="shared" ref="D154:T154" si="73">IF(D$8="A",IF(D325="…","calc.",D325),IF(D$8="L","…","…"))</f>
        <v>10000</v>
      </c>
      <c r="E154" s="25">
        <f t="shared" si="73"/>
        <v>11073</v>
      </c>
      <c r="F154" s="25">
        <f t="shared" si="73"/>
        <v>11848</v>
      </c>
      <c r="G154" s="25">
        <f t="shared" si="73"/>
        <v>15996</v>
      </c>
      <c r="H154" s="25">
        <f t="shared" si="73"/>
        <v>14739</v>
      </c>
      <c r="I154" s="25">
        <f t="shared" si="73"/>
        <v>10716</v>
      </c>
      <c r="J154" s="25">
        <f t="shared" si="73"/>
        <v>17230</v>
      </c>
      <c r="K154" s="25">
        <f t="shared" si="73"/>
        <v>21604</v>
      </c>
      <c r="L154" s="25">
        <f t="shared" si="73"/>
        <v>24612</v>
      </c>
      <c r="M154" s="25">
        <f t="shared" si="73"/>
        <v>26321</v>
      </c>
      <c r="N154" s="25">
        <f t="shared" si="73"/>
        <v>29488</v>
      </c>
      <c r="O154" s="25">
        <f t="shared" si="73"/>
        <v>15587</v>
      </c>
      <c r="P154" s="25">
        <f t="shared" si="73"/>
        <v>27896</v>
      </c>
      <c r="Q154" s="25">
        <f t="shared" si="73"/>
        <v>35848</v>
      </c>
      <c r="R154" s="25">
        <f t="shared" si="73"/>
        <v>36311</v>
      </c>
      <c r="S154" s="25">
        <f t="shared" si="73"/>
        <v>39020</v>
      </c>
      <c r="T154" s="25">
        <f t="shared" si="73"/>
        <v>35959</v>
      </c>
      <c r="U154" s="25">
        <f>IF(U$8="A",IF(U325="…","calc.",U325),IF(U$8="L","…","…"))</f>
        <v>45855</v>
      </c>
      <c r="V154" s="25" t="str">
        <f>IF(V$8="A",IF(V325="…","calc.",V325),IF(V$8="L","…","…"))</f>
        <v>…</v>
      </c>
      <c r="W154" s="25" t="str">
        <f>IF(W$8="A",IF(W325="…","calc.",W325),IF(W$8="L","…","…"))</f>
        <v>…</v>
      </c>
      <c r="X154" s="25" t="str">
        <f>IF(X$8="A",IF(X325="…","calc.",X325),IF(X$8="L","…","…"))</f>
        <v>…</v>
      </c>
      <c r="Y154" s="25" t="str">
        <f>IF(Y$8="A",IF(Y325="…","calc.",Y325),IF(Y$8="L","…","…"))</f>
        <v>…</v>
      </c>
      <c r="Z154" s="25"/>
      <c r="AA154" s="25"/>
      <c r="AB154" s="20"/>
      <c r="AC154" s="20"/>
      <c r="AD154" s="5"/>
      <c r="AE154" s="5"/>
      <c r="AF154" s="5"/>
      <c r="AG154" s="5"/>
      <c r="AH154" s="5"/>
      <c r="AI154" s="5"/>
      <c r="AY154" s="25"/>
      <c r="BB154" s="5"/>
    </row>
    <row r="155" spans="1:54" s="23" customFormat="1" hidden="1" outlineLevel="1">
      <c r="A155" s="5"/>
      <c r="B155" s="5"/>
      <c r="C155" s="43" t="s">
        <v>294</v>
      </c>
      <c r="D155" s="25">
        <f t="shared" ref="D155:K155" si="74">IF(ISNUMBER(D156),D156,IF(ISNUMBER(D157),D157,"…"))</f>
        <v>10000</v>
      </c>
      <c r="E155" s="25">
        <f t="shared" si="74"/>
        <v>11073</v>
      </c>
      <c r="F155" s="25">
        <f t="shared" si="74"/>
        <v>11848</v>
      </c>
      <c r="G155" s="25">
        <f t="shared" si="74"/>
        <v>15996</v>
      </c>
      <c r="H155" s="25">
        <f t="shared" si="74"/>
        <v>14739</v>
      </c>
      <c r="I155" s="25">
        <f t="shared" si="74"/>
        <v>10716</v>
      </c>
      <c r="J155" s="25">
        <f t="shared" si="74"/>
        <v>17230</v>
      </c>
      <c r="K155" s="25">
        <f t="shared" si="74"/>
        <v>21604</v>
      </c>
      <c r="L155" s="25">
        <f>IF(ISNUMBER(L156),L156,IF(ISNUMBER(L157),L157,"…"))</f>
        <v>24612</v>
      </c>
      <c r="M155" s="25" t="s">
        <v>314</v>
      </c>
      <c r="N155" s="25" t="s">
        <v>314</v>
      </c>
      <c r="O155" s="25" t="s">
        <v>314</v>
      </c>
      <c r="P155" s="25" t="s">
        <v>314</v>
      </c>
      <c r="Q155" s="25" t="s">
        <v>314</v>
      </c>
      <c r="R155" s="25" t="s">
        <v>314</v>
      </c>
      <c r="S155" s="25" t="s">
        <v>314</v>
      </c>
      <c r="T155" s="25" t="s">
        <v>314</v>
      </c>
      <c r="U155" s="25" t="s">
        <v>314</v>
      </c>
      <c r="V155" s="25" t="s">
        <v>314</v>
      </c>
      <c r="W155" s="25" t="s">
        <v>314</v>
      </c>
      <c r="X155" s="25" t="s">
        <v>314</v>
      </c>
      <c r="Y155" s="25" t="s">
        <v>314</v>
      </c>
      <c r="Z155" s="25"/>
      <c r="AA155" s="25"/>
      <c r="AB155" s="20"/>
      <c r="AC155" s="20"/>
      <c r="AD155" s="5"/>
      <c r="AE155" s="5"/>
      <c r="AF155" s="5"/>
      <c r="AG155" s="5"/>
      <c r="AY155" s="25"/>
    </row>
    <row r="156" spans="1:54" s="23" customFormat="1" hidden="1" outlineLevel="1">
      <c r="A156" s="5"/>
      <c r="B156" s="5"/>
      <c r="C156" s="52" t="s">
        <v>156</v>
      </c>
      <c r="D156" s="25">
        <f t="shared" ref="D156:L156" si="75">IFERROR(D322+D339,"…")</f>
        <v>10000</v>
      </c>
      <c r="E156" s="25">
        <f t="shared" si="75"/>
        <v>11073</v>
      </c>
      <c r="F156" s="25">
        <f t="shared" si="75"/>
        <v>11848</v>
      </c>
      <c r="G156" s="25">
        <f t="shared" si="75"/>
        <v>15996</v>
      </c>
      <c r="H156" s="25">
        <f t="shared" si="75"/>
        <v>14739</v>
      </c>
      <c r="I156" s="25">
        <f t="shared" si="75"/>
        <v>10716</v>
      </c>
      <c r="J156" s="25">
        <f t="shared" si="75"/>
        <v>17230</v>
      </c>
      <c r="K156" s="25">
        <f t="shared" si="75"/>
        <v>21604</v>
      </c>
      <c r="L156" s="25">
        <f t="shared" si="75"/>
        <v>24612</v>
      </c>
      <c r="M156" s="25" t="s">
        <v>314</v>
      </c>
      <c r="N156" s="25" t="s">
        <v>314</v>
      </c>
      <c r="O156" s="25" t="s">
        <v>314</v>
      </c>
      <c r="P156" s="25" t="s">
        <v>314</v>
      </c>
      <c r="Q156" s="25" t="s">
        <v>314</v>
      </c>
      <c r="R156" s="25" t="s">
        <v>314</v>
      </c>
      <c r="S156" s="25" t="s">
        <v>314</v>
      </c>
      <c r="T156" s="25" t="s">
        <v>314</v>
      </c>
      <c r="U156" s="25" t="s">
        <v>314</v>
      </c>
      <c r="V156" s="25" t="s">
        <v>314</v>
      </c>
      <c r="W156" s="25" t="s">
        <v>314</v>
      </c>
      <c r="X156" s="25" t="s">
        <v>314</v>
      </c>
      <c r="Y156" s="25" t="s">
        <v>314</v>
      </c>
      <c r="Z156" s="25"/>
      <c r="AA156" s="25"/>
      <c r="AB156" s="20"/>
      <c r="AC156" s="20"/>
      <c r="AD156" s="5"/>
      <c r="AE156" s="5"/>
      <c r="AF156" s="5"/>
      <c r="AG156" s="5"/>
      <c r="AY156" s="25"/>
    </row>
    <row r="157" spans="1:54" hidden="1" outlineLevel="1">
      <c r="C157" s="52" t="s">
        <v>157</v>
      </c>
      <c r="D157" s="25">
        <f t="shared" ref="D157:L157" si="76">IFERROR(D322+D163+D191,"…")</f>
        <v>6661</v>
      </c>
      <c r="E157" s="25">
        <f t="shared" si="76"/>
        <v>9126</v>
      </c>
      <c r="F157" s="25">
        <f t="shared" si="76"/>
        <v>9800</v>
      </c>
      <c r="G157" s="25">
        <f t="shared" si="76"/>
        <v>13357</v>
      </c>
      <c r="H157" s="25">
        <f t="shared" si="76"/>
        <v>12547</v>
      </c>
      <c r="I157" s="25">
        <f t="shared" si="76"/>
        <v>8169</v>
      </c>
      <c r="J157" s="25">
        <f t="shared" si="76"/>
        <v>13771</v>
      </c>
      <c r="K157" s="25">
        <f t="shared" si="76"/>
        <v>18352</v>
      </c>
      <c r="L157" s="25">
        <f t="shared" si="76"/>
        <v>20984</v>
      </c>
      <c r="M157" s="25" t="s">
        <v>314</v>
      </c>
      <c r="N157" s="25" t="s">
        <v>314</v>
      </c>
      <c r="O157" s="25" t="s">
        <v>314</v>
      </c>
      <c r="P157" s="25" t="s">
        <v>314</v>
      </c>
      <c r="Q157" s="25" t="s">
        <v>314</v>
      </c>
      <c r="R157" s="25" t="s">
        <v>314</v>
      </c>
      <c r="S157" s="25" t="s">
        <v>314</v>
      </c>
      <c r="T157" s="25" t="s">
        <v>314</v>
      </c>
      <c r="U157" s="25" t="s">
        <v>314</v>
      </c>
      <c r="V157" s="25" t="s">
        <v>314</v>
      </c>
      <c r="W157" s="25" t="s">
        <v>314</v>
      </c>
      <c r="X157" s="25" t="s">
        <v>314</v>
      </c>
      <c r="Y157" s="25" t="s">
        <v>314</v>
      </c>
      <c r="Z157" s="25"/>
      <c r="AA157" s="2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25"/>
      <c r="AZ157" s="5"/>
    </row>
    <row r="158" spans="1:54" hidden="1" outlineLevel="1">
      <c r="C158" s="43" t="s">
        <v>347</v>
      </c>
      <c r="D158" s="60" t="str">
        <f t="shared" ref="D158:Y158" si="77">IFERROR(1/(1/AB20),"…")</f>
        <v>…</v>
      </c>
      <c r="E158" s="60" t="str">
        <f t="shared" si="77"/>
        <v>…</v>
      </c>
      <c r="F158" s="60" t="str">
        <f t="shared" si="77"/>
        <v>…</v>
      </c>
      <c r="G158" s="60" t="str">
        <f t="shared" si="77"/>
        <v>…</v>
      </c>
      <c r="H158" s="60" t="str">
        <f t="shared" si="77"/>
        <v>…</v>
      </c>
      <c r="I158" s="60" t="str">
        <f t="shared" si="77"/>
        <v>…</v>
      </c>
      <c r="J158" s="60" t="str">
        <f t="shared" si="77"/>
        <v>…</v>
      </c>
      <c r="K158" s="60" t="str">
        <f t="shared" si="77"/>
        <v>…</v>
      </c>
      <c r="L158" s="60" t="str">
        <f t="shared" si="77"/>
        <v>…</v>
      </c>
      <c r="M158" s="60" t="str">
        <f t="shared" si="77"/>
        <v>…</v>
      </c>
      <c r="N158" s="60" t="str">
        <f t="shared" si="77"/>
        <v>…</v>
      </c>
      <c r="O158" s="60" t="str">
        <f t="shared" si="77"/>
        <v>…</v>
      </c>
      <c r="P158" s="94" t="str">
        <f t="shared" si="77"/>
        <v>…</v>
      </c>
      <c r="Q158" s="94" t="str">
        <f t="shared" si="77"/>
        <v>…</v>
      </c>
      <c r="R158" s="94" t="str">
        <f t="shared" si="77"/>
        <v>…</v>
      </c>
      <c r="S158" s="94">
        <f t="shared" si="77"/>
        <v>37704.364000000001</v>
      </c>
      <c r="T158" s="94">
        <f t="shared" si="77"/>
        <v>31383.842000000001</v>
      </c>
      <c r="U158" s="94">
        <f t="shared" si="77"/>
        <v>45666.142999999996</v>
      </c>
      <c r="V158" s="94">
        <f t="shared" si="77"/>
        <v>44369.610999999997</v>
      </c>
      <c r="W158" s="94">
        <f t="shared" si="77"/>
        <v>45314.167000000001</v>
      </c>
      <c r="X158" s="94">
        <f t="shared" si="77"/>
        <v>45844.582999999999</v>
      </c>
      <c r="Y158" s="94">
        <f t="shared" si="77"/>
        <v>49667</v>
      </c>
      <c r="Z158" s="94"/>
      <c r="AA158" s="60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60"/>
      <c r="AZ158" s="5"/>
    </row>
    <row r="159" spans="1:54" hidden="1" outlineLevel="1">
      <c r="C159" s="44"/>
      <c r="D159" s="25"/>
      <c r="E159" s="25"/>
      <c r="F159" s="25"/>
      <c r="G159" s="25"/>
      <c r="H159" s="25"/>
      <c r="I159" s="25"/>
      <c r="J159" s="25"/>
      <c r="K159" s="25"/>
      <c r="L159" s="25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  <c r="AA159" s="48"/>
      <c r="AB159" s="29"/>
      <c r="AC159" s="29"/>
      <c r="AE159" s="30"/>
      <c r="AF159" s="30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48"/>
      <c r="AZ159" s="5"/>
    </row>
    <row r="160" spans="1:54" ht="13.15" collapsed="1">
      <c r="C160" s="91" t="s">
        <v>141</v>
      </c>
      <c r="D160" s="90">
        <f t="shared" ref="D160:Y160" si="78">IFERROR(-D162,"…")</f>
        <v>-4930</v>
      </c>
      <c r="E160" s="90">
        <f t="shared" si="78"/>
        <v>-5213</v>
      </c>
      <c r="F160" s="90">
        <f t="shared" si="78"/>
        <v>-4786</v>
      </c>
      <c r="G160" s="90">
        <f t="shared" si="78"/>
        <v>-4830</v>
      </c>
      <c r="H160" s="90">
        <f t="shared" si="78"/>
        <v>-4625</v>
      </c>
      <c r="I160" s="90">
        <f t="shared" si="78"/>
        <v>-4574</v>
      </c>
      <c r="J160" s="90">
        <f t="shared" si="78"/>
        <v>-4731</v>
      </c>
      <c r="K160" s="90">
        <f t="shared" si="78"/>
        <v>-4917</v>
      </c>
      <c r="L160" s="90">
        <f t="shared" si="78"/>
        <v>-5969</v>
      </c>
      <c r="M160" s="90">
        <f t="shared" si="78"/>
        <v>-6689</v>
      </c>
      <c r="N160" s="90">
        <f t="shared" si="78"/>
        <v>-7509</v>
      </c>
      <c r="O160" s="90">
        <f t="shared" si="78"/>
        <v>-13085</v>
      </c>
      <c r="P160" s="90">
        <f t="shared" si="78"/>
        <v>-15368</v>
      </c>
      <c r="Q160" s="90">
        <f t="shared" si="78"/>
        <v>-16764</v>
      </c>
      <c r="R160" s="90">
        <f t="shared" si="78"/>
        <v>-17174</v>
      </c>
      <c r="S160" s="90">
        <f t="shared" si="78"/>
        <v>-19676</v>
      </c>
      <c r="T160" s="90">
        <f t="shared" si="78"/>
        <v>-20500</v>
      </c>
      <c r="U160" s="90">
        <f t="shared" si="78"/>
        <v>-22542</v>
      </c>
      <c r="V160" s="90">
        <f t="shared" si="78"/>
        <v>-25235.470320678756</v>
      </c>
      <c r="W160" s="90">
        <f t="shared" si="78"/>
        <v>-23916.58019204063</v>
      </c>
      <c r="X160" s="90">
        <f t="shared" si="78"/>
        <v>-22911.418928746643</v>
      </c>
      <c r="Y160" s="90">
        <f t="shared" si="78"/>
        <v>-22210.847059906304</v>
      </c>
      <c r="Z160" s="90"/>
      <c r="AA160" s="90"/>
      <c r="AB160" s="86" t="s">
        <v>1711</v>
      </c>
      <c r="AC160" s="86" t="s">
        <v>1711</v>
      </c>
      <c r="AE160" s="30"/>
      <c r="AF160" s="30"/>
      <c r="AJ160" s="31"/>
      <c r="AY160" s="90"/>
      <c r="AZ160" s="27"/>
    </row>
    <row r="161" spans="2:70" hidden="1" outlineLevel="1">
      <c r="B161" s="31"/>
      <c r="C161" s="31"/>
      <c r="D161" s="31"/>
      <c r="E161" s="31"/>
      <c r="F161" s="31"/>
      <c r="G161" s="31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0"/>
      <c r="AF161" s="30"/>
      <c r="AJ161" s="31"/>
      <c r="AY161" s="31"/>
      <c r="AZ161" s="27"/>
    </row>
    <row r="162" spans="2:70" hidden="1" outlineLevel="1">
      <c r="C162" s="29" t="s">
        <v>141</v>
      </c>
      <c r="D162" s="25">
        <f t="shared" ref="D162:T162" si="79">IF(ISNUMBER(D163),D163,IF(ISNUMBER(D166),D166,IF(ISNUMBER(D171),D171,"…")))</f>
        <v>4930</v>
      </c>
      <c r="E162" s="25">
        <f t="shared" si="79"/>
        <v>5213</v>
      </c>
      <c r="F162" s="25">
        <f t="shared" si="79"/>
        <v>4786</v>
      </c>
      <c r="G162" s="25">
        <f t="shared" si="79"/>
        <v>4830</v>
      </c>
      <c r="H162" s="25">
        <f t="shared" si="79"/>
        <v>4625</v>
      </c>
      <c r="I162" s="25">
        <f t="shared" si="79"/>
        <v>4574</v>
      </c>
      <c r="J162" s="25">
        <f t="shared" si="79"/>
        <v>4731</v>
      </c>
      <c r="K162" s="25">
        <f t="shared" si="79"/>
        <v>4917</v>
      </c>
      <c r="L162" s="25">
        <f t="shared" si="79"/>
        <v>5969</v>
      </c>
      <c r="M162" s="25">
        <f t="shared" si="79"/>
        <v>6689</v>
      </c>
      <c r="N162" s="25">
        <f t="shared" si="79"/>
        <v>7509</v>
      </c>
      <c r="O162" s="25">
        <f t="shared" si="79"/>
        <v>13085</v>
      </c>
      <c r="P162" s="25">
        <f t="shared" si="79"/>
        <v>15368</v>
      </c>
      <c r="Q162" s="25">
        <f t="shared" si="79"/>
        <v>16764</v>
      </c>
      <c r="R162" s="25">
        <f t="shared" si="79"/>
        <v>17174</v>
      </c>
      <c r="S162" s="25">
        <f>IF(ISNUMBER(S163),S163,IF(ISNUMBER(S166),S166,IF(ISNUMBER(S171),S171,"…")))</f>
        <v>19676</v>
      </c>
      <c r="T162" s="25">
        <f t="shared" si="79"/>
        <v>20500</v>
      </c>
      <c r="U162" s="25">
        <f>IF(ISNUMBER(U163),U163,IF(ISNUMBER(U166),U166,IF(ISNUMBER(U171),U171,"…")))</f>
        <v>22542</v>
      </c>
      <c r="V162" s="25">
        <f>IF(ISNUMBER(V163),V163,IF(ISNUMBER(V166),V166,IF(ISNUMBER(V171),V171,"…")))</f>
        <v>25235.470320678756</v>
      </c>
      <c r="W162" s="25">
        <f>IF(ISNUMBER(W163),W163,IF(ISNUMBER(W166),W166,IF(ISNUMBER(W171),W171,"…")))</f>
        <v>23916.58019204063</v>
      </c>
      <c r="X162" s="25">
        <f>IF(ISNUMBER(X163),X163,IF(ISNUMBER(X166),X166,IF(ISNUMBER(X171),X171,"…")))</f>
        <v>22911.418928746643</v>
      </c>
      <c r="Y162" s="25">
        <f>IF(ISNUMBER(Y163),Y163,IF(ISNUMBER(Y166),Y166,IF(ISNUMBER(Y171),Y171,"…")))</f>
        <v>22210.847059906304</v>
      </c>
      <c r="Z162" s="25"/>
      <c r="AA162" s="2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25"/>
      <c r="AZ162" s="5"/>
    </row>
    <row r="163" spans="2:70" hidden="1" outlineLevel="1">
      <c r="C163" s="44" t="s">
        <v>291</v>
      </c>
      <c r="D163" s="25">
        <f t="shared" ref="D163:Y163" si="80">IF(ISNUMBER(D164),D164,IF(ISNUMBER(D165),D165,"…"))</f>
        <v>4930</v>
      </c>
      <c r="E163" s="25">
        <f t="shared" si="80"/>
        <v>5213</v>
      </c>
      <c r="F163" s="25">
        <f t="shared" si="80"/>
        <v>4786</v>
      </c>
      <c r="G163" s="25">
        <f t="shared" si="80"/>
        <v>4830</v>
      </c>
      <c r="H163" s="25">
        <f t="shared" si="80"/>
        <v>4625</v>
      </c>
      <c r="I163" s="25">
        <f t="shared" si="80"/>
        <v>4574</v>
      </c>
      <c r="J163" s="25">
        <f>IF(ISNUMBER(J164),J164,IF(ISNUMBER(J165),J165,"…"))</f>
        <v>4731</v>
      </c>
      <c r="K163" s="25">
        <f t="shared" si="80"/>
        <v>4917</v>
      </c>
      <c r="L163" s="25">
        <f t="shared" si="80"/>
        <v>5969</v>
      </c>
      <c r="M163" s="25">
        <f t="shared" si="80"/>
        <v>6689</v>
      </c>
      <c r="N163" s="25">
        <f t="shared" si="80"/>
        <v>7509</v>
      </c>
      <c r="O163" s="25">
        <f t="shared" si="80"/>
        <v>13085</v>
      </c>
      <c r="P163" s="25">
        <f t="shared" si="80"/>
        <v>15368</v>
      </c>
      <c r="Q163" s="25">
        <f>IF(ISNUMBER(Q164),Q164,IF(ISNUMBER(Q165),Q165,"…"))</f>
        <v>16764</v>
      </c>
      <c r="R163" s="25">
        <f t="shared" si="80"/>
        <v>17174</v>
      </c>
      <c r="S163" s="25">
        <f t="shared" si="80"/>
        <v>19676</v>
      </c>
      <c r="T163" s="25">
        <f t="shared" si="80"/>
        <v>20500</v>
      </c>
      <c r="U163" s="25">
        <f t="shared" si="80"/>
        <v>22542</v>
      </c>
      <c r="V163" s="25" t="str">
        <f t="shared" si="80"/>
        <v>…</v>
      </c>
      <c r="W163" s="25" t="str">
        <f t="shared" si="80"/>
        <v>…</v>
      </c>
      <c r="X163" s="25" t="str">
        <f t="shared" si="80"/>
        <v>…</v>
      </c>
      <c r="Y163" s="25" t="str">
        <f t="shared" si="80"/>
        <v>…</v>
      </c>
      <c r="Z163" s="25"/>
      <c r="AA163" s="25"/>
      <c r="AB163" s="5"/>
      <c r="AC163" s="5"/>
      <c r="AD163" s="29" t="s">
        <v>325</v>
      </c>
      <c r="AE163" s="30"/>
      <c r="AF163" s="30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25"/>
      <c r="AZ163" s="5"/>
    </row>
    <row r="164" spans="2:70" hidden="1" outlineLevel="1">
      <c r="C164" s="43" t="s">
        <v>154</v>
      </c>
      <c r="D164" s="25">
        <f t="shared" ref="D164:T164" si="81">IF(D$8="A",IF(D331="…","calc.",D331),"…")</f>
        <v>4930</v>
      </c>
      <c r="E164" s="25">
        <f t="shared" si="81"/>
        <v>5213</v>
      </c>
      <c r="F164" s="25">
        <f t="shared" si="81"/>
        <v>4786</v>
      </c>
      <c r="G164" s="25">
        <f t="shared" si="81"/>
        <v>4830</v>
      </c>
      <c r="H164" s="25">
        <f t="shared" si="81"/>
        <v>4625</v>
      </c>
      <c r="I164" s="25">
        <f t="shared" si="81"/>
        <v>4574</v>
      </c>
      <c r="J164" s="25">
        <f t="shared" si="81"/>
        <v>4731</v>
      </c>
      <c r="K164" s="25">
        <f t="shared" si="81"/>
        <v>4917</v>
      </c>
      <c r="L164" s="25">
        <f t="shared" si="81"/>
        <v>5969</v>
      </c>
      <c r="M164" s="25">
        <f t="shared" si="81"/>
        <v>6689</v>
      </c>
      <c r="N164" s="25">
        <f t="shared" si="81"/>
        <v>7509</v>
      </c>
      <c r="O164" s="25">
        <f t="shared" si="81"/>
        <v>13085</v>
      </c>
      <c r="P164" s="25">
        <f t="shared" si="81"/>
        <v>15368</v>
      </c>
      <c r="Q164" s="25">
        <f t="shared" si="81"/>
        <v>16764</v>
      </c>
      <c r="R164" s="25">
        <f t="shared" si="81"/>
        <v>17174</v>
      </c>
      <c r="S164" s="25">
        <f t="shared" si="81"/>
        <v>19676</v>
      </c>
      <c r="T164" s="25">
        <f t="shared" si="81"/>
        <v>20500</v>
      </c>
      <c r="U164" s="25">
        <f>IF(U$8="A",IF(U331="…","calc.",U331),"…")</f>
        <v>22542</v>
      </c>
      <c r="V164" s="25" t="str">
        <f>IF(V$8="A",IF(V331="…","calc.",V331),"…")</f>
        <v>…</v>
      </c>
      <c r="W164" s="25" t="str">
        <f>IF(W$8="A",IF(W331="…","calc.",W331),"…")</f>
        <v>…</v>
      </c>
      <c r="X164" s="25" t="str">
        <f>IF(X$8="A",IF(X331="…","calc.",X331),"…")</f>
        <v>…</v>
      </c>
      <c r="Y164" s="25" t="str">
        <f>IF(Y$8="A",IF(Y331="…","calc.",Y331),"…")</f>
        <v>…</v>
      </c>
      <c r="Z164" s="25"/>
      <c r="AA164" s="25"/>
      <c r="AB164" s="29"/>
      <c r="AC164" s="29"/>
      <c r="AE164" s="30"/>
      <c r="AF164" s="30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25"/>
      <c r="AZ164" s="5"/>
    </row>
    <row r="165" spans="2:70" hidden="1" outlineLevel="1">
      <c r="C165" s="43" t="s">
        <v>1712</v>
      </c>
      <c r="D165" s="25" t="s">
        <v>127</v>
      </c>
      <c r="E165" s="25" t="s">
        <v>127</v>
      </c>
      <c r="F165" s="25" t="s">
        <v>127</v>
      </c>
      <c r="G165" s="25" t="s">
        <v>127</v>
      </c>
      <c r="H165" s="25" t="s">
        <v>127</v>
      </c>
      <c r="I165" s="25" t="s">
        <v>127</v>
      </c>
      <c r="J165" s="25" t="s">
        <v>127</v>
      </c>
      <c r="K165" s="25" t="s">
        <v>127</v>
      </c>
      <c r="L165" s="25" t="s">
        <v>127</v>
      </c>
      <c r="M165" s="25" t="s">
        <v>127</v>
      </c>
      <c r="N165" s="25" t="s">
        <v>127</v>
      </c>
      <c r="O165" s="25" t="s">
        <v>127</v>
      </c>
      <c r="P165" s="25" t="s">
        <v>127</v>
      </c>
      <c r="Q165" s="25" t="s">
        <v>127</v>
      </c>
      <c r="R165" s="25" t="s">
        <v>127</v>
      </c>
      <c r="S165" s="25" t="s">
        <v>127</v>
      </c>
      <c r="T165" s="25" t="s">
        <v>127</v>
      </c>
      <c r="U165" s="25" t="s">
        <v>127</v>
      </c>
      <c r="V165" s="25" t="s">
        <v>127</v>
      </c>
      <c r="W165" s="25" t="s">
        <v>127</v>
      </c>
      <c r="X165" s="25" t="s">
        <v>127</v>
      </c>
      <c r="Y165" s="25" t="s">
        <v>127</v>
      </c>
      <c r="Z165" s="25"/>
      <c r="AA165" s="25"/>
      <c r="AB165" s="29"/>
      <c r="AC165" s="29"/>
      <c r="AE165" s="30"/>
      <c r="AF165" s="30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25"/>
      <c r="AZ165" s="5"/>
    </row>
    <row r="166" spans="2:70" hidden="1" outlineLevel="1">
      <c r="C166" s="44" t="s">
        <v>2475</v>
      </c>
      <c r="D166" s="25">
        <f t="shared" ref="D166:Y166" si="82">IF(ISNUMBER(D167),D167,IF(ISNUMBER(D168),D168,IF(ISNUMBER(D169),D169,IF(ISNUMBER(D170),D170,"…"))))</f>
        <v>8269</v>
      </c>
      <c r="E166" s="25">
        <f t="shared" si="82"/>
        <v>7160</v>
      </c>
      <c r="F166" s="25">
        <f t="shared" si="82"/>
        <v>6834</v>
      </c>
      <c r="G166" s="25">
        <f t="shared" si="82"/>
        <v>7469</v>
      </c>
      <c r="H166" s="25">
        <f t="shared" si="82"/>
        <v>6817</v>
      </c>
      <c r="I166" s="25">
        <f t="shared" si="82"/>
        <v>7121</v>
      </c>
      <c r="J166" s="25">
        <f t="shared" si="82"/>
        <v>8190</v>
      </c>
      <c r="K166" s="25">
        <f t="shared" si="82"/>
        <v>8169</v>
      </c>
      <c r="L166" s="25">
        <f t="shared" si="82"/>
        <v>9597</v>
      </c>
      <c r="M166" s="25">
        <f t="shared" si="82"/>
        <v>11061</v>
      </c>
      <c r="N166" s="25">
        <f t="shared" si="82"/>
        <v>12782</v>
      </c>
      <c r="O166" s="25">
        <f t="shared" si="82"/>
        <v>15565</v>
      </c>
      <c r="P166" s="25">
        <f t="shared" si="82"/>
        <v>16606</v>
      </c>
      <c r="Q166" s="25">
        <f t="shared" si="82"/>
        <v>17852</v>
      </c>
      <c r="R166" s="25">
        <f t="shared" si="82"/>
        <v>18054</v>
      </c>
      <c r="S166" s="25">
        <f t="shared" si="82"/>
        <v>19675</v>
      </c>
      <c r="T166" s="25">
        <f t="shared" si="82"/>
        <v>20500</v>
      </c>
      <c r="U166" s="25">
        <f t="shared" si="82"/>
        <v>21452</v>
      </c>
      <c r="V166" s="25" t="str">
        <f t="shared" si="82"/>
        <v>…</v>
      </c>
      <c r="W166" s="25" t="str">
        <f t="shared" si="82"/>
        <v>…</v>
      </c>
      <c r="X166" s="25" t="str">
        <f t="shared" si="82"/>
        <v>…</v>
      </c>
      <c r="Y166" s="25" t="str">
        <f t="shared" si="82"/>
        <v>…</v>
      </c>
      <c r="Z166" s="25"/>
      <c r="AA166" s="2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25"/>
      <c r="AZ166" s="5"/>
      <c r="BK166" s="22"/>
      <c r="BL166" s="23"/>
      <c r="BM166" s="22"/>
      <c r="BN166" s="22"/>
      <c r="BO166" s="22"/>
      <c r="BP166" s="22"/>
      <c r="BQ166" s="22"/>
      <c r="BR166" s="24"/>
    </row>
    <row r="167" spans="2:70" hidden="1" outlineLevel="1">
      <c r="C167" s="43" t="s">
        <v>156</v>
      </c>
      <c r="D167" s="25">
        <f t="shared" ref="D167:T167" si="83">IFERROR(D154-(D321+D191),"…")</f>
        <v>8269</v>
      </c>
      <c r="E167" s="25">
        <f t="shared" si="83"/>
        <v>7160</v>
      </c>
      <c r="F167" s="25">
        <f t="shared" si="83"/>
        <v>6834</v>
      </c>
      <c r="G167" s="25">
        <f t="shared" si="83"/>
        <v>7469</v>
      </c>
      <c r="H167" s="25">
        <f t="shared" si="83"/>
        <v>6817</v>
      </c>
      <c r="I167" s="25">
        <f t="shared" si="83"/>
        <v>7121</v>
      </c>
      <c r="J167" s="25">
        <f t="shared" si="83"/>
        <v>8190</v>
      </c>
      <c r="K167" s="25">
        <f t="shared" si="83"/>
        <v>8169</v>
      </c>
      <c r="L167" s="25">
        <f t="shared" si="83"/>
        <v>9597</v>
      </c>
      <c r="M167" s="48">
        <f t="shared" si="83"/>
        <v>11061</v>
      </c>
      <c r="N167" s="48">
        <f t="shared" si="83"/>
        <v>12782</v>
      </c>
      <c r="O167" s="48">
        <f t="shared" si="83"/>
        <v>15565</v>
      </c>
      <c r="P167" s="48">
        <f t="shared" si="83"/>
        <v>16606</v>
      </c>
      <c r="Q167" s="48">
        <f t="shared" si="83"/>
        <v>17852</v>
      </c>
      <c r="R167" s="48">
        <f t="shared" si="83"/>
        <v>18054</v>
      </c>
      <c r="S167" s="48">
        <f t="shared" si="83"/>
        <v>19675</v>
      </c>
      <c r="T167" s="48">
        <f t="shared" si="83"/>
        <v>20500</v>
      </c>
      <c r="U167" s="48">
        <f>IFERROR(U154-(U321+U191),"…")</f>
        <v>21452</v>
      </c>
      <c r="V167" s="48" t="str">
        <f>IFERROR(V154-(V321+V191),"…")</f>
        <v>…</v>
      </c>
      <c r="W167" s="48" t="str">
        <f>IFERROR(W154-(W321+W191),"…")</f>
        <v>…</v>
      </c>
      <c r="X167" s="48" t="str">
        <f>IFERROR(X154-(X321+X191),"…")</f>
        <v>…</v>
      </c>
      <c r="Y167" s="48" t="str">
        <f>IFERROR(Y154-(Y321+Y191),"…")</f>
        <v>…</v>
      </c>
      <c r="Z167" s="48"/>
      <c r="AA167" s="48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48"/>
      <c r="AZ167" s="5"/>
    </row>
    <row r="168" spans="2:70" hidden="1" outlineLevel="1">
      <c r="C168" s="43" t="s">
        <v>157</v>
      </c>
      <c r="D168" s="25">
        <f t="shared" ref="D168:V168" si="84">IFERROR(D339-(D196),"…")</f>
        <v>8268.9997728821254</v>
      </c>
      <c r="E168" s="25">
        <f t="shared" si="84"/>
        <v>7312.5220588235297</v>
      </c>
      <c r="F168" s="25">
        <f t="shared" si="84"/>
        <v>6941.6370656370655</v>
      </c>
      <c r="G168" s="25">
        <f t="shared" si="84"/>
        <v>7597.0396659707721</v>
      </c>
      <c r="H168" s="25">
        <f t="shared" si="84"/>
        <v>7218.0071684587811</v>
      </c>
      <c r="I168" s="25">
        <f t="shared" si="84"/>
        <v>7300.3442622950824</v>
      </c>
      <c r="J168" s="25">
        <f t="shared" si="84"/>
        <v>8332.3098591549297</v>
      </c>
      <c r="K168" s="25">
        <f t="shared" si="84"/>
        <v>8919.8804664723029</v>
      </c>
      <c r="L168" s="25">
        <f t="shared" si="84"/>
        <v>10894.845771144279</v>
      </c>
      <c r="M168" s="25">
        <f t="shared" si="84"/>
        <v>11246.908212560385</v>
      </c>
      <c r="N168" s="25">
        <f t="shared" si="84"/>
        <v>13036.983086680761</v>
      </c>
      <c r="O168" s="25">
        <f t="shared" si="84"/>
        <v>15840.88982161595</v>
      </c>
      <c r="P168" s="25">
        <f t="shared" si="84"/>
        <v>16902.854771784234</v>
      </c>
      <c r="Q168" s="25">
        <f t="shared" si="84"/>
        <v>18110.321285140562</v>
      </c>
      <c r="R168" s="25">
        <f t="shared" si="84"/>
        <v>18340.64539007092</v>
      </c>
      <c r="S168" s="25">
        <f t="shared" si="84"/>
        <v>20017.477151965992</v>
      </c>
      <c r="T168" s="25">
        <f t="shared" si="84"/>
        <v>20893.971751412428</v>
      </c>
      <c r="U168" s="25">
        <f t="shared" si="84"/>
        <v>22178.142857142855</v>
      </c>
      <c r="V168" s="25" t="str">
        <f t="shared" si="84"/>
        <v>…</v>
      </c>
      <c r="W168" s="25" t="str">
        <f>IFERROR(W339-(W196),"…")</f>
        <v>…</v>
      </c>
      <c r="X168" s="25" t="str">
        <f>IFERROR(X339-(X196),"…")</f>
        <v>…</v>
      </c>
      <c r="Y168" s="25" t="str">
        <f>IFERROR(Y339-(Y196),"…")</f>
        <v>…</v>
      </c>
      <c r="Z168" s="25"/>
      <c r="AA168" s="2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25"/>
      <c r="AZ168" s="5"/>
      <c r="BK168" s="22"/>
      <c r="BL168" s="23"/>
      <c r="BM168" s="22"/>
      <c r="BN168" s="22"/>
      <c r="BO168" s="22"/>
      <c r="BP168" s="22"/>
      <c r="BQ168" s="22"/>
      <c r="BR168" s="24"/>
    </row>
    <row r="169" spans="2:70" hidden="1" outlineLevel="1">
      <c r="C169" s="43" t="s">
        <v>366</v>
      </c>
      <c r="D169" s="25" t="str">
        <f t="shared" ref="D169:V169" si="85">IFERROR(D339-(D195),"…")</f>
        <v>…</v>
      </c>
      <c r="E169" s="25" t="str">
        <f t="shared" si="85"/>
        <v>…</v>
      </c>
      <c r="F169" s="25" t="str">
        <f t="shared" si="85"/>
        <v>…</v>
      </c>
      <c r="G169" s="25" t="str">
        <f t="shared" si="85"/>
        <v>…</v>
      </c>
      <c r="H169" s="25" t="str">
        <f t="shared" si="85"/>
        <v>…</v>
      </c>
      <c r="I169" s="25" t="str">
        <f t="shared" si="85"/>
        <v>…</v>
      </c>
      <c r="J169" s="25" t="str">
        <f t="shared" si="85"/>
        <v>…</v>
      </c>
      <c r="K169" s="25" t="str">
        <f t="shared" si="85"/>
        <v>…</v>
      </c>
      <c r="L169" s="25" t="str">
        <f t="shared" si="85"/>
        <v>…</v>
      </c>
      <c r="M169" s="25" t="str">
        <f t="shared" si="85"/>
        <v>…</v>
      </c>
      <c r="N169" s="25" t="str">
        <f t="shared" si="85"/>
        <v>…</v>
      </c>
      <c r="O169" s="25" t="str">
        <f t="shared" si="85"/>
        <v>…</v>
      </c>
      <c r="P169" s="25" t="str">
        <f t="shared" si="85"/>
        <v>…</v>
      </c>
      <c r="Q169" s="25" t="str">
        <f t="shared" si="85"/>
        <v>…</v>
      </c>
      <c r="R169" s="25" t="str">
        <f t="shared" si="85"/>
        <v>…</v>
      </c>
      <c r="S169" s="25" t="str">
        <f t="shared" si="85"/>
        <v>…</v>
      </c>
      <c r="T169" s="25" t="str">
        <f t="shared" si="85"/>
        <v>…</v>
      </c>
      <c r="U169" s="25" t="str">
        <f t="shared" si="85"/>
        <v>…</v>
      </c>
      <c r="V169" s="25" t="str">
        <f t="shared" si="85"/>
        <v>…</v>
      </c>
      <c r="W169" s="25" t="str">
        <f>IFERROR(W339-(W195),"…")</f>
        <v>…</v>
      </c>
      <c r="X169" s="25" t="str">
        <f>IFERROR(X339-(X195),"…")</f>
        <v>…</v>
      </c>
      <c r="Y169" s="25" t="str">
        <f>IFERROR(Y339-(Y195),"…")</f>
        <v>…</v>
      </c>
      <c r="Z169" s="25"/>
      <c r="AA169" s="2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25"/>
      <c r="AZ169" s="5"/>
      <c r="BK169" s="22"/>
      <c r="BL169" s="23"/>
      <c r="BM169" s="22"/>
      <c r="BN169" s="22"/>
      <c r="BO169" s="22"/>
      <c r="BP169" s="22"/>
      <c r="BQ169" s="22"/>
      <c r="BR169" s="24"/>
    </row>
    <row r="170" spans="2:70" hidden="1" outlineLevel="1">
      <c r="C170" s="43" t="s">
        <v>409</v>
      </c>
      <c r="D170" s="25">
        <f t="shared" ref="D170:V170" si="86">IF(D$8="A",IFERROR(D339-(D196),"…"),"...")</f>
        <v>8268.9997728821254</v>
      </c>
      <c r="E170" s="25">
        <f t="shared" si="86"/>
        <v>7312.5220588235297</v>
      </c>
      <c r="F170" s="25">
        <f t="shared" si="86"/>
        <v>6941.6370656370655</v>
      </c>
      <c r="G170" s="25">
        <f t="shared" si="86"/>
        <v>7597.0396659707721</v>
      </c>
      <c r="H170" s="25">
        <f t="shared" si="86"/>
        <v>7218.0071684587811</v>
      </c>
      <c r="I170" s="25">
        <f t="shared" si="86"/>
        <v>7300.3442622950824</v>
      </c>
      <c r="J170" s="25">
        <f t="shared" si="86"/>
        <v>8332.3098591549297</v>
      </c>
      <c r="K170" s="25">
        <f t="shared" si="86"/>
        <v>8919.8804664723029</v>
      </c>
      <c r="L170" s="25">
        <f t="shared" si="86"/>
        <v>10894.845771144279</v>
      </c>
      <c r="M170" s="25">
        <f t="shared" si="86"/>
        <v>11246.908212560385</v>
      </c>
      <c r="N170" s="25">
        <f t="shared" si="86"/>
        <v>13036.983086680761</v>
      </c>
      <c r="O170" s="25">
        <f t="shared" si="86"/>
        <v>15840.88982161595</v>
      </c>
      <c r="P170" s="25">
        <f t="shared" si="86"/>
        <v>16902.854771784234</v>
      </c>
      <c r="Q170" s="25">
        <f t="shared" si="86"/>
        <v>18110.321285140562</v>
      </c>
      <c r="R170" s="25">
        <f t="shared" si="86"/>
        <v>18340.64539007092</v>
      </c>
      <c r="S170" s="25">
        <f t="shared" si="86"/>
        <v>20017.477151965992</v>
      </c>
      <c r="T170" s="25">
        <f t="shared" si="86"/>
        <v>20893.971751412428</v>
      </c>
      <c r="U170" s="25">
        <f t="shared" si="86"/>
        <v>22178.142857142855</v>
      </c>
      <c r="V170" s="25" t="str">
        <f t="shared" si="86"/>
        <v>...</v>
      </c>
      <c r="W170" s="25" t="str">
        <f>IF(W$8="A",IFERROR(W339-(W196),"…"),"...")</f>
        <v>...</v>
      </c>
      <c r="X170" s="25" t="str">
        <f>IF(X$8="A",IFERROR(X339-(X196),"…"),"...")</f>
        <v>...</v>
      </c>
      <c r="Y170" s="25" t="str">
        <f>IF(Y$8="A",IFERROR(Y339-(Y196),"…"),"...")</f>
        <v>...</v>
      </c>
      <c r="Z170" s="25"/>
      <c r="AA170" s="2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25"/>
      <c r="AZ170" s="5"/>
      <c r="BK170" s="22"/>
      <c r="BL170" s="23"/>
      <c r="BM170" s="22"/>
      <c r="BN170" s="22"/>
      <c r="BO170" s="22"/>
      <c r="BP170" s="22"/>
      <c r="BQ170" s="22"/>
      <c r="BR170" s="24"/>
    </row>
    <row r="171" spans="2:70" collapsed="1">
      <c r="C171" s="44" t="s">
        <v>364</v>
      </c>
      <c r="D171" s="55" t="str">
        <f t="shared" ref="D171:T171" si="87">IF(ISNUMBER(D173),D173,IF(ISNUMBER(D172),D172,"…"))</f>
        <v>…</v>
      </c>
      <c r="E171" s="55" t="str">
        <f t="shared" si="87"/>
        <v>…</v>
      </c>
      <c r="F171" s="55" t="str">
        <f t="shared" si="87"/>
        <v>…</v>
      </c>
      <c r="G171" s="55" t="str">
        <f t="shared" si="87"/>
        <v>…</v>
      </c>
      <c r="H171" s="55" t="str">
        <f t="shared" si="87"/>
        <v>…</v>
      </c>
      <c r="I171" s="55" t="str">
        <f t="shared" si="87"/>
        <v>…</v>
      </c>
      <c r="J171" s="55" t="str">
        <f t="shared" si="87"/>
        <v>…</v>
      </c>
      <c r="K171" s="55" t="str">
        <f t="shared" si="87"/>
        <v>…</v>
      </c>
      <c r="L171" s="55" t="str">
        <f t="shared" si="87"/>
        <v>…</v>
      </c>
      <c r="M171" s="55" t="str">
        <f t="shared" si="87"/>
        <v>…</v>
      </c>
      <c r="N171" s="55" t="str">
        <f t="shared" si="87"/>
        <v>…</v>
      </c>
      <c r="O171" s="55" t="str">
        <f t="shared" si="87"/>
        <v>…</v>
      </c>
      <c r="P171" s="55" t="str">
        <f t="shared" si="87"/>
        <v>…</v>
      </c>
      <c r="Q171" s="55" t="str">
        <f t="shared" si="87"/>
        <v>…</v>
      </c>
      <c r="R171" s="55" t="str">
        <f t="shared" si="87"/>
        <v>…</v>
      </c>
      <c r="S171" s="55" t="str">
        <f t="shared" si="87"/>
        <v>…</v>
      </c>
      <c r="T171" s="55" t="str">
        <f t="shared" si="87"/>
        <v>…</v>
      </c>
      <c r="U171" s="55" t="str">
        <f>IF(ISNUMBER(U173),U173,IF(ISNUMBER(U172),U172,"…"))</f>
        <v>…</v>
      </c>
      <c r="V171" s="55">
        <f>IF(ISNUMBER(V173),V173,IF(ISNUMBER(V172),V172,"…"))</f>
        <v>25235.470320678756</v>
      </c>
      <c r="W171" s="55">
        <f>IF(ISNUMBER(W173),W173,IF(ISNUMBER(W172),W172,"…"))</f>
        <v>23916.58019204063</v>
      </c>
      <c r="X171" s="55">
        <f>IF(ISNUMBER(X173),X173,IF(ISNUMBER(X172),X172,"…"))</f>
        <v>22911.418928746643</v>
      </c>
      <c r="Y171" s="55">
        <f>IF(ISNUMBER(Y173),Y173,IF(ISNUMBER(Y172),Y172,"…"))</f>
        <v>22210.847059906304</v>
      </c>
      <c r="Z171" s="55"/>
      <c r="AA171" s="55"/>
      <c r="AB171" s="5"/>
      <c r="AC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48"/>
      <c r="AZ171" s="5"/>
    </row>
    <row r="172" spans="2:70">
      <c r="C172" s="43" t="s">
        <v>156</v>
      </c>
      <c r="D172" s="55" t="str">
        <f t="shared" ref="D172:T172" si="88">IF(D$8="E",IFERROR((2*C246)/(2*D177-D79+1),"…"),"…")</f>
        <v>…</v>
      </c>
      <c r="E172" s="55" t="str">
        <f t="shared" si="88"/>
        <v>…</v>
      </c>
      <c r="F172" s="55" t="str">
        <f t="shared" si="88"/>
        <v>…</v>
      </c>
      <c r="G172" s="55" t="str">
        <f t="shared" si="88"/>
        <v>…</v>
      </c>
      <c r="H172" s="55" t="str">
        <f t="shared" si="88"/>
        <v>…</v>
      </c>
      <c r="I172" s="55" t="str">
        <f t="shared" si="88"/>
        <v>…</v>
      </c>
      <c r="J172" s="55" t="str">
        <f t="shared" si="88"/>
        <v>…</v>
      </c>
      <c r="K172" s="55" t="str">
        <f t="shared" si="88"/>
        <v>…</v>
      </c>
      <c r="L172" s="55" t="str">
        <f t="shared" si="88"/>
        <v>…</v>
      </c>
      <c r="M172" s="55" t="str">
        <f t="shared" si="88"/>
        <v>…</v>
      </c>
      <c r="N172" s="55" t="str">
        <f t="shared" si="88"/>
        <v>…</v>
      </c>
      <c r="O172" s="55" t="str">
        <f t="shared" si="88"/>
        <v>…</v>
      </c>
      <c r="P172" s="55" t="str">
        <f t="shared" si="88"/>
        <v>…</v>
      </c>
      <c r="Q172" s="55" t="str">
        <f t="shared" si="88"/>
        <v>…</v>
      </c>
      <c r="R172" s="55" t="str">
        <f t="shared" si="88"/>
        <v>…</v>
      </c>
      <c r="S172" s="55" t="str">
        <f t="shared" si="88"/>
        <v>…</v>
      </c>
      <c r="T172" s="55" t="str">
        <f t="shared" si="88"/>
        <v>…</v>
      </c>
      <c r="U172" s="55" t="str">
        <f>IF(U$8="E",IFERROR((2*T246)/(2*U177-U79+1),"…"),"…")</f>
        <v>…</v>
      </c>
      <c r="V172" s="55">
        <f>IF(V$8="E",IFERROR((2*U246)/(2*V177-V79+1),"…"),"…")</f>
        <v>22731.693293659126</v>
      </c>
      <c r="W172" s="55">
        <f>IF(W$8="E",IFERROR((2*V246)/(2*W177-W79+1),"…"),"…")</f>
        <v>21435.738697406014</v>
      </c>
      <c r="X172" s="55">
        <f>IF(X$8="E",IFERROR((2*W246)/(2*X177-X79+1),"…"),"…")</f>
        <v>20423.650087491467</v>
      </c>
      <c r="Y172" s="55">
        <f>IF(Y$8="E",IFERROR((2*X246)/(2*Y177-Y79+1),"…"),"…")</f>
        <v>19663.04614706623</v>
      </c>
      <c r="Z172" s="55"/>
      <c r="AA172" s="55"/>
      <c r="AB172" s="5"/>
      <c r="AC172" s="29" t="s">
        <v>324</v>
      </c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48"/>
      <c r="AZ172" s="5"/>
    </row>
    <row r="173" spans="2:70">
      <c r="C173" s="43" t="s">
        <v>157</v>
      </c>
      <c r="D173" s="48" t="str">
        <f t="shared" ref="D173:Y173" si="89">IF(D$8="E",IFERROR(C246/D177-D64/D177*0.5,"…"),"…")</f>
        <v>…</v>
      </c>
      <c r="E173" s="48" t="str">
        <f t="shared" si="89"/>
        <v>…</v>
      </c>
      <c r="F173" s="48" t="str">
        <f t="shared" si="89"/>
        <v>…</v>
      </c>
      <c r="G173" s="48" t="str">
        <f t="shared" si="89"/>
        <v>…</v>
      </c>
      <c r="H173" s="48" t="str">
        <f t="shared" si="89"/>
        <v>…</v>
      </c>
      <c r="I173" s="48" t="str">
        <f t="shared" si="89"/>
        <v>…</v>
      </c>
      <c r="J173" s="48" t="str">
        <f t="shared" si="89"/>
        <v>…</v>
      </c>
      <c r="K173" s="48" t="str">
        <f t="shared" si="89"/>
        <v>…</v>
      </c>
      <c r="L173" s="48" t="str">
        <f t="shared" si="89"/>
        <v>…</v>
      </c>
      <c r="M173" s="48" t="str">
        <f t="shared" si="89"/>
        <v>…</v>
      </c>
      <c r="N173" s="48" t="str">
        <f t="shared" si="89"/>
        <v>…</v>
      </c>
      <c r="O173" s="48" t="str">
        <f t="shared" si="89"/>
        <v>…</v>
      </c>
      <c r="P173" s="48" t="str">
        <f t="shared" si="89"/>
        <v>…</v>
      </c>
      <c r="Q173" s="48" t="str">
        <f t="shared" si="89"/>
        <v>…</v>
      </c>
      <c r="R173" s="48" t="str">
        <f t="shared" si="89"/>
        <v>…</v>
      </c>
      <c r="S173" s="55" t="str">
        <f t="shared" si="89"/>
        <v>…</v>
      </c>
      <c r="T173" s="55" t="str">
        <f t="shared" si="89"/>
        <v>…</v>
      </c>
      <c r="U173" s="48" t="str">
        <f t="shared" si="89"/>
        <v>…</v>
      </c>
      <c r="V173" s="48">
        <f t="shared" si="89"/>
        <v>25235.470320678756</v>
      </c>
      <c r="W173" s="48">
        <f t="shared" si="89"/>
        <v>23916.58019204063</v>
      </c>
      <c r="X173" s="48">
        <f t="shared" si="89"/>
        <v>22911.418928746643</v>
      </c>
      <c r="Y173" s="48">
        <f t="shared" si="89"/>
        <v>22210.847059906304</v>
      </c>
      <c r="Z173" s="48"/>
      <c r="AA173" s="48"/>
      <c r="AB173" s="5"/>
      <c r="AC173" s="29" t="s">
        <v>324</v>
      </c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48"/>
      <c r="AZ173" s="5"/>
    </row>
    <row r="174" spans="2:70" hidden="1" outlineLevel="1">
      <c r="C174" s="38" t="s">
        <v>131</v>
      </c>
      <c r="D174" s="25">
        <f t="shared" ref="D174:Y174" si="90">IF(ISNUMBER(D175),D175,IF(ISNUMBER(D176),D176,IF(ISNUMBER(D177),D177,"…")))</f>
        <v>6.5843813387423937</v>
      </c>
      <c r="E174" s="25">
        <f t="shared" si="90"/>
        <v>6.2722041051218111</v>
      </c>
      <c r="F174" s="25">
        <f t="shared" si="90"/>
        <v>6.4053489343919763</v>
      </c>
      <c r="G174" s="25">
        <f t="shared" si="90"/>
        <v>5.8020703933747413</v>
      </c>
      <c r="H174" s="25">
        <f t="shared" si="90"/>
        <v>6.5761081081081079</v>
      </c>
      <c r="I174" s="25">
        <f t="shared" si="90"/>
        <v>6.2968954962833408</v>
      </c>
      <c r="J174" s="25">
        <f t="shared" si="90"/>
        <v>5.3150496723737053</v>
      </c>
      <c r="K174" s="25">
        <f t="shared" si="90"/>
        <v>5.8697376449054302</v>
      </c>
      <c r="L174" s="25">
        <f>IF(ISNUMBER(L175),L175,IF(ISNUMBER(L176),L176,IF(ISNUMBER(L177),L177,"…")))</f>
        <v>5.9725247110068684</v>
      </c>
      <c r="M174" s="25">
        <f>IF(ISNUMBER(M175),M175,IF(ISNUMBER(M176),M176,IF(ISNUMBER(M177),M177,"…")))</f>
        <v>6.115413365226491</v>
      </c>
      <c r="N174" s="36">
        <f t="shared" si="90"/>
        <v>5.8967239312824606</v>
      </c>
      <c r="O174" s="36">
        <f t="shared" si="90"/>
        <v>4.9489109667558271</v>
      </c>
      <c r="P174" s="36">
        <f t="shared" si="90"/>
        <v>5.7201978136387295</v>
      </c>
      <c r="Q174" s="36">
        <f t="shared" si="90"/>
        <v>5.5904617036506803</v>
      </c>
      <c r="R174" s="36">
        <f t="shared" si="90"/>
        <v>5.7248456969838131</v>
      </c>
      <c r="S174" s="36">
        <f t="shared" si="90"/>
        <v>5.5082842041065261</v>
      </c>
      <c r="T174" s="36">
        <f t="shared" si="90"/>
        <v>5.6014878048780492</v>
      </c>
      <c r="U174" s="25">
        <f t="shared" si="90"/>
        <v>5.2782361813503682</v>
      </c>
      <c r="V174" s="25">
        <f t="shared" si="90"/>
        <v>5.2782361813503682</v>
      </c>
      <c r="W174" s="25">
        <f t="shared" si="90"/>
        <v>5.2782361813503682</v>
      </c>
      <c r="X174" s="25">
        <f t="shared" si="90"/>
        <v>5.2782361813503682</v>
      </c>
      <c r="Y174" s="25">
        <f t="shared" si="90"/>
        <v>5.2782361813503682</v>
      </c>
      <c r="Z174" s="25"/>
      <c r="AA174" s="2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25"/>
      <c r="AZ174" s="5"/>
    </row>
    <row r="175" spans="2:70" hidden="1" outlineLevel="1">
      <c r="C175" s="43" t="s">
        <v>367</v>
      </c>
      <c r="D175" s="25">
        <f t="shared" ref="D175:Y175" si="91">IF(D$8="A",IFERROR(D265/D163,"…"),IF(D$8="L",IFERROR(C175/1,"…"),"…"))</f>
        <v>6.5843813387423937</v>
      </c>
      <c r="E175" s="25">
        <f t="shared" si="91"/>
        <v>6.2722041051218111</v>
      </c>
      <c r="F175" s="25">
        <f t="shared" si="91"/>
        <v>6.4053489343919763</v>
      </c>
      <c r="G175" s="25">
        <f t="shared" si="91"/>
        <v>5.8020703933747413</v>
      </c>
      <c r="H175" s="25">
        <f t="shared" si="91"/>
        <v>6.5761081081081079</v>
      </c>
      <c r="I175" s="25">
        <f t="shared" si="91"/>
        <v>6.2968954962833408</v>
      </c>
      <c r="J175" s="25">
        <f t="shared" si="91"/>
        <v>5.3150496723737053</v>
      </c>
      <c r="K175" s="25">
        <f t="shared" si="91"/>
        <v>5.8697376449054302</v>
      </c>
      <c r="L175" s="25">
        <f t="shared" si="91"/>
        <v>5.9725247110068684</v>
      </c>
      <c r="M175" s="25">
        <f t="shared" si="91"/>
        <v>6.115413365226491</v>
      </c>
      <c r="N175" s="36">
        <f t="shared" si="91"/>
        <v>5.8967239312824606</v>
      </c>
      <c r="O175" s="36">
        <f t="shared" si="91"/>
        <v>4.9489109667558271</v>
      </c>
      <c r="P175" s="36">
        <f t="shared" si="91"/>
        <v>5.7201978136387295</v>
      </c>
      <c r="Q175" s="36">
        <f t="shared" si="91"/>
        <v>5.5904617036506803</v>
      </c>
      <c r="R175" s="36">
        <f t="shared" si="91"/>
        <v>5.7248456969838131</v>
      </c>
      <c r="S175" s="36">
        <f t="shared" si="91"/>
        <v>5.5082842041065261</v>
      </c>
      <c r="T175" s="36">
        <f t="shared" si="91"/>
        <v>5.6014878048780492</v>
      </c>
      <c r="U175" s="25">
        <f t="shared" si="91"/>
        <v>5.2782361813503682</v>
      </c>
      <c r="V175" s="25" t="str">
        <f t="shared" si="91"/>
        <v>…</v>
      </c>
      <c r="W175" s="25" t="str">
        <f t="shared" si="91"/>
        <v>…</v>
      </c>
      <c r="X175" s="25" t="str">
        <f t="shared" si="91"/>
        <v>…</v>
      </c>
      <c r="Y175" s="25" t="str">
        <f t="shared" si="91"/>
        <v>…</v>
      </c>
      <c r="Z175" s="25"/>
      <c r="AA175" s="2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25"/>
      <c r="AZ175" s="5"/>
    </row>
    <row r="176" spans="2:70" hidden="1" outlineLevel="1">
      <c r="C176" s="43" t="s">
        <v>368</v>
      </c>
      <c r="D176" s="25">
        <f t="shared" ref="D176:T176" si="92">IF(D$8="A",IFERROR(D265/D166,"…"),IF(D$8="L","…","…"))</f>
        <v>3.925625831418551</v>
      </c>
      <c r="E176" s="25">
        <f t="shared" si="92"/>
        <v>4.5666201117318437</v>
      </c>
      <c r="F176" s="25">
        <f t="shared" si="92"/>
        <v>4.4858062628036288</v>
      </c>
      <c r="G176" s="25">
        <f t="shared" si="92"/>
        <v>3.7520417726603292</v>
      </c>
      <c r="H176" s="25">
        <f t="shared" si="92"/>
        <v>4.4615666715564029</v>
      </c>
      <c r="I176" s="25">
        <f t="shared" si="92"/>
        <v>4.0446566493470018</v>
      </c>
      <c r="J176" s="25">
        <f t="shared" si="92"/>
        <v>3.0702686202686205</v>
      </c>
      <c r="K176" s="25">
        <f t="shared" si="92"/>
        <v>3.5330517811237607</v>
      </c>
      <c r="L176" s="25">
        <f t="shared" si="92"/>
        <v>3.7147025112014171</v>
      </c>
      <c r="M176" s="25">
        <f t="shared" si="92"/>
        <v>3.6982189675436219</v>
      </c>
      <c r="N176" s="36">
        <f t="shared" si="92"/>
        <v>3.464129244249726</v>
      </c>
      <c r="O176" s="36">
        <f t="shared" si="92"/>
        <v>4.1603919049148734</v>
      </c>
      <c r="P176" s="36">
        <f t="shared" si="92"/>
        <v>5.2937492472600267</v>
      </c>
      <c r="Q176" s="36">
        <f t="shared" si="92"/>
        <v>5.2497479274030923</v>
      </c>
      <c r="R176" s="36">
        <f t="shared" si="92"/>
        <v>5.4458014844355818</v>
      </c>
      <c r="S176" s="36">
        <f t="shared" si="92"/>
        <v>5.5085641677255399</v>
      </c>
      <c r="T176" s="36">
        <f t="shared" si="92"/>
        <v>5.6014878048780492</v>
      </c>
      <c r="U176" s="25">
        <f>IF(U$8="A",IFERROR(U265/U166,"…"),IF(U$8="L","…","…"))</f>
        <v>5.5464292373671453</v>
      </c>
      <c r="V176" s="25" t="str">
        <f>IF(V$8="A",IFERROR(V265/V166,"…"),IF(V$8="L","…","…"))</f>
        <v>…</v>
      </c>
      <c r="W176" s="25" t="str">
        <f>IF(W$8="A",IFERROR(W265/W166,"…"),IF(W$8="L","…","…"))</f>
        <v>…</v>
      </c>
      <c r="X176" s="25" t="str">
        <f>IF(X$8="A",IFERROR(X265/X166,"…"),IF(X$8="L","…","…"))</f>
        <v>…</v>
      </c>
      <c r="Y176" s="25" t="str">
        <f>IF(Y$8="A",IFERROR(Y265/Y166,"…"),IF(Y$8="L","…","…"))</f>
        <v>…</v>
      </c>
      <c r="Z176" s="25"/>
      <c r="AA176" s="2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25"/>
      <c r="AZ176" s="5"/>
    </row>
    <row r="177" spans="1:52" hidden="1" outlineLevel="1">
      <c r="C177" s="43" t="s">
        <v>369</v>
      </c>
      <c r="D177" s="25" t="str">
        <f t="shared" ref="D177:Y177" si="93">IF(D8="E",IFERROR(D53,"…"),"…")</f>
        <v>…</v>
      </c>
      <c r="E177" s="25" t="str">
        <f t="shared" si="93"/>
        <v>…</v>
      </c>
      <c r="F177" s="25" t="str">
        <f t="shared" si="93"/>
        <v>…</v>
      </c>
      <c r="G177" s="25" t="str">
        <f t="shared" si="93"/>
        <v>…</v>
      </c>
      <c r="H177" s="25" t="str">
        <f t="shared" si="93"/>
        <v>…</v>
      </c>
      <c r="I177" s="25" t="str">
        <f t="shared" si="93"/>
        <v>…</v>
      </c>
      <c r="J177" s="25" t="str">
        <f t="shared" si="93"/>
        <v>…</v>
      </c>
      <c r="K177" s="25" t="str">
        <f t="shared" si="93"/>
        <v>…</v>
      </c>
      <c r="L177" s="25" t="str">
        <f t="shared" si="93"/>
        <v>…</v>
      </c>
      <c r="M177" s="25" t="str">
        <f t="shared" si="93"/>
        <v>…</v>
      </c>
      <c r="N177" s="36" t="str">
        <f t="shared" si="93"/>
        <v>…</v>
      </c>
      <c r="O177" s="36" t="str">
        <f t="shared" si="93"/>
        <v>…</v>
      </c>
      <c r="P177" s="36" t="str">
        <f t="shared" si="93"/>
        <v>…</v>
      </c>
      <c r="Q177" s="36" t="str">
        <f t="shared" si="93"/>
        <v>…</v>
      </c>
      <c r="R177" s="36" t="str">
        <f t="shared" si="93"/>
        <v>…</v>
      </c>
      <c r="S177" s="36" t="str">
        <f t="shared" si="93"/>
        <v>…</v>
      </c>
      <c r="T177" s="36" t="str">
        <f t="shared" si="93"/>
        <v>…</v>
      </c>
      <c r="U177" s="25" t="str">
        <f t="shared" si="93"/>
        <v>…</v>
      </c>
      <c r="V177" s="25">
        <f t="shared" si="93"/>
        <v>5.2782361813503682</v>
      </c>
      <c r="W177" s="25">
        <f t="shared" si="93"/>
        <v>5.2782361813503682</v>
      </c>
      <c r="X177" s="25">
        <f t="shared" si="93"/>
        <v>5.2782361813503682</v>
      </c>
      <c r="Y177" s="25">
        <f t="shared" si="93"/>
        <v>5.2782361813503682</v>
      </c>
      <c r="Z177" s="25"/>
      <c r="AA177" s="2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25"/>
      <c r="AZ177" s="5"/>
    </row>
    <row r="178" spans="1:52" hidden="1" outlineLevel="1">
      <c r="C178" s="43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25"/>
      <c r="AZ178" s="5"/>
    </row>
    <row r="179" spans="1:52" ht="13.15" collapsed="1">
      <c r="A179" s="5" t="s">
        <v>316</v>
      </c>
      <c r="C179" s="89" t="s">
        <v>142</v>
      </c>
      <c r="D179" s="90">
        <f t="shared" ref="D179:Y179" si="94">D181</f>
        <v>5070</v>
      </c>
      <c r="E179" s="90">
        <f t="shared" si="94"/>
        <v>5860</v>
      </c>
      <c r="F179" s="90">
        <f t="shared" si="94"/>
        <v>7062</v>
      </c>
      <c r="G179" s="90">
        <f t="shared" si="94"/>
        <v>11166</v>
      </c>
      <c r="H179" s="90">
        <f t="shared" si="94"/>
        <v>10114</v>
      </c>
      <c r="I179" s="90">
        <f t="shared" si="94"/>
        <v>6142</v>
      </c>
      <c r="J179" s="90">
        <f t="shared" si="94"/>
        <v>12499</v>
      </c>
      <c r="K179" s="90">
        <f t="shared" si="94"/>
        <v>16687</v>
      </c>
      <c r="L179" s="90">
        <f>L181</f>
        <v>18643</v>
      </c>
      <c r="M179" s="90">
        <f>M181</f>
        <v>19632</v>
      </c>
      <c r="N179" s="90">
        <f t="shared" si="94"/>
        <v>21979</v>
      </c>
      <c r="O179" s="90">
        <f t="shared" si="94"/>
        <v>2502</v>
      </c>
      <c r="P179" s="90">
        <f t="shared" si="94"/>
        <v>12528</v>
      </c>
      <c r="Q179" s="90">
        <f t="shared" si="94"/>
        <v>19084</v>
      </c>
      <c r="R179" s="90">
        <f t="shared" si="94"/>
        <v>19137</v>
      </c>
      <c r="S179" s="90">
        <f t="shared" si="94"/>
        <v>19344</v>
      </c>
      <c r="T179" s="90">
        <f t="shared" si="94"/>
        <v>15459</v>
      </c>
      <c r="U179" s="90">
        <f t="shared" si="94"/>
        <v>23313</v>
      </c>
      <c r="V179" s="90">
        <f t="shared" si="94"/>
        <v>19134.140679321241</v>
      </c>
      <c r="W179" s="90">
        <f t="shared" si="94"/>
        <v>21397.586807959371</v>
      </c>
      <c r="X179" s="90">
        <f t="shared" si="94"/>
        <v>22933.164071253355</v>
      </c>
      <c r="Y179" s="90">
        <f t="shared" si="94"/>
        <v>27456.152940093696</v>
      </c>
      <c r="Z179" s="90"/>
      <c r="AA179" s="90"/>
      <c r="AB179" s="31"/>
      <c r="AC179" s="31"/>
      <c r="AE179" s="30"/>
      <c r="AF179" s="30"/>
      <c r="AJ179" s="31"/>
      <c r="AY179" s="90"/>
      <c r="AZ179" s="27"/>
    </row>
    <row r="180" spans="1:52" hidden="1" outlineLevel="1">
      <c r="C180" s="43"/>
      <c r="D180" s="25"/>
      <c r="E180" s="25"/>
      <c r="F180" s="25"/>
      <c r="G180" s="25"/>
      <c r="H180" s="25"/>
      <c r="I180" s="25"/>
      <c r="J180" s="25"/>
      <c r="K180" s="25"/>
      <c r="L180" s="2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5"/>
      <c r="AZ180" s="5"/>
    </row>
    <row r="181" spans="1:52" hidden="1" outlineLevel="1">
      <c r="C181" s="5" t="s">
        <v>142</v>
      </c>
      <c r="D181" s="47">
        <f t="shared" ref="D181:L181" si="95">IF(D182="…","…",D182)</f>
        <v>5070</v>
      </c>
      <c r="E181" s="47">
        <f t="shared" si="95"/>
        <v>5860</v>
      </c>
      <c r="F181" s="47">
        <f t="shared" si="95"/>
        <v>7062</v>
      </c>
      <c r="G181" s="47">
        <f t="shared" si="95"/>
        <v>11166</v>
      </c>
      <c r="H181" s="47">
        <f t="shared" si="95"/>
        <v>10114</v>
      </c>
      <c r="I181" s="47">
        <f t="shared" si="95"/>
        <v>6142</v>
      </c>
      <c r="J181" s="58">
        <f t="shared" si="95"/>
        <v>12499</v>
      </c>
      <c r="K181" s="58">
        <f t="shared" si="95"/>
        <v>16687</v>
      </c>
      <c r="L181" s="58">
        <f t="shared" si="95"/>
        <v>18643</v>
      </c>
      <c r="M181" s="58">
        <f t="shared" ref="M181:Y181" si="96">IF(ISNUMBER(M182),M182,IF(ISNUMBER(M185),M185,"…"))</f>
        <v>19632</v>
      </c>
      <c r="N181" s="58">
        <f t="shared" si="96"/>
        <v>21979</v>
      </c>
      <c r="O181" s="48">
        <f t="shared" si="96"/>
        <v>2502</v>
      </c>
      <c r="P181" s="48">
        <f t="shared" si="96"/>
        <v>12528</v>
      </c>
      <c r="Q181" s="48">
        <f t="shared" si="96"/>
        <v>19084</v>
      </c>
      <c r="R181" s="48">
        <f t="shared" si="96"/>
        <v>19137</v>
      </c>
      <c r="S181" s="48">
        <f t="shared" si="96"/>
        <v>19344</v>
      </c>
      <c r="T181" s="48">
        <f t="shared" si="96"/>
        <v>15459</v>
      </c>
      <c r="U181" s="48">
        <f t="shared" si="96"/>
        <v>23313</v>
      </c>
      <c r="V181" s="48">
        <f t="shared" si="96"/>
        <v>19134.140679321241</v>
      </c>
      <c r="W181" s="48">
        <f t="shared" si="96"/>
        <v>21397.586807959371</v>
      </c>
      <c r="X181" s="48">
        <f t="shared" si="96"/>
        <v>22933.164071253355</v>
      </c>
      <c r="Y181" s="48">
        <f t="shared" si="96"/>
        <v>27456.152940093696</v>
      </c>
      <c r="Z181" s="48"/>
      <c r="AA181" s="48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48"/>
      <c r="AZ181" s="5"/>
    </row>
    <row r="182" spans="1:52" hidden="1" outlineLevel="1">
      <c r="C182" s="44" t="s">
        <v>298</v>
      </c>
      <c r="D182" s="25">
        <f t="shared" ref="D182:Y185" si="97">IF(ISNUMBER(D183),D183,IF(ISNUMBER(D184),D184,"…"))</f>
        <v>5070</v>
      </c>
      <c r="E182" s="25">
        <f t="shared" si="97"/>
        <v>5860</v>
      </c>
      <c r="F182" s="25">
        <f t="shared" si="97"/>
        <v>7062</v>
      </c>
      <c r="G182" s="25">
        <f t="shared" si="97"/>
        <v>11166</v>
      </c>
      <c r="H182" s="25">
        <f t="shared" si="97"/>
        <v>10114</v>
      </c>
      <c r="I182" s="25">
        <f t="shared" si="97"/>
        <v>6142</v>
      </c>
      <c r="J182" s="25">
        <f t="shared" si="97"/>
        <v>12499</v>
      </c>
      <c r="K182" s="25">
        <f t="shared" si="97"/>
        <v>16687</v>
      </c>
      <c r="L182" s="25">
        <f t="shared" si="97"/>
        <v>18643</v>
      </c>
      <c r="M182" s="25">
        <f t="shared" si="97"/>
        <v>19632</v>
      </c>
      <c r="N182" s="25">
        <f t="shared" si="97"/>
        <v>21979</v>
      </c>
      <c r="O182" s="48">
        <f t="shared" si="97"/>
        <v>2502</v>
      </c>
      <c r="P182" s="48">
        <f t="shared" si="97"/>
        <v>12528</v>
      </c>
      <c r="Q182" s="48">
        <f t="shared" si="97"/>
        <v>19084</v>
      </c>
      <c r="R182" s="48">
        <f t="shared" si="97"/>
        <v>19137</v>
      </c>
      <c r="S182" s="48">
        <f t="shared" si="97"/>
        <v>19344</v>
      </c>
      <c r="T182" s="48">
        <f t="shared" si="97"/>
        <v>15459</v>
      </c>
      <c r="U182" s="48">
        <f t="shared" si="97"/>
        <v>23313</v>
      </c>
      <c r="V182" s="48" t="str">
        <f t="shared" si="97"/>
        <v>…</v>
      </c>
      <c r="W182" s="48" t="str">
        <f t="shared" si="97"/>
        <v>…</v>
      </c>
      <c r="X182" s="48" t="str">
        <f t="shared" si="97"/>
        <v>…</v>
      </c>
      <c r="Y182" s="48" t="str">
        <f t="shared" si="97"/>
        <v>…</v>
      </c>
      <c r="Z182" s="48"/>
      <c r="AA182" s="48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48"/>
      <c r="AZ182" s="5"/>
    </row>
    <row r="183" spans="1:52" hidden="1" outlineLevel="1">
      <c r="C183" s="43" t="s">
        <v>156</v>
      </c>
      <c r="D183" s="25">
        <f t="shared" ref="D183:L183" si="98">IFERROR(D153-D162,"…")</f>
        <v>5070</v>
      </c>
      <c r="E183" s="25">
        <f t="shared" si="98"/>
        <v>5860</v>
      </c>
      <c r="F183" s="25">
        <f t="shared" si="98"/>
        <v>7062</v>
      </c>
      <c r="G183" s="25">
        <f t="shared" si="98"/>
        <v>11166</v>
      </c>
      <c r="H183" s="25">
        <f t="shared" si="98"/>
        <v>10114</v>
      </c>
      <c r="I183" s="25">
        <f t="shared" si="98"/>
        <v>6142</v>
      </c>
      <c r="J183" s="25">
        <f t="shared" si="98"/>
        <v>12499</v>
      </c>
      <c r="K183" s="25">
        <f t="shared" si="98"/>
        <v>16687</v>
      </c>
      <c r="L183" s="25">
        <f t="shared" si="98"/>
        <v>18643</v>
      </c>
      <c r="M183" s="25">
        <f t="shared" ref="M183:Y183" si="99">IFERROR(M153-M163,"…")</f>
        <v>19632</v>
      </c>
      <c r="N183" s="25">
        <f t="shared" si="99"/>
        <v>21979</v>
      </c>
      <c r="O183" s="25">
        <f t="shared" si="99"/>
        <v>2502</v>
      </c>
      <c r="P183" s="25">
        <f t="shared" si="99"/>
        <v>12528</v>
      </c>
      <c r="Q183" s="25">
        <f t="shared" si="99"/>
        <v>19084</v>
      </c>
      <c r="R183" s="25">
        <f t="shared" si="99"/>
        <v>19137</v>
      </c>
      <c r="S183" s="25">
        <f t="shared" si="99"/>
        <v>19344</v>
      </c>
      <c r="T183" s="25">
        <f t="shared" si="99"/>
        <v>15459</v>
      </c>
      <c r="U183" s="25">
        <f t="shared" si="99"/>
        <v>23313</v>
      </c>
      <c r="V183" s="25" t="str">
        <f t="shared" si="99"/>
        <v>…</v>
      </c>
      <c r="W183" s="25" t="str">
        <f t="shared" si="99"/>
        <v>…</v>
      </c>
      <c r="X183" s="25" t="str">
        <f t="shared" si="99"/>
        <v>…</v>
      </c>
      <c r="Y183" s="25" t="str">
        <f t="shared" si="99"/>
        <v>…</v>
      </c>
      <c r="Z183" s="25"/>
      <c r="AA183" s="2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25"/>
      <c r="AZ183" s="5"/>
    </row>
    <row r="184" spans="1:52" hidden="1" outlineLevel="1">
      <c r="C184" s="43" t="s">
        <v>157</v>
      </c>
      <c r="D184" s="25">
        <f t="shared" ref="D184:Y184" si="100">IF(D8="A",IFERROR(D321+D191,"…"),"…")</f>
        <v>1731</v>
      </c>
      <c r="E184" s="25">
        <f t="shared" si="100"/>
        <v>3913</v>
      </c>
      <c r="F184" s="25">
        <f t="shared" si="100"/>
        <v>5014</v>
      </c>
      <c r="G184" s="25">
        <f t="shared" si="100"/>
        <v>8527</v>
      </c>
      <c r="H184" s="25">
        <f t="shared" si="100"/>
        <v>7922</v>
      </c>
      <c r="I184" s="25">
        <f t="shared" si="100"/>
        <v>3595</v>
      </c>
      <c r="J184" s="25">
        <f t="shared" si="100"/>
        <v>9040</v>
      </c>
      <c r="K184" s="25">
        <f t="shared" si="100"/>
        <v>13435</v>
      </c>
      <c r="L184" s="25">
        <f t="shared" si="100"/>
        <v>15015</v>
      </c>
      <c r="M184" s="25">
        <f t="shared" si="100"/>
        <v>15260</v>
      </c>
      <c r="N184" s="25">
        <f t="shared" si="100"/>
        <v>16706</v>
      </c>
      <c r="O184" s="25">
        <f t="shared" si="100"/>
        <v>22</v>
      </c>
      <c r="P184" s="25">
        <f t="shared" si="100"/>
        <v>11290</v>
      </c>
      <c r="Q184" s="25">
        <f t="shared" si="100"/>
        <v>17996</v>
      </c>
      <c r="R184" s="25">
        <f t="shared" si="100"/>
        <v>18257</v>
      </c>
      <c r="S184" s="25">
        <f t="shared" si="100"/>
        <v>19345</v>
      </c>
      <c r="T184" s="25">
        <f t="shared" si="100"/>
        <v>15459</v>
      </c>
      <c r="U184" s="25">
        <f t="shared" si="100"/>
        <v>24403</v>
      </c>
      <c r="V184" s="25" t="str">
        <f t="shared" si="100"/>
        <v>…</v>
      </c>
      <c r="W184" s="25" t="str">
        <f t="shared" si="100"/>
        <v>…</v>
      </c>
      <c r="X184" s="25" t="str">
        <f t="shared" si="100"/>
        <v>…</v>
      </c>
      <c r="Y184" s="25" t="str">
        <f t="shared" si="100"/>
        <v>…</v>
      </c>
      <c r="Z184" s="25"/>
      <c r="AA184" s="2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25"/>
      <c r="AZ184" s="5"/>
    </row>
    <row r="185" spans="1:52" hidden="1" outlineLevel="1">
      <c r="C185" s="44" t="s">
        <v>403</v>
      </c>
      <c r="D185" s="25">
        <f t="shared" si="97"/>
        <v>1731.0002271178741</v>
      </c>
      <c r="E185" s="25">
        <f t="shared" si="97"/>
        <v>3760.4779411764703</v>
      </c>
      <c r="F185" s="25">
        <f t="shared" si="97"/>
        <v>4906.3629343629345</v>
      </c>
      <c r="G185" s="25">
        <f t="shared" si="97"/>
        <v>8398.9603340292269</v>
      </c>
      <c r="H185" s="25">
        <f t="shared" si="97"/>
        <v>7520.9928315412189</v>
      </c>
      <c r="I185" s="25">
        <f t="shared" si="97"/>
        <v>3415.655737704918</v>
      </c>
      <c r="J185" s="25">
        <f t="shared" si="97"/>
        <v>8897.6901408450703</v>
      </c>
      <c r="K185" s="25">
        <f t="shared" si="97"/>
        <v>12684.119533527697</v>
      </c>
      <c r="L185" s="25">
        <f t="shared" si="97"/>
        <v>13717.154228855721</v>
      </c>
      <c r="M185" s="25">
        <f t="shared" si="97"/>
        <v>15074.091787439615</v>
      </c>
      <c r="N185" s="25">
        <f t="shared" si="97"/>
        <v>16451.016913319239</v>
      </c>
      <c r="O185" s="48">
        <f t="shared" si="97"/>
        <v>-253.88982161594959</v>
      </c>
      <c r="P185" s="48">
        <f t="shared" si="97"/>
        <v>10993.145228215768</v>
      </c>
      <c r="Q185" s="48">
        <f t="shared" si="97"/>
        <v>17737.678714859438</v>
      </c>
      <c r="R185" s="48">
        <f t="shared" si="97"/>
        <v>17970.35460992908</v>
      </c>
      <c r="S185" s="48">
        <f t="shared" si="97"/>
        <v>19002.522848034008</v>
      </c>
      <c r="T185" s="48">
        <f t="shared" si="97"/>
        <v>15065.02824858757</v>
      </c>
      <c r="U185" s="48">
        <f t="shared" si="97"/>
        <v>23676.857142857145</v>
      </c>
      <c r="V185" s="48">
        <f t="shared" si="97"/>
        <v>19134.140679321241</v>
      </c>
      <c r="W185" s="48">
        <f t="shared" si="97"/>
        <v>21397.586807959371</v>
      </c>
      <c r="X185" s="48">
        <f t="shared" si="97"/>
        <v>22933.164071253355</v>
      </c>
      <c r="Y185" s="48">
        <f t="shared" si="97"/>
        <v>27456.152940093696</v>
      </c>
      <c r="Z185" s="48"/>
      <c r="AA185" s="48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48"/>
      <c r="AZ185" s="5"/>
    </row>
    <row r="186" spans="1:52" hidden="1" outlineLevel="1">
      <c r="C186" s="43" t="s">
        <v>156</v>
      </c>
      <c r="D186" s="25" t="str">
        <f t="shared" ref="D186:T186" si="101">IFERROR(D158-D171,"…")</f>
        <v>…</v>
      </c>
      <c r="E186" s="25" t="str">
        <f t="shared" si="101"/>
        <v>…</v>
      </c>
      <c r="F186" s="25" t="str">
        <f t="shared" si="101"/>
        <v>…</v>
      </c>
      <c r="G186" s="25" t="str">
        <f t="shared" si="101"/>
        <v>…</v>
      </c>
      <c r="H186" s="25" t="str">
        <f t="shared" si="101"/>
        <v>…</v>
      </c>
      <c r="I186" s="25" t="str">
        <f t="shared" si="101"/>
        <v>…</v>
      </c>
      <c r="J186" s="25" t="str">
        <f t="shared" si="101"/>
        <v>…</v>
      </c>
      <c r="K186" s="25" t="str">
        <f t="shared" si="101"/>
        <v>…</v>
      </c>
      <c r="L186" s="25" t="str">
        <f t="shared" si="101"/>
        <v>…</v>
      </c>
      <c r="M186" s="25" t="str">
        <f t="shared" si="101"/>
        <v>…</v>
      </c>
      <c r="N186" s="25" t="str">
        <f t="shared" si="101"/>
        <v>…</v>
      </c>
      <c r="O186" s="48" t="str">
        <f t="shared" si="101"/>
        <v>…</v>
      </c>
      <c r="P186" s="48" t="str">
        <f t="shared" si="101"/>
        <v>…</v>
      </c>
      <c r="Q186" s="48" t="str">
        <f t="shared" si="101"/>
        <v>…</v>
      </c>
      <c r="R186" s="48" t="str">
        <f t="shared" si="101"/>
        <v>…</v>
      </c>
      <c r="S186" s="48" t="str">
        <f t="shared" si="101"/>
        <v>…</v>
      </c>
      <c r="T186" s="48" t="str">
        <f t="shared" si="101"/>
        <v>…</v>
      </c>
      <c r="U186" s="48" t="str">
        <f>IFERROR(U158-U171,"…")</f>
        <v>…</v>
      </c>
      <c r="V186" s="48">
        <f>IFERROR(V158-V171,"…")</f>
        <v>19134.140679321241</v>
      </c>
      <c r="W186" s="48">
        <f>IFERROR(W158-W171,"…")</f>
        <v>21397.586807959371</v>
      </c>
      <c r="X186" s="48">
        <f>IFERROR(X158-X171,"…")</f>
        <v>22933.164071253355</v>
      </c>
      <c r="Y186" s="48">
        <f>IFERROR(Y158-Y171,"…")</f>
        <v>27456.152940093696</v>
      </c>
      <c r="Z186" s="48"/>
      <c r="AA186" s="48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48"/>
      <c r="AZ186" s="5"/>
    </row>
    <row r="187" spans="1:52" hidden="1" outlineLevel="1">
      <c r="C187" s="43" t="s">
        <v>157</v>
      </c>
      <c r="D187" s="25">
        <f t="shared" ref="D187:Y187" si="102">IFERROR(D222+D196,"…")</f>
        <v>1731.0002271178741</v>
      </c>
      <c r="E187" s="25">
        <f t="shared" si="102"/>
        <v>3760.4779411764703</v>
      </c>
      <c r="F187" s="25">
        <f t="shared" si="102"/>
        <v>4906.3629343629345</v>
      </c>
      <c r="G187" s="25">
        <f t="shared" si="102"/>
        <v>8398.9603340292269</v>
      </c>
      <c r="H187" s="25">
        <f t="shared" si="102"/>
        <v>7520.9928315412189</v>
      </c>
      <c r="I187" s="25">
        <f t="shared" si="102"/>
        <v>3415.655737704918</v>
      </c>
      <c r="J187" s="25">
        <f t="shared" si="102"/>
        <v>8897.6901408450703</v>
      </c>
      <c r="K187" s="25">
        <f t="shared" si="102"/>
        <v>12684.119533527697</v>
      </c>
      <c r="L187" s="25">
        <f t="shared" si="102"/>
        <v>13717.154228855721</v>
      </c>
      <c r="M187" s="25">
        <f t="shared" si="102"/>
        <v>15074.091787439615</v>
      </c>
      <c r="N187" s="25">
        <f t="shared" si="102"/>
        <v>16451.016913319239</v>
      </c>
      <c r="O187" s="48">
        <f t="shared" si="102"/>
        <v>-253.88982161594959</v>
      </c>
      <c r="P187" s="48">
        <f t="shared" si="102"/>
        <v>10993.145228215768</v>
      </c>
      <c r="Q187" s="48">
        <f t="shared" si="102"/>
        <v>17737.678714859438</v>
      </c>
      <c r="R187" s="48">
        <f t="shared" si="102"/>
        <v>17970.35460992908</v>
      </c>
      <c r="S187" s="48">
        <f t="shared" si="102"/>
        <v>19002.522848034008</v>
      </c>
      <c r="T187" s="48">
        <f t="shared" si="102"/>
        <v>15065.02824858757</v>
      </c>
      <c r="U187" s="48">
        <f t="shared" si="102"/>
        <v>23676.857142857145</v>
      </c>
      <c r="V187" s="48">
        <f t="shared" si="102"/>
        <v>27978.047571428571</v>
      </c>
      <c r="W187" s="48">
        <f t="shared" si="102"/>
        <v>27435.579591836737</v>
      </c>
      <c r="X187" s="48">
        <f t="shared" si="102"/>
        <v>28271.190638483964</v>
      </c>
      <c r="Y187" s="48">
        <f t="shared" si="102"/>
        <v>29616.984479800085</v>
      </c>
      <c r="Z187" s="48"/>
      <c r="AA187" s="48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48"/>
      <c r="AZ187" s="5"/>
    </row>
    <row r="188" spans="1:52" ht="13.15" hidden="1" outlineLevel="1">
      <c r="C188" s="43"/>
      <c r="D188" s="25"/>
      <c r="E188" s="25"/>
      <c r="F188" s="25"/>
      <c r="G188" s="25"/>
      <c r="H188" s="25"/>
      <c r="I188" s="25"/>
      <c r="J188" s="25"/>
      <c r="K188" s="25"/>
      <c r="L188" s="25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E188" s="9" t="s">
        <v>1585</v>
      </c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48"/>
      <c r="AZ188" s="5"/>
    </row>
    <row r="189" spans="1:52" ht="13.15" collapsed="1">
      <c r="C189" s="91" t="s">
        <v>147</v>
      </c>
      <c r="D189" s="90">
        <f t="shared" ref="D189:Y189" si="103">IFERROR(-D190,"…")</f>
        <v>-33</v>
      </c>
      <c r="E189" s="90">
        <f t="shared" si="103"/>
        <v>-1488</v>
      </c>
      <c r="F189" s="90">
        <f t="shared" si="103"/>
        <v>-1542</v>
      </c>
      <c r="G189" s="90">
        <f t="shared" si="103"/>
        <v>-1589</v>
      </c>
      <c r="H189" s="90">
        <f t="shared" si="103"/>
        <v>-1589</v>
      </c>
      <c r="I189" s="90">
        <f t="shared" si="103"/>
        <v>-1740</v>
      </c>
      <c r="J189" s="90">
        <f t="shared" si="103"/>
        <v>-1899</v>
      </c>
      <c r="K189" s="90">
        <f t="shared" si="103"/>
        <v>-2164</v>
      </c>
      <c r="L189" s="90">
        <f t="shared" si="103"/>
        <v>-3517</v>
      </c>
      <c r="M189" s="90">
        <f t="shared" si="103"/>
        <v>-3589</v>
      </c>
      <c r="N189" s="90">
        <f t="shared" si="103"/>
        <v>-4009</v>
      </c>
      <c r="O189" s="90">
        <f t="shared" si="103"/>
        <v>-4091</v>
      </c>
      <c r="P189" s="90">
        <f t="shared" si="103"/>
        <v>-4187</v>
      </c>
      <c r="Q189" s="90">
        <f t="shared" si="103"/>
        <v>-4178</v>
      </c>
      <c r="R189" s="90">
        <f t="shared" si="103"/>
        <v>-4337</v>
      </c>
      <c r="S189" s="90">
        <f t="shared" si="103"/>
        <v>-4731</v>
      </c>
      <c r="T189" s="90">
        <f t="shared" si="103"/>
        <v>-5249</v>
      </c>
      <c r="U189" s="90">
        <f t="shared" si="103"/>
        <v>-5829</v>
      </c>
      <c r="V189" s="90">
        <f t="shared" si="103"/>
        <v>-5887.4285714285716</v>
      </c>
      <c r="W189" s="90">
        <f t="shared" si="103"/>
        <v>-5214.5795918367348</v>
      </c>
      <c r="X189" s="90">
        <f t="shared" si="103"/>
        <v>-4618.6276384839648</v>
      </c>
      <c r="Y189" s="90">
        <f t="shared" si="103"/>
        <v>-4090.7844798000829</v>
      </c>
      <c r="Z189" s="90"/>
      <c r="AA189" s="90"/>
      <c r="AB189" s="86" t="s">
        <v>1711</v>
      </c>
      <c r="AC189" s="86" t="s">
        <v>1711</v>
      </c>
      <c r="AE189" s="9" t="s">
        <v>1588</v>
      </c>
      <c r="AF189" s="30"/>
      <c r="AJ189" s="31"/>
      <c r="AY189" s="90"/>
      <c r="AZ189" s="27"/>
    </row>
    <row r="190" spans="1:52" s="33" customFormat="1" ht="13.15" hidden="1" outlineLevel="1">
      <c r="A190" s="5"/>
      <c r="B190" s="5"/>
      <c r="C190" s="5" t="s">
        <v>147</v>
      </c>
      <c r="D190" s="25">
        <f t="shared" ref="D190:Y190" si="104">IF(AND(ISNUMBER(D191),$AE$190=1),D191,IF(AND(ISNUMBER(D192),$AE$191=1),D192,IF(ISNUMBER(D196),D196,"…")))</f>
        <v>33</v>
      </c>
      <c r="E190" s="25">
        <f t="shared" si="104"/>
        <v>1488</v>
      </c>
      <c r="F190" s="25">
        <f t="shared" si="104"/>
        <v>1542</v>
      </c>
      <c r="G190" s="25">
        <f t="shared" si="104"/>
        <v>1589</v>
      </c>
      <c r="H190" s="25">
        <f t="shared" si="104"/>
        <v>1589</v>
      </c>
      <c r="I190" s="25">
        <f t="shared" si="104"/>
        <v>1740</v>
      </c>
      <c r="J190" s="25">
        <f t="shared" si="104"/>
        <v>1899</v>
      </c>
      <c r="K190" s="25">
        <f t="shared" si="104"/>
        <v>2164</v>
      </c>
      <c r="L190" s="25">
        <f t="shared" si="104"/>
        <v>3517</v>
      </c>
      <c r="M190" s="25">
        <f t="shared" si="104"/>
        <v>3589</v>
      </c>
      <c r="N190" s="25">
        <f t="shared" si="104"/>
        <v>4009</v>
      </c>
      <c r="O190" s="25">
        <f t="shared" si="104"/>
        <v>4091</v>
      </c>
      <c r="P190" s="25">
        <f t="shared" si="104"/>
        <v>4187</v>
      </c>
      <c r="Q190" s="25">
        <f t="shared" si="104"/>
        <v>4178</v>
      </c>
      <c r="R190" s="25">
        <f t="shared" si="104"/>
        <v>4337</v>
      </c>
      <c r="S190" s="25">
        <f t="shared" si="104"/>
        <v>4731</v>
      </c>
      <c r="T190" s="25">
        <f t="shared" si="104"/>
        <v>5249</v>
      </c>
      <c r="U190" s="25">
        <f t="shared" si="104"/>
        <v>5829</v>
      </c>
      <c r="V190" s="25">
        <f t="shared" si="104"/>
        <v>5887.4285714285716</v>
      </c>
      <c r="W190" s="25">
        <f t="shared" si="104"/>
        <v>5214.5795918367348</v>
      </c>
      <c r="X190" s="25">
        <f t="shared" si="104"/>
        <v>4618.6276384839648</v>
      </c>
      <c r="Y190" s="25">
        <f t="shared" si="104"/>
        <v>4090.7844798000829</v>
      </c>
      <c r="Z190" s="25"/>
      <c r="AA190" s="25"/>
      <c r="AE190" s="81">
        <v>1</v>
      </c>
      <c r="AG190" s="5"/>
      <c r="AY190" s="25"/>
    </row>
    <row r="191" spans="1:52" s="33" customFormat="1" ht="13.15" hidden="1" outlineLevel="1">
      <c r="A191" s="5"/>
      <c r="B191" s="5"/>
      <c r="C191" s="44" t="s">
        <v>295</v>
      </c>
      <c r="D191" s="25">
        <f t="shared" ref="D191:Y191" si="105">IF(D$8="A",IF(D211="…","calc.",D211),IF(D$8="L","…","…"))</f>
        <v>33</v>
      </c>
      <c r="E191" s="25">
        <f t="shared" si="105"/>
        <v>1488</v>
      </c>
      <c r="F191" s="25">
        <f t="shared" si="105"/>
        <v>1542</v>
      </c>
      <c r="G191" s="25">
        <f t="shared" si="105"/>
        <v>1589</v>
      </c>
      <c r="H191" s="25">
        <f t="shared" si="105"/>
        <v>1589</v>
      </c>
      <c r="I191" s="25">
        <f t="shared" si="105"/>
        <v>1740</v>
      </c>
      <c r="J191" s="25">
        <f t="shared" si="105"/>
        <v>1899</v>
      </c>
      <c r="K191" s="25">
        <f t="shared" si="105"/>
        <v>2164</v>
      </c>
      <c r="L191" s="25">
        <f t="shared" si="105"/>
        <v>3517</v>
      </c>
      <c r="M191" s="25">
        <f t="shared" si="105"/>
        <v>3589</v>
      </c>
      <c r="N191" s="25">
        <f t="shared" si="105"/>
        <v>4009</v>
      </c>
      <c r="O191" s="25">
        <f t="shared" si="105"/>
        <v>4091</v>
      </c>
      <c r="P191" s="25">
        <f t="shared" si="105"/>
        <v>4187</v>
      </c>
      <c r="Q191" s="25">
        <f t="shared" si="105"/>
        <v>4178</v>
      </c>
      <c r="R191" s="25">
        <f t="shared" si="105"/>
        <v>4337</v>
      </c>
      <c r="S191" s="25">
        <f t="shared" si="105"/>
        <v>4731</v>
      </c>
      <c r="T191" s="25">
        <f t="shared" si="105"/>
        <v>5249</v>
      </c>
      <c r="U191" s="25">
        <f t="shared" si="105"/>
        <v>5829</v>
      </c>
      <c r="V191" s="25" t="str">
        <f t="shared" si="105"/>
        <v>…</v>
      </c>
      <c r="W191" s="25" t="str">
        <f t="shared" si="105"/>
        <v>…</v>
      </c>
      <c r="X191" s="25" t="str">
        <f t="shared" si="105"/>
        <v>…</v>
      </c>
      <c r="Y191" s="25" t="str">
        <f t="shared" si="105"/>
        <v>…</v>
      </c>
      <c r="Z191" s="25"/>
      <c r="AA191" s="25"/>
      <c r="AE191" s="83">
        <v>0</v>
      </c>
      <c r="AG191" s="5"/>
      <c r="AY191" s="25"/>
    </row>
    <row r="192" spans="1:52" s="33" customFormat="1" hidden="1" outlineLevel="1">
      <c r="A192" s="5"/>
      <c r="C192" s="44" t="s">
        <v>296</v>
      </c>
      <c r="D192" s="25">
        <f t="shared" ref="D192:Y192" si="106">IF(AND(ISNUMBER(D193),$AE$193=1),D193,IF(AND(ISNUMBER(D194),$AE$194=1),D194,IF(AND(ISNUMBER(D195),$AE$195=1),D195,"…")))</f>
        <v>3372</v>
      </c>
      <c r="E192" s="25">
        <f t="shared" si="106"/>
        <v>3435</v>
      </c>
      <c r="F192" s="25">
        <f t="shared" si="106"/>
        <v>3590</v>
      </c>
      <c r="G192" s="25">
        <f t="shared" si="106"/>
        <v>4228</v>
      </c>
      <c r="H192" s="25">
        <f t="shared" si="106"/>
        <v>3781</v>
      </c>
      <c r="I192" s="25">
        <f t="shared" si="106"/>
        <v>4287</v>
      </c>
      <c r="J192" s="25">
        <f t="shared" si="106"/>
        <v>5358</v>
      </c>
      <c r="K192" s="25">
        <f t="shared" si="106"/>
        <v>5416</v>
      </c>
      <c r="L192" s="25">
        <f t="shared" si="106"/>
        <v>7145</v>
      </c>
      <c r="M192" s="25">
        <f t="shared" si="106"/>
        <v>7961</v>
      </c>
      <c r="N192" s="25">
        <f t="shared" si="106"/>
        <v>9282</v>
      </c>
      <c r="O192" s="25">
        <f t="shared" si="106"/>
        <v>6571</v>
      </c>
      <c r="P192" s="25">
        <f t="shared" si="106"/>
        <v>5425</v>
      </c>
      <c r="Q192" s="25">
        <f t="shared" si="106"/>
        <v>5266</v>
      </c>
      <c r="R192" s="25">
        <f t="shared" si="106"/>
        <v>5217</v>
      </c>
      <c r="S192" s="25">
        <f t="shared" si="106"/>
        <v>4730</v>
      </c>
      <c r="T192" s="25">
        <f t="shared" si="106"/>
        <v>5249</v>
      </c>
      <c r="U192" s="25">
        <f t="shared" si="106"/>
        <v>4739</v>
      </c>
      <c r="V192" s="25" t="str">
        <f t="shared" si="106"/>
        <v>…</v>
      </c>
      <c r="W192" s="25" t="str">
        <f t="shared" si="106"/>
        <v>…</v>
      </c>
      <c r="X192" s="25" t="str">
        <f t="shared" si="106"/>
        <v>…</v>
      </c>
      <c r="Y192" s="25" t="str">
        <f t="shared" si="106"/>
        <v>…</v>
      </c>
      <c r="Z192" s="25"/>
      <c r="AA192" s="25"/>
      <c r="AG192" s="5"/>
      <c r="AY192" s="25"/>
    </row>
    <row r="193" spans="1:51" s="33" customFormat="1" ht="13.15" hidden="1" outlineLevel="1">
      <c r="A193" s="5"/>
      <c r="C193" s="43" t="s">
        <v>1583</v>
      </c>
      <c r="D193" s="25">
        <f t="shared" ref="D193:T193" si="107">IFERROR(ROUND((D153-D163)-D321,2),"…")</f>
        <v>3372</v>
      </c>
      <c r="E193" s="25">
        <f t="shared" si="107"/>
        <v>3435</v>
      </c>
      <c r="F193" s="25">
        <f t="shared" si="107"/>
        <v>3590</v>
      </c>
      <c r="G193" s="25">
        <f t="shared" si="107"/>
        <v>4228</v>
      </c>
      <c r="H193" s="25">
        <f t="shared" si="107"/>
        <v>3781</v>
      </c>
      <c r="I193" s="25">
        <f t="shared" si="107"/>
        <v>4287</v>
      </c>
      <c r="J193" s="25">
        <f t="shared" si="107"/>
        <v>5358</v>
      </c>
      <c r="K193" s="25">
        <f t="shared" si="107"/>
        <v>5416</v>
      </c>
      <c r="L193" s="25">
        <f t="shared" si="107"/>
        <v>7145</v>
      </c>
      <c r="M193" s="25">
        <f t="shared" si="107"/>
        <v>7961</v>
      </c>
      <c r="N193" s="25">
        <f t="shared" si="107"/>
        <v>9282</v>
      </c>
      <c r="O193" s="25">
        <f t="shared" si="107"/>
        <v>6571</v>
      </c>
      <c r="P193" s="25">
        <f t="shared" si="107"/>
        <v>5425</v>
      </c>
      <c r="Q193" s="25">
        <f t="shared" si="107"/>
        <v>5266</v>
      </c>
      <c r="R193" s="25">
        <f t="shared" si="107"/>
        <v>5217</v>
      </c>
      <c r="S193" s="25">
        <f t="shared" si="107"/>
        <v>4730</v>
      </c>
      <c r="T193" s="25">
        <f t="shared" si="107"/>
        <v>5249</v>
      </c>
      <c r="U193" s="25">
        <f>IFERROR(ROUND((U153-U163)-U321,2),"…")</f>
        <v>4739</v>
      </c>
      <c r="V193" s="25" t="str">
        <f>IFERROR(ROUND((V153-V163)-V321,2),"…")</f>
        <v>…</v>
      </c>
      <c r="W193" s="25" t="str">
        <f>IFERROR(ROUND((W153-W163)-W321,2),"…")</f>
        <v>…</v>
      </c>
      <c r="X193" s="25" t="str">
        <f>IFERROR(ROUND((X153-X163)-X321,2),"…")</f>
        <v>…</v>
      </c>
      <c r="Y193" s="25" t="str">
        <f>IFERROR(ROUND((Y153-Y163)-Y321,2),"…")</f>
        <v>…</v>
      </c>
      <c r="Z193" s="25"/>
      <c r="AA193" s="25"/>
      <c r="AD193" s="84" t="s">
        <v>1589</v>
      </c>
      <c r="AE193" s="81">
        <v>1</v>
      </c>
      <c r="AG193" s="5"/>
      <c r="AY193" s="25"/>
    </row>
    <row r="194" spans="1:51" s="33" customFormat="1" ht="13.15" hidden="1" outlineLevel="1">
      <c r="A194" s="5"/>
      <c r="C194" s="43" t="s">
        <v>1582</v>
      </c>
      <c r="D194" s="25">
        <f t="shared" ref="D194:Y194" si="108">IFERROR(ROUND(D339-D332,2),"…")</f>
        <v>3372</v>
      </c>
      <c r="E194" s="25">
        <f t="shared" si="108"/>
        <v>3435</v>
      </c>
      <c r="F194" s="25">
        <f t="shared" si="108"/>
        <v>3590</v>
      </c>
      <c r="G194" s="25">
        <f t="shared" si="108"/>
        <v>4228</v>
      </c>
      <c r="H194" s="25">
        <f t="shared" si="108"/>
        <v>3781</v>
      </c>
      <c r="I194" s="25">
        <f t="shared" si="108"/>
        <v>4287</v>
      </c>
      <c r="J194" s="25">
        <f t="shared" si="108"/>
        <v>5358</v>
      </c>
      <c r="K194" s="25">
        <f t="shared" si="108"/>
        <v>5416</v>
      </c>
      <c r="L194" s="25">
        <f t="shared" si="108"/>
        <v>7145</v>
      </c>
      <c r="M194" s="25">
        <f t="shared" si="108"/>
        <v>7961</v>
      </c>
      <c r="N194" s="25">
        <f>IFERROR(ROUND(N339-N332,2),"…")</f>
        <v>9282</v>
      </c>
      <c r="O194" s="25">
        <f>IFERROR(ROUND(O339-O332,2),"…")</f>
        <v>6571</v>
      </c>
      <c r="P194" s="25">
        <f t="shared" si="108"/>
        <v>5425</v>
      </c>
      <c r="Q194" s="25">
        <f t="shared" si="108"/>
        <v>5266</v>
      </c>
      <c r="R194" s="25">
        <f t="shared" si="108"/>
        <v>5217</v>
      </c>
      <c r="S194" s="25">
        <f t="shared" si="108"/>
        <v>4730</v>
      </c>
      <c r="T194" s="25">
        <f t="shared" si="108"/>
        <v>5249</v>
      </c>
      <c r="U194" s="25">
        <f t="shared" si="108"/>
        <v>4739</v>
      </c>
      <c r="V194" s="25" t="str">
        <f t="shared" si="108"/>
        <v>…</v>
      </c>
      <c r="W194" s="25" t="str">
        <f t="shared" si="108"/>
        <v>…</v>
      </c>
      <c r="X194" s="25" t="str">
        <f t="shared" si="108"/>
        <v>…</v>
      </c>
      <c r="Y194" s="25" t="str">
        <f t="shared" si="108"/>
        <v>…</v>
      </c>
      <c r="Z194" s="25"/>
      <c r="AA194" s="25"/>
      <c r="AD194" s="84" t="s">
        <v>1590</v>
      </c>
      <c r="AE194" s="82">
        <v>0</v>
      </c>
      <c r="AG194" s="5"/>
      <c r="AY194" s="25"/>
    </row>
    <row r="195" spans="1:51" s="33" customFormat="1" ht="13.15" hidden="1" outlineLevel="1">
      <c r="A195" s="5"/>
      <c r="C195" s="43" t="s">
        <v>366</v>
      </c>
      <c r="D195" s="25" t="str">
        <f t="shared" ref="D195:Y195" si="109">IFERROR(IF(D267=0,0,"…"),"…")</f>
        <v>…</v>
      </c>
      <c r="E195" s="25" t="str">
        <f t="shared" si="109"/>
        <v>…</v>
      </c>
      <c r="F195" s="25" t="str">
        <f t="shared" si="109"/>
        <v>…</v>
      </c>
      <c r="G195" s="25" t="str">
        <f t="shared" si="109"/>
        <v>…</v>
      </c>
      <c r="H195" s="25" t="str">
        <f t="shared" si="109"/>
        <v>…</v>
      </c>
      <c r="I195" s="25" t="str">
        <f t="shared" si="109"/>
        <v>…</v>
      </c>
      <c r="J195" s="25" t="str">
        <f t="shared" si="109"/>
        <v>…</v>
      </c>
      <c r="K195" s="25" t="str">
        <f t="shared" si="109"/>
        <v>…</v>
      </c>
      <c r="L195" s="25" t="str">
        <f>IFERROR(IF(L267=0,0,"…"),"…")</f>
        <v>…</v>
      </c>
      <c r="M195" s="25" t="str">
        <f>IFERROR(IF(M267=0,0,"…"),"…")</f>
        <v>…</v>
      </c>
      <c r="N195" s="25" t="str">
        <f>IFERROR(IF(N267=0,0,"…"),"…")</f>
        <v>…</v>
      </c>
      <c r="O195" s="25" t="str">
        <f>IFERROR(IF(O267=0,0,"…"),"…")</f>
        <v>…</v>
      </c>
      <c r="P195" s="25" t="str">
        <f t="shared" si="109"/>
        <v>…</v>
      </c>
      <c r="Q195" s="25" t="str">
        <f t="shared" si="109"/>
        <v>…</v>
      </c>
      <c r="R195" s="25" t="str">
        <f t="shared" si="109"/>
        <v>…</v>
      </c>
      <c r="S195" s="25" t="str">
        <f t="shared" si="109"/>
        <v>…</v>
      </c>
      <c r="T195" s="25" t="str">
        <f t="shared" si="109"/>
        <v>…</v>
      </c>
      <c r="U195" s="25" t="str">
        <f t="shared" si="109"/>
        <v>…</v>
      </c>
      <c r="V195" s="25" t="str">
        <f t="shared" si="109"/>
        <v>…</v>
      </c>
      <c r="W195" s="25" t="str">
        <f t="shared" si="109"/>
        <v>…</v>
      </c>
      <c r="X195" s="25" t="str">
        <f t="shared" si="109"/>
        <v>…</v>
      </c>
      <c r="Y195" s="25" t="str">
        <f t="shared" si="109"/>
        <v>…</v>
      </c>
      <c r="Z195" s="25"/>
      <c r="AA195" s="25"/>
      <c r="AD195" s="84" t="s">
        <v>1591</v>
      </c>
      <c r="AE195" s="83">
        <v>0</v>
      </c>
      <c r="AG195" s="5"/>
      <c r="AY195" s="25"/>
    </row>
    <row r="196" spans="1:51" s="33" customFormat="1" ht="11.25" hidden="1" customHeight="1" outlineLevel="1">
      <c r="A196" s="5"/>
      <c r="C196" s="44" t="s">
        <v>370</v>
      </c>
      <c r="D196" s="25">
        <f t="shared" ref="D196:Y196" si="110">IF(ISNUMBER(D197),D197,IF(ISNUMBER(D198),D198,"…"))</f>
        <v>33.000227117874175</v>
      </c>
      <c r="E196" s="25">
        <f t="shared" si="110"/>
        <v>1335.4779411764705</v>
      </c>
      <c r="F196" s="25">
        <f t="shared" si="110"/>
        <v>1434.3629343629345</v>
      </c>
      <c r="G196" s="25">
        <f t="shared" si="110"/>
        <v>1460.9603340292276</v>
      </c>
      <c r="H196" s="25">
        <f t="shared" si="110"/>
        <v>1187.9928315412187</v>
      </c>
      <c r="I196" s="25">
        <f t="shared" si="110"/>
        <v>1560.655737704918</v>
      </c>
      <c r="J196" s="25">
        <f t="shared" si="110"/>
        <v>1756.6901408450706</v>
      </c>
      <c r="K196" s="25">
        <f t="shared" si="110"/>
        <v>1413.1195335276968</v>
      </c>
      <c r="L196" s="25">
        <f t="shared" si="110"/>
        <v>2219.1542288557216</v>
      </c>
      <c r="M196" s="48">
        <f t="shared" si="110"/>
        <v>3403.0917874396137</v>
      </c>
      <c r="N196" s="48">
        <f t="shared" si="110"/>
        <v>3754.0169133192385</v>
      </c>
      <c r="O196" s="48">
        <f t="shared" si="110"/>
        <v>3815.1101783840504</v>
      </c>
      <c r="P196" s="48">
        <f t="shared" si="110"/>
        <v>3890.1452282157675</v>
      </c>
      <c r="Q196" s="48">
        <f t="shared" si="110"/>
        <v>3919.6787148594376</v>
      </c>
      <c r="R196" s="48">
        <f t="shared" si="110"/>
        <v>4050.3546099290784</v>
      </c>
      <c r="S196" s="48">
        <f t="shared" si="110"/>
        <v>4388.5228480340065</v>
      </c>
      <c r="T196" s="48">
        <f t="shared" si="110"/>
        <v>4855.0282485875705</v>
      </c>
      <c r="U196" s="48">
        <f t="shared" si="110"/>
        <v>5102.8571428571431</v>
      </c>
      <c r="V196" s="48">
        <f t="shared" si="110"/>
        <v>5887.4285714285716</v>
      </c>
      <c r="W196" s="48">
        <f t="shared" si="110"/>
        <v>5214.5795918367348</v>
      </c>
      <c r="X196" s="48">
        <f t="shared" si="110"/>
        <v>4618.6276384839648</v>
      </c>
      <c r="Y196" s="48">
        <f t="shared" si="110"/>
        <v>4090.7844798000829</v>
      </c>
      <c r="Z196" s="48"/>
      <c r="AA196" s="48"/>
      <c r="AG196" s="5"/>
      <c r="AY196" s="48"/>
    </row>
    <row r="197" spans="1:51" s="33" customFormat="1" hidden="1" outlineLevel="1">
      <c r="A197" s="5"/>
      <c r="C197" s="43" t="s">
        <v>156</v>
      </c>
      <c r="D197" s="48" t="str">
        <f t="shared" ref="D197:Y197" si="111">IF(D$8="A",IFERROR(IFERROR(C248/(D200+1/2),"…"),"…"),IF(D$8="L","…",IF(D$8="E",IFERROR(C248/(D200+1/2),"…"),"…")))</f>
        <v>…</v>
      </c>
      <c r="E197" s="48">
        <f t="shared" si="111"/>
        <v>1335.4779411764705</v>
      </c>
      <c r="F197" s="48">
        <f t="shared" si="111"/>
        <v>1434.3629343629345</v>
      </c>
      <c r="G197" s="48">
        <f t="shared" si="111"/>
        <v>1460.9603340292276</v>
      </c>
      <c r="H197" s="48">
        <f t="shared" si="111"/>
        <v>1187.9928315412187</v>
      </c>
      <c r="I197" s="48">
        <f t="shared" si="111"/>
        <v>1560.655737704918</v>
      </c>
      <c r="J197" s="48">
        <f t="shared" si="111"/>
        <v>1756.6901408450706</v>
      </c>
      <c r="K197" s="48">
        <f t="shared" si="111"/>
        <v>1413.1195335276968</v>
      </c>
      <c r="L197" s="48">
        <f t="shared" si="111"/>
        <v>2219.1542288557216</v>
      </c>
      <c r="M197" s="48">
        <f t="shared" si="111"/>
        <v>3403.0917874396137</v>
      </c>
      <c r="N197" s="48">
        <f t="shared" si="111"/>
        <v>3754.0169133192385</v>
      </c>
      <c r="O197" s="48">
        <f t="shared" si="111"/>
        <v>3815.1101783840504</v>
      </c>
      <c r="P197" s="48">
        <f t="shared" si="111"/>
        <v>3890.1452282157675</v>
      </c>
      <c r="Q197" s="48">
        <f>IF(Q$8="A",IFERROR(IFERROR(P248/(Q200+1/2),"…"),"…"),IF(Q$8="L","…",IF(Q$8="E",IFERROR(P248/(Q200+1/2),"…"),"…")))</f>
        <v>3919.6787148594376</v>
      </c>
      <c r="R197" s="48">
        <f t="shared" si="111"/>
        <v>4050.3546099290784</v>
      </c>
      <c r="S197" s="48">
        <f t="shared" si="111"/>
        <v>4388.5228480340065</v>
      </c>
      <c r="T197" s="48">
        <f t="shared" si="111"/>
        <v>4855.0282485875705</v>
      </c>
      <c r="U197" s="48">
        <f t="shared" si="111"/>
        <v>5102.8571428571431</v>
      </c>
      <c r="V197" s="48">
        <f t="shared" si="111"/>
        <v>5887.4285714285716</v>
      </c>
      <c r="W197" s="48">
        <f t="shared" si="111"/>
        <v>5214.5795918367348</v>
      </c>
      <c r="X197" s="48">
        <f t="shared" si="111"/>
        <v>4618.6276384839648</v>
      </c>
      <c r="Y197" s="48">
        <f t="shared" si="111"/>
        <v>4090.7844798000829</v>
      </c>
      <c r="Z197" s="48"/>
      <c r="AA197" s="48"/>
      <c r="AG197" s="5"/>
      <c r="AY197" s="48"/>
    </row>
    <row r="198" spans="1:51" s="33" customFormat="1" hidden="1" outlineLevel="1">
      <c r="A198" s="5"/>
      <c r="C198" s="43" t="s">
        <v>157</v>
      </c>
      <c r="D198" s="48">
        <f t="shared" ref="D198:J198" si="112">IF(D$8="A",IFERROR(IFERROR(D267/(D200),"…"),"…"),IF(D$8="L","…",IF(D$8="E",IFERROR(D267/(D200),"…"),"…")))</f>
        <v>33.000227117874175</v>
      </c>
      <c r="E198" s="48">
        <f t="shared" si="112"/>
        <v>1487.3481781376518</v>
      </c>
      <c r="F198" s="48">
        <f t="shared" si="112"/>
        <v>1541.4529914529915</v>
      </c>
      <c r="G198" s="48">
        <f t="shared" si="112"/>
        <v>1588.2284382284381</v>
      </c>
      <c r="H198" s="48">
        <f t="shared" si="112"/>
        <v>1589.4685039370079</v>
      </c>
      <c r="I198" s="48">
        <f t="shared" si="112"/>
        <v>1740.8928571428573</v>
      </c>
      <c r="J198" s="48">
        <f t="shared" si="112"/>
        <v>1898.8416988416989</v>
      </c>
      <c r="K198" s="48">
        <f t="shared" ref="K198:Y198" si="113">IF(K$8="A",IFERROR(IFERROR(K267/(K200+1/2),"…"),"…"),IF(K$8="L","…",IF(K$8="E",IFERROR(K267/(K200),"…"),"…")))</f>
        <v>2006.9970845481048</v>
      </c>
      <c r="L198" s="48">
        <f t="shared" si="113"/>
        <v>3300.0000000000005</v>
      </c>
      <c r="M198" s="48">
        <f t="shared" si="113"/>
        <v>3417.1497584541062</v>
      </c>
      <c r="N198" s="48">
        <f t="shared" si="113"/>
        <v>3798.6786469344606</v>
      </c>
      <c r="O198" s="48">
        <f t="shared" si="113"/>
        <v>3875.0786988457503</v>
      </c>
      <c r="P198" s="48">
        <f t="shared" si="113"/>
        <v>3969.9688796680493</v>
      </c>
      <c r="Q198" s="48">
        <f t="shared" si="113"/>
        <v>3966.7168674698792</v>
      </c>
      <c r="R198" s="48">
        <f t="shared" si="113"/>
        <v>4117.1732522796356</v>
      </c>
      <c r="S198" s="48">
        <f t="shared" si="113"/>
        <v>4477.3113708820401</v>
      </c>
      <c r="T198" s="48">
        <f t="shared" si="113"/>
        <v>4950.1129943502829</v>
      </c>
      <c r="U198" s="48">
        <f t="shared" si="113"/>
        <v>5495.1428571428569</v>
      </c>
      <c r="V198" s="48" t="str">
        <f t="shared" si="113"/>
        <v>…</v>
      </c>
      <c r="W198" s="48" t="str">
        <f t="shared" si="113"/>
        <v>…</v>
      </c>
      <c r="X198" s="48" t="str">
        <f t="shared" si="113"/>
        <v>…</v>
      </c>
      <c r="Y198" s="48" t="str">
        <f t="shared" si="113"/>
        <v>…</v>
      </c>
      <c r="Z198" s="48"/>
      <c r="AA198" s="48"/>
      <c r="AG198" s="5"/>
      <c r="AY198" s="48"/>
    </row>
    <row r="199" spans="1:51" s="33" customFormat="1" hidden="1" outlineLevel="1">
      <c r="A199" s="5"/>
      <c r="C199" s="44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  <c r="AA199" s="48"/>
      <c r="AG199" s="5"/>
      <c r="AY199" s="48"/>
    </row>
    <row r="200" spans="1:51" s="33" customFormat="1" hidden="1" outlineLevel="1">
      <c r="A200" s="5"/>
      <c r="C200" s="29" t="s">
        <v>312</v>
      </c>
      <c r="D200" s="25">
        <f t="shared" ref="D200:I200" si="114">IF(ISNUMBER(D201),D201,IF(ISNUMBER(D202),D202,"…"))</f>
        <v>220.15</v>
      </c>
      <c r="E200" s="25">
        <f t="shared" si="114"/>
        <v>4.9400000000000004</v>
      </c>
      <c r="F200" s="25">
        <f>IF(ISNUMBER(F201),F201,IF(ISNUMBER(F202),F202,"…"))</f>
        <v>4.68</v>
      </c>
      <c r="G200" s="25">
        <f t="shared" si="114"/>
        <v>4.29</v>
      </c>
      <c r="H200" s="25">
        <f t="shared" si="114"/>
        <v>5.08</v>
      </c>
      <c r="I200" s="25">
        <f t="shared" si="114"/>
        <v>5.6</v>
      </c>
      <c r="J200" s="25">
        <f t="shared" ref="J200:Y200" si="115">IF(ISNUMBER(J201),J201,IF(ISNUMBER(J202),J202,IF(ISNUMBER(J206),J206,"…")))</f>
        <v>5.18</v>
      </c>
      <c r="K200" s="25">
        <f t="shared" si="115"/>
        <v>6.36</v>
      </c>
      <c r="L200" s="25">
        <f>IF(ISNUMBER(L201),L201,IF(ISNUMBER(L202),L202,IF(ISNUMBER(L206),L206,"…")))</f>
        <v>7.54</v>
      </c>
      <c r="M200" s="25">
        <f>IF(ISNUMBER(M201),M201,IF(ISNUMBER(M202),M202,IF(ISNUMBER(M206),M206,"…")))</f>
        <v>9.85</v>
      </c>
      <c r="N200" s="25">
        <f t="shared" si="115"/>
        <v>8.9600000000000009</v>
      </c>
      <c r="O200" s="25">
        <f t="shared" si="115"/>
        <v>9.0299999999999994</v>
      </c>
      <c r="P200" s="25">
        <f t="shared" si="115"/>
        <v>9.14</v>
      </c>
      <c r="Q200" s="25">
        <f t="shared" si="115"/>
        <v>9.4600000000000009</v>
      </c>
      <c r="R200" s="25">
        <f t="shared" si="115"/>
        <v>9.3699999999999992</v>
      </c>
      <c r="S200" s="25">
        <f t="shared" si="115"/>
        <v>8.91</v>
      </c>
      <c r="T200" s="25">
        <f t="shared" si="115"/>
        <v>8.35</v>
      </c>
      <c r="U200" s="25">
        <f t="shared" si="115"/>
        <v>8.25</v>
      </c>
      <c r="V200" s="25">
        <f t="shared" si="115"/>
        <v>8.25</v>
      </c>
      <c r="W200" s="25">
        <f t="shared" si="115"/>
        <v>8.25</v>
      </c>
      <c r="X200" s="25">
        <f t="shared" si="115"/>
        <v>8.25</v>
      </c>
      <c r="Y200" s="25">
        <f t="shared" si="115"/>
        <v>8.25</v>
      </c>
      <c r="Z200" s="25"/>
      <c r="AA200" s="25"/>
      <c r="AG200" s="5"/>
      <c r="AY200" s="25"/>
    </row>
    <row r="201" spans="1:51" s="33" customFormat="1" hidden="1" outlineLevel="1">
      <c r="A201" s="5"/>
      <c r="C201" s="38" t="s">
        <v>310</v>
      </c>
      <c r="D201" s="25">
        <f t="shared" ref="D201:Y201" si="116">IF(D$8="A",IFERROR(ROUND(D267/D191,2),IFERROR(ROUND(D267/D192,2),"…")),IF(D$8="L","…","…"))</f>
        <v>220.15</v>
      </c>
      <c r="E201" s="25">
        <f t="shared" si="116"/>
        <v>4.9400000000000004</v>
      </c>
      <c r="F201" s="25">
        <f t="shared" si="116"/>
        <v>4.68</v>
      </c>
      <c r="G201" s="25">
        <f t="shared" si="116"/>
        <v>4.29</v>
      </c>
      <c r="H201" s="25">
        <f t="shared" si="116"/>
        <v>5.08</v>
      </c>
      <c r="I201" s="25">
        <f t="shared" si="116"/>
        <v>5.6</v>
      </c>
      <c r="J201" s="25">
        <f t="shared" si="116"/>
        <v>5.18</v>
      </c>
      <c r="K201" s="25">
        <f t="shared" si="116"/>
        <v>6.36</v>
      </c>
      <c r="L201" s="25">
        <f t="shared" si="116"/>
        <v>7.54</v>
      </c>
      <c r="M201" s="25">
        <f t="shared" si="116"/>
        <v>9.85</v>
      </c>
      <c r="N201" s="25">
        <f t="shared" si="116"/>
        <v>8.9600000000000009</v>
      </c>
      <c r="O201" s="25">
        <f t="shared" si="116"/>
        <v>9.0299999999999994</v>
      </c>
      <c r="P201" s="25">
        <f t="shared" si="116"/>
        <v>9.14</v>
      </c>
      <c r="Q201" s="25">
        <f t="shared" si="116"/>
        <v>9.4600000000000009</v>
      </c>
      <c r="R201" s="25">
        <f t="shared" si="116"/>
        <v>9.3699999999999992</v>
      </c>
      <c r="S201" s="25">
        <f t="shared" si="116"/>
        <v>8.91</v>
      </c>
      <c r="T201" s="25">
        <f t="shared" si="116"/>
        <v>8.35</v>
      </c>
      <c r="U201" s="25">
        <f t="shared" si="116"/>
        <v>8.25</v>
      </c>
      <c r="V201" s="25" t="str">
        <f t="shared" si="116"/>
        <v>…</v>
      </c>
      <c r="W201" s="25" t="str">
        <f t="shared" si="116"/>
        <v>…</v>
      </c>
      <c r="X201" s="25" t="str">
        <f t="shared" si="116"/>
        <v>…</v>
      </c>
      <c r="Y201" s="25" t="str">
        <f t="shared" si="116"/>
        <v>…</v>
      </c>
      <c r="Z201" s="25"/>
      <c r="AA201" s="25"/>
      <c r="AG201" s="5"/>
      <c r="AY201" s="25"/>
    </row>
    <row r="202" spans="1:51" s="33" customFormat="1" hidden="1" outlineLevel="1">
      <c r="A202" s="5"/>
      <c r="C202" s="38" t="s">
        <v>311</v>
      </c>
      <c r="D202" s="25">
        <f>IF(ISNUMBER(D203),D203,IF(ISNUMBER(D204),D204,IF(ISNUMBER(D205),D205,"…")))</f>
        <v>4.9400000000000004</v>
      </c>
      <c r="E202" s="25">
        <f t="shared" ref="E202:Y202" si="117">IF(ISNUMBER(E203),E203,IF(ISNUMBER(E204),E204,IF(ISNUMBER(E205),E205,"…")))</f>
        <v>112.41500000000001</v>
      </c>
      <c r="F202" s="25">
        <f>IF(ISNUMBER(F203),F203,IF(ISNUMBER(F204),F204,IF(ISNUMBER(F205),F205,"…")))</f>
        <v>4.6150000000000002</v>
      </c>
      <c r="G202" s="25">
        <f t="shared" si="117"/>
        <v>4.88</v>
      </c>
      <c r="H202" s="25">
        <f t="shared" si="117"/>
        <v>4.9450000000000003</v>
      </c>
      <c r="I202" s="25">
        <f t="shared" si="117"/>
        <v>5.13</v>
      </c>
      <c r="J202" s="25">
        <f t="shared" si="117"/>
        <v>5.98</v>
      </c>
      <c r="K202" s="25">
        <f t="shared" si="117"/>
        <v>6.3599999999999994</v>
      </c>
      <c r="L202" s="25">
        <f t="shared" si="117"/>
        <v>8.1050000000000004</v>
      </c>
      <c r="M202" s="25">
        <f t="shared" si="117"/>
        <v>8.25</v>
      </c>
      <c r="N202" s="25">
        <f t="shared" si="117"/>
        <v>9.44</v>
      </c>
      <c r="O202" s="25">
        <f t="shared" si="117"/>
        <v>8.995000000000001</v>
      </c>
      <c r="P202" s="25">
        <f t="shared" si="117"/>
        <v>9.0850000000000009</v>
      </c>
      <c r="Q202" s="25">
        <f t="shared" si="117"/>
        <v>9.14</v>
      </c>
      <c r="R202" s="25">
        <f t="shared" si="117"/>
        <v>9.4600000000000009</v>
      </c>
      <c r="S202" s="25">
        <f t="shared" si="117"/>
        <v>9.3699999999999992</v>
      </c>
      <c r="T202" s="25">
        <f t="shared" si="117"/>
        <v>8.91</v>
      </c>
      <c r="U202" s="25">
        <f t="shared" si="117"/>
        <v>8.35</v>
      </c>
      <c r="V202" s="25" t="str">
        <f t="shared" si="117"/>
        <v>…</v>
      </c>
      <c r="W202" s="25" t="str">
        <f t="shared" si="117"/>
        <v>…</v>
      </c>
      <c r="X202" s="25" t="str">
        <f t="shared" si="117"/>
        <v>…</v>
      </c>
      <c r="Y202" s="25" t="str">
        <f t="shared" si="117"/>
        <v>…</v>
      </c>
      <c r="Z202" s="25"/>
      <c r="AA202" s="25"/>
      <c r="AD202" s="33" t="s">
        <v>313</v>
      </c>
      <c r="AG202" s="5"/>
      <c r="AY202" s="25"/>
    </row>
    <row r="203" spans="1:51" s="33" customFormat="1" hidden="1" outlineLevel="1">
      <c r="A203" s="5"/>
      <c r="C203" s="43" t="s">
        <v>156</v>
      </c>
      <c r="D203" s="48">
        <f t="shared" ref="D203:P203" si="118">IF(D$8="A",IFERROR(AVERAGE(C201,E206),"…"),IF(D$8="L","…","…"))</f>
        <v>4.9400000000000004</v>
      </c>
      <c r="E203" s="48">
        <f t="shared" si="118"/>
        <v>112.41500000000001</v>
      </c>
      <c r="F203" s="48">
        <f t="shared" si="118"/>
        <v>4.6150000000000002</v>
      </c>
      <c r="G203" s="48">
        <f t="shared" si="118"/>
        <v>4.88</v>
      </c>
      <c r="H203" s="48">
        <f t="shared" si="118"/>
        <v>4.9450000000000003</v>
      </c>
      <c r="I203" s="48">
        <f t="shared" si="118"/>
        <v>5.13</v>
      </c>
      <c r="J203" s="48">
        <f t="shared" si="118"/>
        <v>5.98</v>
      </c>
      <c r="K203" s="48">
        <f t="shared" si="118"/>
        <v>6.3599999999999994</v>
      </c>
      <c r="L203" s="48">
        <f>IF(L$8="A",IFERROR(AVERAGE(K201,M206),"…"),IF(L$8="L","…","…"))</f>
        <v>8.1050000000000004</v>
      </c>
      <c r="M203" s="48">
        <f>IF(M$8="A",IFERROR(AVERAGE(L201,N206),"…"),IF(M$8="L","…","…"))</f>
        <v>8.25</v>
      </c>
      <c r="N203" s="48">
        <f>IF(N$8="A",IFERROR(AVERAGE(M201,O206),"…"),IF(N$8="L","…","…"))</f>
        <v>9.44</v>
      </c>
      <c r="O203" s="48">
        <f>IF(O$8="A",IFERROR(AVERAGE(N201,P206),"…"),IF(O$8="L","…","…"))</f>
        <v>8.995000000000001</v>
      </c>
      <c r="P203" s="48">
        <f t="shared" si="118"/>
        <v>9.0850000000000009</v>
      </c>
      <c r="Q203" s="48">
        <f t="shared" ref="Q203:Y203" si="119">IF(Q$8="A",IFERROR(AVERAGE(P201,AC206),"…"),IF(Q$8="L","…","…"))</f>
        <v>9.14</v>
      </c>
      <c r="R203" s="48">
        <f t="shared" si="119"/>
        <v>9.4600000000000009</v>
      </c>
      <c r="S203" s="48">
        <f t="shared" si="119"/>
        <v>9.3699999999999992</v>
      </c>
      <c r="T203" s="48">
        <f t="shared" si="119"/>
        <v>8.91</v>
      </c>
      <c r="U203" s="48">
        <f t="shared" si="119"/>
        <v>8.35</v>
      </c>
      <c r="V203" s="48" t="str">
        <f t="shared" si="119"/>
        <v>…</v>
      </c>
      <c r="W203" s="48" t="str">
        <f t="shared" si="119"/>
        <v>…</v>
      </c>
      <c r="X203" s="48" t="str">
        <f t="shared" si="119"/>
        <v>…</v>
      </c>
      <c r="Y203" s="48" t="str">
        <f t="shared" si="119"/>
        <v>…</v>
      </c>
      <c r="Z203" s="48"/>
      <c r="AA203" s="48"/>
      <c r="AG203" s="5"/>
      <c r="AY203" s="48"/>
    </row>
    <row r="204" spans="1:51" s="33" customFormat="1" hidden="1" outlineLevel="1">
      <c r="A204" s="5"/>
      <c r="C204" s="43" t="s">
        <v>157</v>
      </c>
      <c r="D204" s="48">
        <f t="shared" ref="D204:Y204" si="120">IF(D$8="A",IFERROR(AVERAGE($D$201:$O$201),"…"),"…")</f>
        <v>24.305000000000003</v>
      </c>
      <c r="E204" s="48">
        <f t="shared" si="120"/>
        <v>24.305000000000003</v>
      </c>
      <c r="F204" s="48">
        <f t="shared" si="120"/>
        <v>24.305000000000003</v>
      </c>
      <c r="G204" s="48">
        <f t="shared" si="120"/>
        <v>24.305000000000003</v>
      </c>
      <c r="H204" s="48">
        <f t="shared" si="120"/>
        <v>24.305000000000003</v>
      </c>
      <c r="I204" s="48">
        <f t="shared" si="120"/>
        <v>24.305000000000003</v>
      </c>
      <c r="J204" s="48">
        <f t="shared" si="120"/>
        <v>24.305000000000003</v>
      </c>
      <c r="K204" s="48">
        <f t="shared" si="120"/>
        <v>24.305000000000003</v>
      </c>
      <c r="L204" s="48">
        <f t="shared" si="120"/>
        <v>24.305000000000003</v>
      </c>
      <c r="M204" s="48">
        <f t="shared" si="120"/>
        <v>24.305000000000003</v>
      </c>
      <c r="N204" s="48">
        <f t="shared" si="120"/>
        <v>24.305000000000003</v>
      </c>
      <c r="O204" s="48">
        <f t="shared" si="120"/>
        <v>24.305000000000003</v>
      </c>
      <c r="P204" s="48">
        <f t="shared" si="120"/>
        <v>24.305000000000003</v>
      </c>
      <c r="Q204" s="48">
        <f t="shared" si="120"/>
        <v>24.305000000000003</v>
      </c>
      <c r="R204" s="48">
        <f t="shared" si="120"/>
        <v>24.305000000000003</v>
      </c>
      <c r="S204" s="48">
        <f t="shared" si="120"/>
        <v>24.305000000000003</v>
      </c>
      <c r="T204" s="48">
        <f t="shared" si="120"/>
        <v>24.305000000000003</v>
      </c>
      <c r="U204" s="48">
        <f t="shared" si="120"/>
        <v>24.305000000000003</v>
      </c>
      <c r="V204" s="48" t="str">
        <f t="shared" si="120"/>
        <v>…</v>
      </c>
      <c r="W204" s="48" t="str">
        <f t="shared" si="120"/>
        <v>…</v>
      </c>
      <c r="X204" s="48" t="str">
        <f t="shared" si="120"/>
        <v>…</v>
      </c>
      <c r="Y204" s="48" t="str">
        <f t="shared" si="120"/>
        <v>…</v>
      </c>
      <c r="Z204" s="48"/>
      <c r="AA204" s="48"/>
      <c r="AG204" s="5"/>
      <c r="AY204" s="48"/>
    </row>
    <row r="205" spans="1:51" s="33" customFormat="1" ht="13.15" hidden="1" outlineLevel="1">
      <c r="A205" s="5"/>
      <c r="C205" s="43" t="s">
        <v>366</v>
      </c>
      <c r="D205" s="48">
        <f t="shared" ref="D205:Q205" si="121">IF(D$8="A",$AE$205,"…")</f>
        <v>3</v>
      </c>
      <c r="E205" s="48">
        <f t="shared" si="121"/>
        <v>3</v>
      </c>
      <c r="F205" s="48">
        <f t="shared" si="121"/>
        <v>3</v>
      </c>
      <c r="G205" s="48">
        <f t="shared" si="121"/>
        <v>3</v>
      </c>
      <c r="H205" s="48">
        <f t="shared" si="121"/>
        <v>3</v>
      </c>
      <c r="I205" s="48">
        <f t="shared" si="121"/>
        <v>3</v>
      </c>
      <c r="J205" s="48">
        <f t="shared" si="121"/>
        <v>3</v>
      </c>
      <c r="K205" s="48">
        <f t="shared" si="121"/>
        <v>3</v>
      </c>
      <c r="L205" s="48">
        <f t="shared" si="121"/>
        <v>3</v>
      </c>
      <c r="M205" s="48">
        <f t="shared" si="121"/>
        <v>3</v>
      </c>
      <c r="N205" s="48">
        <f t="shared" si="121"/>
        <v>3</v>
      </c>
      <c r="O205" s="48">
        <f t="shared" si="121"/>
        <v>3</v>
      </c>
      <c r="P205" s="48">
        <f t="shared" si="121"/>
        <v>3</v>
      </c>
      <c r="Q205" s="48">
        <f t="shared" si="121"/>
        <v>3</v>
      </c>
      <c r="R205" s="48">
        <f t="shared" ref="R205:Y205" si="122">IF(R$8="A",6,"…")</f>
        <v>6</v>
      </c>
      <c r="S205" s="48">
        <f t="shared" si="122"/>
        <v>6</v>
      </c>
      <c r="T205" s="48">
        <f t="shared" si="122"/>
        <v>6</v>
      </c>
      <c r="U205" s="48">
        <f t="shared" si="122"/>
        <v>6</v>
      </c>
      <c r="V205" s="48" t="str">
        <f t="shared" si="122"/>
        <v>…</v>
      </c>
      <c r="W205" s="48" t="str">
        <f t="shared" si="122"/>
        <v>…</v>
      </c>
      <c r="X205" s="48" t="str">
        <f t="shared" si="122"/>
        <v>…</v>
      </c>
      <c r="Y205" s="48" t="str">
        <f t="shared" si="122"/>
        <v>…</v>
      </c>
      <c r="Z205" s="48"/>
      <c r="AA205" s="48"/>
      <c r="AD205" s="33" t="s">
        <v>1740</v>
      </c>
      <c r="AE205" s="98">
        <v>3</v>
      </c>
      <c r="AG205" s="5"/>
      <c r="AY205" s="48"/>
    </row>
    <row r="206" spans="1:51" s="33" customFormat="1" hidden="1" outlineLevel="1">
      <c r="A206" s="5"/>
      <c r="C206" s="38" t="s">
        <v>357</v>
      </c>
      <c r="D206" s="25">
        <f t="shared" ref="D206:Y206" si="123">IF($AG$19=1,D207,IF(ISNUMBER(D208),D208,IF(ISNUMBER(D209),D209,"…")))</f>
        <v>220.15</v>
      </c>
      <c r="E206" s="25">
        <f t="shared" si="123"/>
        <v>4.9400000000000004</v>
      </c>
      <c r="F206" s="25">
        <f t="shared" si="123"/>
        <v>4.68</v>
      </c>
      <c r="G206" s="25">
        <f t="shared" si="123"/>
        <v>4.29</v>
      </c>
      <c r="H206" s="25">
        <f t="shared" si="123"/>
        <v>5.08</v>
      </c>
      <c r="I206" s="25">
        <f t="shared" si="123"/>
        <v>5.6</v>
      </c>
      <c r="J206" s="25">
        <f t="shared" si="123"/>
        <v>5.18</v>
      </c>
      <c r="K206" s="25">
        <f t="shared" si="123"/>
        <v>6.36</v>
      </c>
      <c r="L206" s="25">
        <f t="shared" si="123"/>
        <v>7.54</v>
      </c>
      <c r="M206" s="25">
        <f t="shared" si="123"/>
        <v>9.85</v>
      </c>
      <c r="N206" s="25">
        <f t="shared" si="123"/>
        <v>8.9600000000000009</v>
      </c>
      <c r="O206" s="25">
        <f t="shared" si="123"/>
        <v>9.0299999999999994</v>
      </c>
      <c r="P206" s="25">
        <f t="shared" si="123"/>
        <v>9.0299999999999994</v>
      </c>
      <c r="Q206" s="25">
        <f t="shared" si="123"/>
        <v>9.14</v>
      </c>
      <c r="R206" s="25">
        <f t="shared" si="123"/>
        <v>9.4600000000000009</v>
      </c>
      <c r="S206" s="25">
        <f t="shared" si="123"/>
        <v>9.3699999999999992</v>
      </c>
      <c r="T206" s="25">
        <f t="shared" si="123"/>
        <v>8.91</v>
      </c>
      <c r="U206" s="25">
        <f t="shared" si="123"/>
        <v>8.35</v>
      </c>
      <c r="V206" s="25">
        <f t="shared" si="123"/>
        <v>8.25</v>
      </c>
      <c r="W206" s="25">
        <f t="shared" si="123"/>
        <v>8.25</v>
      </c>
      <c r="X206" s="25">
        <f t="shared" si="123"/>
        <v>8.25</v>
      </c>
      <c r="Y206" s="25">
        <f t="shared" si="123"/>
        <v>8.25</v>
      </c>
      <c r="Z206" s="25"/>
      <c r="AA206" s="25"/>
      <c r="AG206" s="5"/>
      <c r="AY206" s="25"/>
    </row>
    <row r="207" spans="1:51" s="33" customFormat="1" hidden="1" outlineLevel="1">
      <c r="A207" s="5"/>
      <c r="C207" s="43" t="s">
        <v>1553</v>
      </c>
      <c r="D207" s="25">
        <f t="shared" ref="D207:O207" si="124">IF(D8="A",D201,IF(C8&lt;&gt;D8,C201,C207))</f>
        <v>220.15</v>
      </c>
      <c r="E207" s="25">
        <f t="shared" si="124"/>
        <v>4.9400000000000004</v>
      </c>
      <c r="F207" s="25">
        <f t="shared" si="124"/>
        <v>4.68</v>
      </c>
      <c r="G207" s="25">
        <f t="shared" si="124"/>
        <v>4.29</v>
      </c>
      <c r="H207" s="25">
        <f t="shared" si="124"/>
        <v>5.08</v>
      </c>
      <c r="I207" s="25">
        <f t="shared" si="124"/>
        <v>5.6</v>
      </c>
      <c r="J207" s="25">
        <f t="shared" si="124"/>
        <v>5.18</v>
      </c>
      <c r="K207" s="25">
        <f t="shared" si="124"/>
        <v>6.36</v>
      </c>
      <c r="L207" s="25">
        <f t="shared" si="124"/>
        <v>7.54</v>
      </c>
      <c r="M207" s="25">
        <f t="shared" si="124"/>
        <v>9.85</v>
      </c>
      <c r="N207" s="25">
        <f t="shared" si="124"/>
        <v>8.9600000000000009</v>
      </c>
      <c r="O207" s="25">
        <f t="shared" si="124"/>
        <v>9.0299999999999994</v>
      </c>
      <c r="P207" s="48">
        <f t="shared" ref="P207:Y207" si="125">IF(P8="A",O201,IF(O8&lt;&gt;P8,O201,O207))</f>
        <v>9.0299999999999994</v>
      </c>
      <c r="Q207" s="48">
        <f t="shared" si="125"/>
        <v>9.14</v>
      </c>
      <c r="R207" s="48">
        <f t="shared" si="125"/>
        <v>9.4600000000000009</v>
      </c>
      <c r="S207" s="48">
        <f t="shared" si="125"/>
        <v>9.3699999999999992</v>
      </c>
      <c r="T207" s="48">
        <f t="shared" si="125"/>
        <v>8.91</v>
      </c>
      <c r="U207" s="48">
        <f t="shared" si="125"/>
        <v>8.35</v>
      </c>
      <c r="V207" s="48">
        <f t="shared" si="125"/>
        <v>8.25</v>
      </c>
      <c r="W207" s="48">
        <f t="shared" si="125"/>
        <v>8.25</v>
      </c>
      <c r="X207" s="48">
        <f t="shared" si="125"/>
        <v>8.25</v>
      </c>
      <c r="Y207" s="48">
        <f t="shared" si="125"/>
        <v>8.25</v>
      </c>
      <c r="Z207" s="48"/>
      <c r="AA207" s="48"/>
      <c r="AG207" s="5"/>
      <c r="AY207" s="48"/>
    </row>
    <row r="208" spans="1:51" s="33" customFormat="1" hidden="1" outlineLevel="1">
      <c r="A208" s="5"/>
      <c r="C208" s="43" t="s">
        <v>156</v>
      </c>
      <c r="D208" s="48" t="str">
        <f>IF(D8="E",IFERROR(AVERAGE($H201:$O201)+COUNTIFS($D8:D8,"E")/2,"…"),"…")</f>
        <v>…</v>
      </c>
      <c r="E208" s="48" t="str">
        <f>IF(E8="E",IFERROR(AVERAGE($H201:$O201)+COUNTIFS($D8:E8,"E")/2,"…"),"…")</f>
        <v>…</v>
      </c>
      <c r="F208" s="48" t="str">
        <f>IF(F8="E",IFERROR(AVERAGE($H201:$O201)+COUNTIFS($D8:F8,"E")/2,"…"),"…")</f>
        <v>…</v>
      </c>
      <c r="G208" s="48" t="str">
        <f>IF(G8="E",IFERROR(AVERAGE($H201:$O201)+COUNTIFS($D8:G8,"E")/2,"…"),"…")</f>
        <v>…</v>
      </c>
      <c r="H208" s="48" t="str">
        <f>IF(H8="E",IFERROR(AVERAGE($H201:$O201)+COUNTIFS($D8:H8,"E")/2,"…"),"…")</f>
        <v>…</v>
      </c>
      <c r="I208" s="48" t="str">
        <f>IF(I8="E",IFERROR(AVERAGE($H201:$O201)+COUNTIFS($D8:I8,"E")/2,"…"),"…")</f>
        <v>…</v>
      </c>
      <c r="J208" s="48" t="str">
        <f>IF(J8="E",IFERROR(AVERAGE($H201:$O201)+COUNTIFS($D8:J8,"E")/2,"…"),"…")</f>
        <v>…</v>
      </c>
      <c r="K208" s="48" t="str">
        <f>IF(K8="E",IFERROR(AVERAGE($H201:$O201)+COUNTIFS($D8:K8,"E")/2,"…"),"…")</f>
        <v>…</v>
      </c>
      <c r="L208" s="48" t="str">
        <f>IF(L8="E",IFERROR(AVERAGE($H201:$O201)+COUNTIFS($D8:L8,"E")/2,"…"),"…")</f>
        <v>…</v>
      </c>
      <c r="M208" s="48" t="str">
        <f>IF(M8="E",IFERROR(AVERAGE($K201:$O201)+COUNTIFS($D8:M8,"E")/2,"…"),"…")</f>
        <v>…</v>
      </c>
      <c r="N208" s="48" t="str">
        <f>IF(N8="E",IFERROR(AVERAGE($K201:$O201)+COUNTIFS($D8:N8,"E")/2,"…"),"…")</f>
        <v>…</v>
      </c>
      <c r="O208" s="48" t="str">
        <f>IF(O8="E",IFERROR(AVERAGE($K201:$O201)+COUNTIFS($D8:O8,"E")/2,"…"),"…")</f>
        <v>…</v>
      </c>
      <c r="P208" s="48" t="str">
        <f>IF(P8="E",IFERROR(AVERAGE($K201:$O201)+COUNTIFS($D8:P8,"E")/2,"…"),"…")</f>
        <v>…</v>
      </c>
      <c r="Q208" s="48" t="str">
        <f>IF(Q8="E",IFERROR(AVERAGE($K201:$O201)+COUNTIFS($D8:Q8,"E")/2,"…"),"…")</f>
        <v>…</v>
      </c>
      <c r="R208" s="48" t="str">
        <f>IF(R8="E",IFERROR(AVERAGE($K201:$O201)+COUNTIFS($D8:R8,"E")/2,"…"),"…")</f>
        <v>…</v>
      </c>
      <c r="S208" s="48" t="str">
        <f>IF(S8="E",IFERROR(AVERAGE($K201:$O201)+COUNTIFS($D8:S8,"E")/2,"…"),"…")</f>
        <v>…</v>
      </c>
      <c r="T208" s="48" t="str">
        <f>IF(T8="E",IFERROR(AVERAGE($K201:$O201)+COUNTIFS($D8:T8,"E")/2,"…"),"…")</f>
        <v>…</v>
      </c>
      <c r="U208" s="48" t="str">
        <f>IF(U8="E",IFERROR(AVERAGE($K201:$O201)+COUNTIFS($D8:U8,"E")/2,"…"),"…")</f>
        <v>…</v>
      </c>
      <c r="V208" s="48">
        <f>IF(V8="E",IFERROR(AVERAGE($K201:$U201)+COUNTIFS($D8:V8,"E")/2,"…"),"…")</f>
        <v>9.1563636363636363</v>
      </c>
      <c r="W208" s="48">
        <f>IF(W8="E",IFERROR(AVERAGE($K201:$U201)+COUNTIFS($D8:W8,"E")/2,"…"),"…")</f>
        <v>9.6563636363636363</v>
      </c>
      <c r="X208" s="48">
        <f>IF(X8="E",IFERROR(AVERAGE($K201:$U201)+COUNTIFS($D8:X8,"E")/2,"…"),"…")</f>
        <v>10.156363636363636</v>
      </c>
      <c r="Y208" s="48">
        <f>IF(Y8="E",IFERROR(AVERAGE($K201:$U201)+COUNTIFS($D8:Y8,"E")/2,"…"),"…")</f>
        <v>10.656363636363636</v>
      </c>
      <c r="Z208" s="48"/>
      <c r="AA208" s="48"/>
      <c r="AG208" s="5"/>
      <c r="AY208" s="48"/>
    </row>
    <row r="209" spans="1:72" s="33" customFormat="1" hidden="1" outlineLevel="1">
      <c r="A209" s="5"/>
      <c r="C209" s="43" t="s">
        <v>157</v>
      </c>
      <c r="D209" s="48"/>
      <c r="E209" s="48"/>
      <c r="F209" s="48"/>
      <c r="G209" s="48"/>
      <c r="H209" s="48"/>
      <c r="I209" s="48"/>
      <c r="J209" s="48"/>
      <c r="K209" s="48"/>
      <c r="L209" s="48"/>
      <c r="M209" s="48" t="str">
        <f>IF(M8="E",AVERAGE($H205:$O205)+COUNTIFS($D8:M8,"E")/2,"…")</f>
        <v>…</v>
      </c>
      <c r="N209" s="48" t="str">
        <f>IF(N8="E",AVERAGE($H205:$O205)+COUNTIFS($D8:N8,"E")/2,"…")</f>
        <v>…</v>
      </c>
      <c r="O209" s="48" t="str">
        <f>IF(O8="E",AVERAGE($H205:$O205)+COUNTIFS($D8:O8,"E")/2,"…")</f>
        <v>…</v>
      </c>
      <c r="P209" s="48" t="str">
        <f>IF(P8="E",AVERAGE($H205:$O205)+COUNTIFS($D8:P8,"E")/2,"…")</f>
        <v>…</v>
      </c>
      <c r="Q209" s="48" t="str">
        <f>IF(Q8="E",AVERAGE($H205:$O205)+COUNTIFS($D8:Q8,"E")/2,"…")</f>
        <v>…</v>
      </c>
      <c r="R209" s="48" t="str">
        <f>IF(R8="E",AVERAGE($H205:$O205)+COUNTIFS($D8:R8,"E")/2,"…")</f>
        <v>…</v>
      </c>
      <c r="S209" s="48" t="str">
        <f>IF(S8="E",AVERAGE($H205:$O205)+COUNTIFS($D8:S8,"E")/2,"…")</f>
        <v>…</v>
      </c>
      <c r="T209" s="48" t="str">
        <f>IF(T8="E",AVERAGE($H205:$O205)+COUNTIFS($D8:T8,"E")/2,"…")</f>
        <v>…</v>
      </c>
      <c r="U209" s="48" t="str">
        <f>IF(U8="E",AVERAGE($H205:$O205)+COUNTIFS($D8:U8,"E")/2,"…")</f>
        <v>…</v>
      </c>
      <c r="V209" s="48">
        <f>IF(V8="E",AVERAGE($H205:$O205)+COUNTIFS($D8:V8,"E")/2,"…")</f>
        <v>3.5</v>
      </c>
      <c r="W209" s="48">
        <f>IF(W8="E",AVERAGE($H205:$O205)+COUNTIFS($D8:W8,"E")/2,"…")</f>
        <v>4</v>
      </c>
      <c r="X209" s="48">
        <f>IF(X8="E",AVERAGE($H205:$O205)+COUNTIFS($D8:X8,"E")/2,"…")</f>
        <v>4.5</v>
      </c>
      <c r="Y209" s="48">
        <f>IF(Y8="E",AVERAGE($H205:$O205)+COUNTIFS($D8:Y8,"E")/2,"…")</f>
        <v>5</v>
      </c>
      <c r="Z209" s="48"/>
      <c r="AA209" s="48"/>
      <c r="AG209" s="5"/>
      <c r="AY209" s="48"/>
    </row>
    <row r="210" spans="1:72" s="33" customFormat="1" hidden="1" outlineLevel="1">
      <c r="A210" s="5"/>
      <c r="C210" s="43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G210" s="5"/>
      <c r="AY210" s="48"/>
    </row>
    <row r="211" spans="1:72" s="33" customFormat="1" hidden="1" outlineLevel="1">
      <c r="A211" s="5"/>
      <c r="B211" s="5"/>
      <c r="C211" s="44" t="s">
        <v>295</v>
      </c>
      <c r="D211" s="25">
        <f t="shared" ref="D211:Y211" si="126">IF(ISNUMBER(D212),D212,IF(ISNUMBER(D213),D213,IF(ISNUMBER(D214),D214,IF(ISNUMBER(D215),D215,IF(ISNUMBER(D216),D216,IF(ISNUMBER(D217),D217,IF(ISNUMBER(D218),D218,IF(ISNUMBER(D219),D219,"…"))))))))</f>
        <v>33</v>
      </c>
      <c r="E211" s="25">
        <f t="shared" si="126"/>
        <v>1488</v>
      </c>
      <c r="F211" s="25">
        <f t="shared" si="126"/>
        <v>1542</v>
      </c>
      <c r="G211" s="25">
        <f t="shared" si="126"/>
        <v>1589</v>
      </c>
      <c r="H211" s="25">
        <f t="shared" si="126"/>
        <v>1589</v>
      </c>
      <c r="I211" s="25">
        <f t="shared" si="126"/>
        <v>1740</v>
      </c>
      <c r="J211" s="25">
        <f t="shared" si="126"/>
        <v>1899</v>
      </c>
      <c r="K211" s="25">
        <f t="shared" si="126"/>
        <v>2164</v>
      </c>
      <c r="L211" s="25">
        <f t="shared" si="126"/>
        <v>3517</v>
      </c>
      <c r="M211" s="25">
        <f t="shared" si="126"/>
        <v>3589</v>
      </c>
      <c r="N211" s="25">
        <f t="shared" si="126"/>
        <v>4009</v>
      </c>
      <c r="O211" s="25">
        <f t="shared" si="126"/>
        <v>4091</v>
      </c>
      <c r="P211" s="25">
        <f t="shared" si="126"/>
        <v>4187</v>
      </c>
      <c r="Q211" s="25">
        <f t="shared" si="126"/>
        <v>4178</v>
      </c>
      <c r="R211" s="25">
        <f t="shared" si="126"/>
        <v>4337</v>
      </c>
      <c r="S211" s="25">
        <f t="shared" si="126"/>
        <v>4731</v>
      </c>
      <c r="T211" s="25">
        <f t="shared" si="126"/>
        <v>5249</v>
      </c>
      <c r="U211" s="25">
        <f t="shared" si="126"/>
        <v>5829</v>
      </c>
      <c r="V211" s="25" t="str">
        <f t="shared" si="126"/>
        <v>…</v>
      </c>
      <c r="W211" s="25" t="str">
        <f t="shared" si="126"/>
        <v>…</v>
      </c>
      <c r="X211" s="25" t="str">
        <f t="shared" si="126"/>
        <v>…</v>
      </c>
      <c r="Y211" s="25" t="str">
        <f t="shared" si="126"/>
        <v>…</v>
      </c>
      <c r="Z211" s="25"/>
      <c r="AA211" s="25"/>
      <c r="AB211" s="25"/>
      <c r="AC211" s="2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2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25"/>
      <c r="BL211" s="25"/>
      <c r="BM211" s="25"/>
      <c r="BN211" s="25"/>
      <c r="BO211" s="25"/>
      <c r="BP211" s="25"/>
      <c r="BQ211" s="25"/>
      <c r="BR211" s="27"/>
      <c r="BS211" s="5"/>
      <c r="BT211" s="5"/>
    </row>
    <row r="212" spans="1:72" s="33" customFormat="1" hidden="1" outlineLevel="1">
      <c r="A212" s="5"/>
      <c r="B212" s="5" t="s">
        <v>1581</v>
      </c>
      <c r="C212" s="43" t="s">
        <v>1581</v>
      </c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25" t="s">
        <v>289</v>
      </c>
      <c r="Q212" s="25" t="s">
        <v>289</v>
      </c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2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25"/>
      <c r="BL212" s="25"/>
      <c r="BM212" s="25"/>
      <c r="BN212" s="25"/>
      <c r="BO212" s="25"/>
      <c r="BP212" s="25"/>
      <c r="BQ212" s="25"/>
      <c r="BR212" s="27"/>
      <c r="BS212" s="5"/>
      <c r="BT212" s="5"/>
    </row>
    <row r="213" spans="1:72" hidden="1" outlineLevel="1">
      <c r="B213" s="5" t="s">
        <v>171</v>
      </c>
      <c r="C213" s="43" t="s">
        <v>154</v>
      </c>
      <c r="D213" s="16" t="s">
        <v>289</v>
      </c>
      <c r="E213" s="16" t="s">
        <v>289</v>
      </c>
      <c r="F213" s="16" t="s">
        <v>289</v>
      </c>
      <c r="G213" s="16" t="s">
        <v>289</v>
      </c>
      <c r="H213" s="16" t="s">
        <v>289</v>
      </c>
      <c r="I213" s="16" t="s">
        <v>289</v>
      </c>
      <c r="J213" s="16" t="s">
        <v>289</v>
      </c>
      <c r="K213" s="16" t="s">
        <v>289</v>
      </c>
      <c r="L213" s="16" t="s">
        <v>289</v>
      </c>
      <c r="M213" s="16" t="s">
        <v>289</v>
      </c>
      <c r="N213" s="16" t="s">
        <v>289</v>
      </c>
      <c r="O213" s="16" t="s">
        <v>289</v>
      </c>
      <c r="P213" s="16" t="s">
        <v>289</v>
      </c>
      <c r="Q213" s="16" t="s">
        <v>289</v>
      </c>
      <c r="R213" s="16" t="s">
        <v>289</v>
      </c>
      <c r="S213" s="16" t="s">
        <v>289</v>
      </c>
      <c r="T213" s="16" t="s">
        <v>289</v>
      </c>
      <c r="U213" s="16" t="s">
        <v>289</v>
      </c>
      <c r="V213" s="16" t="s">
        <v>289</v>
      </c>
      <c r="W213" s="16"/>
      <c r="X213" s="16"/>
      <c r="Y213" s="16"/>
      <c r="Z213" s="16"/>
      <c r="AA213" s="16"/>
      <c r="AB213" s="25"/>
      <c r="AC213" s="2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16"/>
      <c r="AZ213" s="5"/>
      <c r="BK213" s="25"/>
      <c r="BL213" s="25"/>
      <c r="BM213" s="25"/>
      <c r="BN213" s="25"/>
      <c r="BO213" s="25"/>
      <c r="BP213" s="25"/>
      <c r="BQ213" s="25"/>
      <c r="BR213" s="27"/>
    </row>
    <row r="214" spans="1:72" hidden="1" outlineLevel="1">
      <c r="B214" s="5" t="s">
        <v>172</v>
      </c>
      <c r="C214" s="43" t="s">
        <v>161</v>
      </c>
      <c r="D214" s="16" t="s">
        <v>289</v>
      </c>
      <c r="E214" s="16" t="s">
        <v>289</v>
      </c>
      <c r="F214" s="16" t="s">
        <v>289</v>
      </c>
      <c r="G214" s="16" t="s">
        <v>289</v>
      </c>
      <c r="H214" s="16" t="s">
        <v>289</v>
      </c>
      <c r="I214" s="16" t="s">
        <v>289</v>
      </c>
      <c r="J214" s="16" t="s">
        <v>289</v>
      </c>
      <c r="K214" s="16" t="s">
        <v>289</v>
      </c>
      <c r="L214" s="16" t="s">
        <v>289</v>
      </c>
      <c r="M214" s="16" t="s">
        <v>289</v>
      </c>
      <c r="N214" s="16" t="s">
        <v>289</v>
      </c>
      <c r="O214" s="16" t="s">
        <v>289</v>
      </c>
      <c r="P214" s="16" t="s">
        <v>289</v>
      </c>
      <c r="Q214" s="16" t="s">
        <v>289</v>
      </c>
      <c r="R214" s="16" t="s">
        <v>289</v>
      </c>
      <c r="S214" s="16" t="s">
        <v>289</v>
      </c>
      <c r="T214" s="16" t="s">
        <v>289</v>
      </c>
      <c r="U214" s="16" t="s">
        <v>289</v>
      </c>
      <c r="V214" s="16" t="s">
        <v>289</v>
      </c>
      <c r="W214" s="16"/>
      <c r="X214" s="16"/>
      <c r="Y214" s="16"/>
      <c r="Z214" s="16"/>
      <c r="AA214" s="16"/>
      <c r="AB214" s="25"/>
      <c r="AC214" s="2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16"/>
      <c r="AZ214" s="5"/>
      <c r="BK214" s="25"/>
      <c r="BL214" s="25"/>
      <c r="BM214" s="25"/>
      <c r="BN214" s="25"/>
      <c r="BO214" s="25"/>
      <c r="BP214" s="25"/>
      <c r="BQ214" s="25"/>
      <c r="BR214" s="27"/>
    </row>
    <row r="215" spans="1:72" hidden="1" outlineLevel="1">
      <c r="B215" s="5" t="s">
        <v>173</v>
      </c>
      <c r="C215" s="43" t="s">
        <v>163</v>
      </c>
      <c r="D215" s="16" t="s">
        <v>289</v>
      </c>
      <c r="E215" s="16" t="s">
        <v>289</v>
      </c>
      <c r="F215" s="16" t="s">
        <v>289</v>
      </c>
      <c r="G215" s="16" t="s">
        <v>289</v>
      </c>
      <c r="H215" s="16" t="s">
        <v>289</v>
      </c>
      <c r="I215" s="16" t="s">
        <v>289</v>
      </c>
      <c r="J215" s="16" t="s">
        <v>289</v>
      </c>
      <c r="K215" s="16" t="s">
        <v>289</v>
      </c>
      <c r="L215" s="16" t="s">
        <v>289</v>
      </c>
      <c r="M215" s="16" t="s">
        <v>289</v>
      </c>
      <c r="N215" s="16" t="s">
        <v>289</v>
      </c>
      <c r="O215" s="16" t="s">
        <v>289</v>
      </c>
      <c r="P215" s="16" t="s">
        <v>289</v>
      </c>
      <c r="Q215" s="16" t="s">
        <v>289</v>
      </c>
      <c r="R215" s="16" t="s">
        <v>289</v>
      </c>
      <c r="S215" s="16" t="s">
        <v>289</v>
      </c>
      <c r="T215" s="16" t="s">
        <v>289</v>
      </c>
      <c r="U215" s="16" t="s">
        <v>289</v>
      </c>
      <c r="V215" s="16" t="s">
        <v>289</v>
      </c>
      <c r="W215" s="16"/>
      <c r="X215" s="16"/>
      <c r="Y215" s="16"/>
      <c r="Z215" s="16"/>
      <c r="AA215" s="16"/>
      <c r="AB215" s="25"/>
      <c r="AC215" s="2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16"/>
      <c r="AZ215" s="5"/>
      <c r="BK215" s="25"/>
      <c r="BL215" s="25"/>
      <c r="BM215" s="25"/>
      <c r="BN215" s="25"/>
      <c r="BO215" s="25"/>
      <c r="BP215" s="25"/>
      <c r="BQ215" s="25"/>
      <c r="BR215" s="27"/>
    </row>
    <row r="216" spans="1:72" ht="13.15" hidden="1" outlineLevel="1">
      <c r="B216" s="5" t="s">
        <v>174</v>
      </c>
      <c r="C216" s="43" t="s">
        <v>165</v>
      </c>
      <c r="D216" s="16">
        <v>33</v>
      </c>
      <c r="E216" s="16">
        <v>1488</v>
      </c>
      <c r="F216" s="16">
        <v>1542</v>
      </c>
      <c r="G216" s="16">
        <v>1589</v>
      </c>
      <c r="H216" s="16">
        <v>1589</v>
      </c>
      <c r="I216" s="16">
        <v>1740</v>
      </c>
      <c r="J216" s="16">
        <v>1899</v>
      </c>
      <c r="K216" s="16">
        <v>2164</v>
      </c>
      <c r="L216" s="16">
        <v>3517</v>
      </c>
      <c r="M216" s="16">
        <v>3589</v>
      </c>
      <c r="N216" s="16">
        <v>4009</v>
      </c>
      <c r="O216" s="16">
        <v>4091</v>
      </c>
      <c r="P216" s="16">
        <v>4187</v>
      </c>
      <c r="Q216" s="16">
        <v>4178</v>
      </c>
      <c r="R216" s="16">
        <v>4337</v>
      </c>
      <c r="S216" s="16">
        <v>4731</v>
      </c>
      <c r="T216" s="16">
        <v>5249</v>
      </c>
      <c r="U216" s="16">
        <v>5829</v>
      </c>
      <c r="V216" s="16" t="s">
        <v>289</v>
      </c>
      <c r="W216" s="16"/>
      <c r="X216" s="16"/>
      <c r="Y216" s="16"/>
      <c r="Z216" s="16"/>
      <c r="AA216" s="16"/>
      <c r="AB216" s="25"/>
      <c r="AC216" s="2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16"/>
      <c r="AZ216" s="5"/>
      <c r="BK216" s="14"/>
      <c r="BL216" s="14"/>
      <c r="BM216" s="14"/>
      <c r="BN216" s="14"/>
      <c r="BO216" s="14"/>
      <c r="BP216" s="14"/>
      <c r="BQ216" s="14"/>
      <c r="BR216" s="17"/>
    </row>
    <row r="217" spans="1:72" hidden="1" outlineLevel="1">
      <c r="B217" s="5" t="s">
        <v>181</v>
      </c>
      <c r="C217" s="43" t="s">
        <v>176</v>
      </c>
      <c r="D217" s="16" t="s">
        <v>289</v>
      </c>
      <c r="E217" s="16" t="s">
        <v>289</v>
      </c>
      <c r="F217" s="16" t="s">
        <v>289</v>
      </c>
      <c r="G217" s="16" t="s">
        <v>289</v>
      </c>
      <c r="H217" s="16" t="s">
        <v>289</v>
      </c>
      <c r="I217" s="16" t="s">
        <v>289</v>
      </c>
      <c r="J217" s="16" t="s">
        <v>289</v>
      </c>
      <c r="K217" s="16" t="s">
        <v>289</v>
      </c>
      <c r="L217" s="16" t="s">
        <v>289</v>
      </c>
      <c r="M217" s="16" t="s">
        <v>289</v>
      </c>
      <c r="N217" s="16" t="s">
        <v>289</v>
      </c>
      <c r="O217" s="16" t="s">
        <v>289</v>
      </c>
      <c r="P217" s="16" t="s">
        <v>289</v>
      </c>
      <c r="Q217" s="16" t="s">
        <v>289</v>
      </c>
      <c r="R217" s="16" t="s">
        <v>289</v>
      </c>
      <c r="S217" s="16" t="s">
        <v>289</v>
      </c>
      <c r="T217" s="16" t="s">
        <v>289</v>
      </c>
      <c r="U217" s="16" t="s">
        <v>289</v>
      </c>
      <c r="V217" s="16" t="s">
        <v>289</v>
      </c>
      <c r="W217" s="16"/>
      <c r="X217" s="16"/>
      <c r="Y217" s="16"/>
      <c r="Z217" s="16"/>
      <c r="AA217" s="16"/>
      <c r="AB217" s="25"/>
      <c r="AC217" s="25"/>
      <c r="AD217" s="24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16"/>
      <c r="AZ217" s="5"/>
      <c r="BK217" s="22"/>
      <c r="BL217" s="23"/>
      <c r="BM217" s="22"/>
      <c r="BN217" s="22"/>
      <c r="BO217" s="22"/>
      <c r="BP217" s="22"/>
      <c r="BQ217" s="22"/>
      <c r="BR217" s="24"/>
    </row>
    <row r="218" spans="1:72" ht="13.15" hidden="1" outlineLevel="1">
      <c r="B218" s="5" t="s">
        <v>175</v>
      </c>
      <c r="C218" s="43" t="s">
        <v>290</v>
      </c>
      <c r="D218" s="16">
        <v>1134</v>
      </c>
      <c r="E218" s="16" t="s">
        <v>289</v>
      </c>
      <c r="F218" s="16" t="s">
        <v>289</v>
      </c>
      <c r="G218" s="16" t="s">
        <v>289</v>
      </c>
      <c r="H218" s="16" t="s">
        <v>289</v>
      </c>
      <c r="I218" s="16" t="s">
        <v>289</v>
      </c>
      <c r="J218" s="16" t="s">
        <v>289</v>
      </c>
      <c r="K218" s="16" t="s">
        <v>289</v>
      </c>
      <c r="L218" s="16" t="s">
        <v>289</v>
      </c>
      <c r="M218" s="16" t="s">
        <v>289</v>
      </c>
      <c r="N218" s="16" t="s">
        <v>289</v>
      </c>
      <c r="O218" s="16" t="s">
        <v>289</v>
      </c>
      <c r="P218" s="16" t="s">
        <v>289</v>
      </c>
      <c r="Q218" s="16" t="s">
        <v>289</v>
      </c>
      <c r="R218" s="16" t="s">
        <v>289</v>
      </c>
      <c r="S218" s="16" t="s">
        <v>289</v>
      </c>
      <c r="T218" s="16" t="s">
        <v>289</v>
      </c>
      <c r="U218" s="16" t="s">
        <v>289</v>
      </c>
      <c r="V218" s="16" t="s">
        <v>289</v>
      </c>
      <c r="W218" s="16"/>
      <c r="X218" s="16"/>
      <c r="Y218" s="16"/>
      <c r="Z218" s="16"/>
      <c r="AA218" s="16"/>
      <c r="AB218" s="25"/>
      <c r="AC218" s="2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16"/>
      <c r="AZ218" s="5"/>
      <c r="BK218" s="14"/>
      <c r="BL218" s="14"/>
      <c r="BM218" s="14"/>
      <c r="BN218" s="14"/>
      <c r="BO218" s="14"/>
      <c r="BP218" s="14"/>
      <c r="BQ218" s="14"/>
      <c r="BR218" s="17"/>
    </row>
    <row r="219" spans="1:72" hidden="1" outlineLevel="1">
      <c r="C219" s="43" t="s">
        <v>1709</v>
      </c>
      <c r="D219" s="25" t="s">
        <v>1710</v>
      </c>
      <c r="E219" s="25" t="s">
        <v>1710</v>
      </c>
      <c r="F219" s="25" t="s">
        <v>1710</v>
      </c>
      <c r="G219" s="25" t="s">
        <v>1710</v>
      </c>
      <c r="H219" s="25" t="s">
        <v>1710</v>
      </c>
      <c r="I219" s="25" t="s">
        <v>1710</v>
      </c>
      <c r="J219" s="25" t="s">
        <v>1710</v>
      </c>
      <c r="K219" s="25" t="s">
        <v>1710</v>
      </c>
      <c r="L219" s="25" t="s">
        <v>1710</v>
      </c>
      <c r="M219" s="25" t="s">
        <v>1710</v>
      </c>
      <c r="N219" s="25" t="s">
        <v>1710</v>
      </c>
      <c r="O219" s="25" t="s">
        <v>1710</v>
      </c>
      <c r="P219" s="25">
        <f t="shared" ref="P219:Y219" si="127">IF(P11="no","…",IFERROR(P339-P332,"…"))</f>
        <v>5425</v>
      </c>
      <c r="Q219" s="25">
        <f t="shared" si="127"/>
        <v>5266</v>
      </c>
      <c r="R219" s="25">
        <f t="shared" si="127"/>
        <v>5217</v>
      </c>
      <c r="S219" s="25">
        <f t="shared" si="127"/>
        <v>4730</v>
      </c>
      <c r="T219" s="25">
        <f t="shared" si="127"/>
        <v>5249</v>
      </c>
      <c r="U219" s="25">
        <f t="shared" si="127"/>
        <v>4739</v>
      </c>
      <c r="V219" s="25" t="str">
        <f t="shared" si="127"/>
        <v>…</v>
      </c>
      <c r="W219" s="25" t="str">
        <f t="shared" si="127"/>
        <v>…</v>
      </c>
      <c r="X219" s="25" t="str">
        <f t="shared" si="127"/>
        <v>…</v>
      </c>
      <c r="Y219" s="25" t="str">
        <f t="shared" si="127"/>
        <v>…</v>
      </c>
      <c r="Z219" s="25"/>
      <c r="AA219" s="25"/>
      <c r="AB219" s="25"/>
      <c r="AC219" s="2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25"/>
      <c r="AZ219" s="5"/>
      <c r="BK219" s="22"/>
      <c r="BL219" s="23"/>
      <c r="BM219" s="22"/>
      <c r="BN219" s="22"/>
      <c r="BO219" s="22"/>
      <c r="BP219" s="22"/>
      <c r="BQ219" s="22"/>
      <c r="BR219" s="24"/>
    </row>
    <row r="220" spans="1:72" collapsed="1">
      <c r="C220" s="38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Z220" s="25"/>
      <c r="AA220" s="25"/>
      <c r="AB220" s="25"/>
      <c r="AC220" s="2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25"/>
      <c r="AZ220" s="5"/>
      <c r="BK220" s="22"/>
      <c r="BL220" s="23"/>
      <c r="BM220" s="22"/>
      <c r="BN220" s="22"/>
      <c r="BO220" s="22"/>
      <c r="BP220" s="22"/>
      <c r="BQ220" s="22"/>
      <c r="BR220" s="24"/>
    </row>
    <row r="221" spans="1:72" ht="13.15">
      <c r="A221" s="5" t="s">
        <v>316</v>
      </c>
      <c r="C221" s="89" t="s">
        <v>6</v>
      </c>
      <c r="D221" s="90">
        <f t="shared" ref="D221:Y221" si="128">D222</f>
        <v>1698</v>
      </c>
      <c r="E221" s="90">
        <f t="shared" si="128"/>
        <v>2425</v>
      </c>
      <c r="F221" s="90">
        <f t="shared" si="128"/>
        <v>3472</v>
      </c>
      <c r="G221" s="90">
        <f t="shared" si="128"/>
        <v>6938</v>
      </c>
      <c r="H221" s="90">
        <f t="shared" si="128"/>
        <v>6333</v>
      </c>
      <c r="I221" s="90">
        <f t="shared" si="128"/>
        <v>1855</v>
      </c>
      <c r="J221" s="90">
        <f t="shared" si="128"/>
        <v>7141</v>
      </c>
      <c r="K221" s="90">
        <f t="shared" si="128"/>
        <v>11271</v>
      </c>
      <c r="L221" s="90">
        <f t="shared" si="128"/>
        <v>11498</v>
      </c>
      <c r="M221" s="90">
        <f t="shared" si="128"/>
        <v>11671</v>
      </c>
      <c r="N221" s="90">
        <f t="shared" si="128"/>
        <v>12697</v>
      </c>
      <c r="O221" s="90">
        <f t="shared" si="128"/>
        <v>-4069</v>
      </c>
      <c r="P221" s="90">
        <f t="shared" si="128"/>
        <v>7103</v>
      </c>
      <c r="Q221" s="90">
        <f t="shared" si="128"/>
        <v>13818</v>
      </c>
      <c r="R221" s="90">
        <f t="shared" si="128"/>
        <v>13920</v>
      </c>
      <c r="S221" s="90">
        <f t="shared" si="128"/>
        <v>14614</v>
      </c>
      <c r="T221" s="90">
        <f t="shared" si="128"/>
        <v>10210</v>
      </c>
      <c r="U221" s="90">
        <f t="shared" si="128"/>
        <v>18574</v>
      </c>
      <c r="V221" s="90">
        <f t="shared" si="128"/>
        <v>22090.618999999999</v>
      </c>
      <c r="W221" s="90">
        <f t="shared" si="128"/>
        <v>22221</v>
      </c>
      <c r="X221" s="90">
        <f t="shared" si="128"/>
        <v>23652.562999999998</v>
      </c>
      <c r="Y221" s="90">
        <f t="shared" si="128"/>
        <v>25526.2</v>
      </c>
      <c r="Z221" s="90"/>
      <c r="AA221" s="90"/>
      <c r="AB221" s="31"/>
      <c r="AC221" s="31"/>
      <c r="AE221" s="30"/>
      <c r="AF221" s="30"/>
      <c r="AJ221" s="31"/>
      <c r="AY221" s="90"/>
      <c r="AZ221" s="27"/>
    </row>
    <row r="222" spans="1:72" hidden="1" outlineLevel="1">
      <c r="A222" s="5" t="s">
        <v>316</v>
      </c>
      <c r="C222" s="41" t="s">
        <v>6</v>
      </c>
      <c r="D222" s="25">
        <f t="shared" ref="D222:Y222" si="129">IF(ISNUMBER(D223),D223,IF(ISNUMBER(D224),D224,IF(ISNUMBER(D225),D225,"…")))</f>
        <v>1698</v>
      </c>
      <c r="E222" s="25">
        <f t="shared" si="129"/>
        <v>2425</v>
      </c>
      <c r="F222" s="25">
        <f t="shared" si="129"/>
        <v>3472</v>
      </c>
      <c r="G222" s="25">
        <f t="shared" si="129"/>
        <v>6938</v>
      </c>
      <c r="H222" s="25">
        <f t="shared" si="129"/>
        <v>6333</v>
      </c>
      <c r="I222" s="25">
        <f t="shared" si="129"/>
        <v>1855</v>
      </c>
      <c r="J222" s="25">
        <f t="shared" si="129"/>
        <v>7141</v>
      </c>
      <c r="K222" s="25">
        <f t="shared" si="129"/>
        <v>11271</v>
      </c>
      <c r="L222" s="25">
        <f t="shared" si="129"/>
        <v>11498</v>
      </c>
      <c r="M222" s="25">
        <f t="shared" si="129"/>
        <v>11671</v>
      </c>
      <c r="N222" s="25">
        <f t="shared" si="129"/>
        <v>12697</v>
      </c>
      <c r="O222" s="25">
        <f t="shared" si="129"/>
        <v>-4069</v>
      </c>
      <c r="P222" s="25">
        <f t="shared" si="129"/>
        <v>7103</v>
      </c>
      <c r="Q222" s="25">
        <f t="shared" si="129"/>
        <v>13818</v>
      </c>
      <c r="R222" s="25">
        <f t="shared" si="129"/>
        <v>13920</v>
      </c>
      <c r="S222" s="25">
        <f t="shared" si="129"/>
        <v>14614</v>
      </c>
      <c r="T222" s="25">
        <f t="shared" si="129"/>
        <v>10210</v>
      </c>
      <c r="U222" s="25">
        <f t="shared" si="129"/>
        <v>18574</v>
      </c>
      <c r="V222" s="25">
        <f t="shared" si="129"/>
        <v>22090.618999999999</v>
      </c>
      <c r="W222" s="25">
        <f t="shared" si="129"/>
        <v>22221</v>
      </c>
      <c r="X222" s="25">
        <f t="shared" si="129"/>
        <v>23652.562999999998</v>
      </c>
      <c r="Y222" s="25">
        <f t="shared" si="129"/>
        <v>25526.2</v>
      </c>
      <c r="Z222" s="25"/>
      <c r="AA222" s="25"/>
      <c r="AG222" s="33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25"/>
      <c r="AZ222" s="5"/>
    </row>
    <row r="223" spans="1:72" hidden="1" outlineLevel="1">
      <c r="C223" s="44" t="s">
        <v>297</v>
      </c>
      <c r="D223" s="25">
        <f t="shared" ref="D223:Y223" si="130">IF(D$8="A",D321,IF(D$8="L","…","…"))</f>
        <v>1698</v>
      </c>
      <c r="E223" s="25">
        <f t="shared" si="130"/>
        <v>2425</v>
      </c>
      <c r="F223" s="25">
        <f t="shared" si="130"/>
        <v>3472</v>
      </c>
      <c r="G223" s="25">
        <f t="shared" si="130"/>
        <v>6938</v>
      </c>
      <c r="H223" s="25">
        <f t="shared" si="130"/>
        <v>6333</v>
      </c>
      <c r="I223" s="25">
        <f t="shared" si="130"/>
        <v>1855</v>
      </c>
      <c r="J223" s="25">
        <f t="shared" si="130"/>
        <v>7141</v>
      </c>
      <c r="K223" s="25">
        <f t="shared" si="130"/>
        <v>11271</v>
      </c>
      <c r="L223" s="25">
        <f t="shared" si="130"/>
        <v>11498</v>
      </c>
      <c r="M223" s="25">
        <f t="shared" si="130"/>
        <v>11671</v>
      </c>
      <c r="N223" s="25">
        <f t="shared" si="130"/>
        <v>12697</v>
      </c>
      <c r="O223" s="25">
        <f t="shared" si="130"/>
        <v>-4069</v>
      </c>
      <c r="P223" s="25">
        <f t="shared" si="130"/>
        <v>7103</v>
      </c>
      <c r="Q223" s="25">
        <f t="shared" si="130"/>
        <v>13818</v>
      </c>
      <c r="R223" s="48">
        <f t="shared" si="130"/>
        <v>13920</v>
      </c>
      <c r="S223" s="48">
        <f t="shared" si="130"/>
        <v>14614</v>
      </c>
      <c r="T223" s="48">
        <f t="shared" si="130"/>
        <v>10210</v>
      </c>
      <c r="U223" s="48">
        <f t="shared" si="130"/>
        <v>18574</v>
      </c>
      <c r="V223" s="48" t="str">
        <f t="shared" si="130"/>
        <v>…</v>
      </c>
      <c r="W223" s="48" t="str">
        <f t="shared" si="130"/>
        <v>…</v>
      </c>
      <c r="X223" s="48" t="str">
        <f t="shared" si="130"/>
        <v>…</v>
      </c>
      <c r="Y223" s="48" t="str">
        <f t="shared" si="130"/>
        <v>…</v>
      </c>
      <c r="Z223" s="48"/>
      <c r="AA223" s="48"/>
      <c r="AG223" s="33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48"/>
      <c r="AZ223" s="5"/>
    </row>
    <row r="224" spans="1:72" s="33" customFormat="1" hidden="1" outlineLevel="1">
      <c r="A224" s="5"/>
      <c r="C224" s="44" t="s">
        <v>356</v>
      </c>
      <c r="D224" s="25" t="str">
        <f>IF(D$8="E",IFERROR(1/(1/(MIN(AD21,AD22))),"…"),"…")</f>
        <v>…</v>
      </c>
      <c r="E224" s="25" t="str">
        <f>IF(E$8="E",IFERROR(1/(1/(MIN(AE21,AE22))),"…"),"…")</f>
        <v>…</v>
      </c>
      <c r="F224" s="25" t="str">
        <f>IF(F$8="E",IFERROR(1/(1/(MIN(AF21,AF22))),"…"),"…")</f>
        <v>…</v>
      </c>
      <c r="G224" s="25" t="str">
        <f>IF(G$8="E",IFERROR(1/(1/(MIN(AG21,AG22))),"…"),"…")</f>
        <v>…</v>
      </c>
      <c r="H224" s="25" t="str">
        <f>IF(H$8="E",IFERROR(1/(1/(MIN(AH21,AH22))),"…"),"…")</f>
        <v>…</v>
      </c>
      <c r="I224" s="60" t="str">
        <f>IF(F$8="E",IFERROR(1/(1/(MIN(AF21,AF22))),"…"),"…")</f>
        <v>…</v>
      </c>
      <c r="J224" s="60" t="str">
        <f>IF(G$8="E",IFERROR(1/(1/(MIN(AG21,AG22))),"…"),"…")</f>
        <v>…</v>
      </c>
      <c r="K224" s="60" t="str">
        <f>IF(H$8="E",IFERROR(1/(1/(MIN(AH21,AH22))),"…"),"…")</f>
        <v>…</v>
      </c>
      <c r="L224" s="60" t="str">
        <f>IF(I$8="E",IFERROR(1/(1/(MIN(AI21,AI22))),"…"),"…")</f>
        <v>…</v>
      </c>
      <c r="M224" s="60" t="str">
        <f>IF(M$8="E",IFERROR(1/(1/(MIN(AJ21,AJ22))),"…"),"…")</f>
        <v>…</v>
      </c>
      <c r="N224" s="60" t="str">
        <f>IF(N$8="E",IFERROR(1/(1/(MIN(AK21,AK22))),"…"),"…")</f>
        <v>…</v>
      </c>
      <c r="O224" s="60" t="str">
        <f>IF(O$8="E",IFERROR(1/(1/(MIN(AL21,AL22))),"…"),"…")</f>
        <v>…</v>
      </c>
      <c r="P224" s="60" t="str">
        <f>IF(P$8="E",IFERROR(1/(1/(MIN(AM21,AM22))),"…"),"…")</f>
        <v>…</v>
      </c>
      <c r="Q224" s="60" t="str">
        <f t="shared" ref="Q224:Y224" si="131">IF(Q$8="E",IFERROR(1/(1/(MIN(AO21,AO22))),"…"),"…")</f>
        <v>…</v>
      </c>
      <c r="R224" s="60" t="str">
        <f t="shared" si="131"/>
        <v>…</v>
      </c>
      <c r="S224" s="60" t="str">
        <f t="shared" si="131"/>
        <v>…</v>
      </c>
      <c r="T224" s="60" t="str">
        <f t="shared" si="131"/>
        <v>…</v>
      </c>
      <c r="U224" s="60" t="str">
        <f t="shared" si="131"/>
        <v>…</v>
      </c>
      <c r="V224" s="60">
        <f t="shared" si="131"/>
        <v>22090.618999999999</v>
      </c>
      <c r="W224" s="60">
        <f t="shared" si="131"/>
        <v>22221</v>
      </c>
      <c r="X224" s="60">
        <f t="shared" si="131"/>
        <v>23652.562999999998</v>
      </c>
      <c r="Y224" s="60">
        <f t="shared" si="131"/>
        <v>25526.2</v>
      </c>
      <c r="Z224" s="60"/>
      <c r="AA224" s="60"/>
      <c r="AY224" s="60"/>
    </row>
    <row r="225" spans="1:54" s="33" customFormat="1" hidden="1" outlineLevel="1">
      <c r="A225" s="5"/>
      <c r="C225" s="44" t="s">
        <v>365</v>
      </c>
      <c r="D225" s="25">
        <f t="shared" ref="D225:T225" si="132">IFERROR(D153-D162-D190,"…")</f>
        <v>5037</v>
      </c>
      <c r="E225" s="25">
        <f t="shared" si="132"/>
        <v>4372</v>
      </c>
      <c r="F225" s="25">
        <f t="shared" si="132"/>
        <v>5520</v>
      </c>
      <c r="G225" s="25">
        <f t="shared" si="132"/>
        <v>9577</v>
      </c>
      <c r="H225" s="25">
        <f t="shared" si="132"/>
        <v>8525</v>
      </c>
      <c r="I225" s="25">
        <f t="shared" si="132"/>
        <v>4402</v>
      </c>
      <c r="J225" s="25">
        <f t="shared" si="132"/>
        <v>10600</v>
      </c>
      <c r="K225" s="25">
        <f t="shared" si="132"/>
        <v>14523</v>
      </c>
      <c r="L225" s="25">
        <f t="shared" si="132"/>
        <v>15126</v>
      </c>
      <c r="M225" s="25">
        <f t="shared" si="132"/>
        <v>16043</v>
      </c>
      <c r="N225" s="25">
        <f t="shared" si="132"/>
        <v>17970</v>
      </c>
      <c r="O225" s="25">
        <f t="shared" si="132"/>
        <v>-1589</v>
      </c>
      <c r="P225" s="25">
        <f t="shared" si="132"/>
        <v>8341</v>
      </c>
      <c r="Q225" s="25">
        <f t="shared" si="132"/>
        <v>14906</v>
      </c>
      <c r="R225" s="25">
        <f t="shared" si="132"/>
        <v>14800</v>
      </c>
      <c r="S225" s="25">
        <f t="shared" si="132"/>
        <v>14613</v>
      </c>
      <c r="T225" s="25">
        <f t="shared" si="132"/>
        <v>10210</v>
      </c>
      <c r="U225" s="25">
        <f>IFERROR(U153-U162-U190,"…")</f>
        <v>17484</v>
      </c>
      <c r="V225" s="25">
        <f>IFERROR(V153-V162-V190,"…")</f>
        <v>13246.712107892668</v>
      </c>
      <c r="W225" s="25">
        <f>IFERROR(W153-W162-W190,"…")</f>
        <v>16183.007216122636</v>
      </c>
      <c r="X225" s="25">
        <f>IFERROR(X153-X162-X190,"…")</f>
        <v>18314.53643276939</v>
      </c>
      <c r="Y225" s="25">
        <f>IFERROR(Y153-Y162-Y190,"…")</f>
        <v>23365.368460293612</v>
      </c>
      <c r="Z225" s="25"/>
      <c r="AA225" s="25"/>
      <c r="AY225" s="25"/>
    </row>
    <row r="226" spans="1:54" hidden="1" outlineLevel="1">
      <c r="C226" s="38"/>
      <c r="D226" s="34"/>
      <c r="E226" s="34"/>
      <c r="F226" s="34"/>
      <c r="G226" s="34"/>
      <c r="H226" s="34"/>
      <c r="I226" s="3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G226" s="33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4"/>
      <c r="AZ226" s="5"/>
    </row>
    <row r="227" spans="1:54" collapsed="1">
      <c r="C227" s="41" t="s">
        <v>143</v>
      </c>
      <c r="D227" s="36" t="str">
        <f t="shared" ref="D227:Y227" si="133">D281</f>
        <v>…</v>
      </c>
      <c r="E227" s="36" t="str">
        <f t="shared" si="133"/>
        <v>…</v>
      </c>
      <c r="F227" s="36">
        <f t="shared" si="133"/>
        <v>5730.8351999999995</v>
      </c>
      <c r="G227" s="36">
        <f t="shared" si="133"/>
        <v>8504.5832000000009</v>
      </c>
      <c r="H227" s="36">
        <f t="shared" si="133"/>
        <v>8245.1316999999999</v>
      </c>
      <c r="I227" s="36">
        <f t="shared" si="133"/>
        <v>5595.8879999999999</v>
      </c>
      <c r="J227" s="36">
        <f t="shared" si="133"/>
        <v>10398.831899999999</v>
      </c>
      <c r="K227" s="36">
        <f t="shared" si="133"/>
        <v>13376.7073</v>
      </c>
      <c r="L227" s="36">
        <f t="shared" si="133"/>
        <v>15253.3896</v>
      </c>
      <c r="M227" s="36">
        <f t="shared" si="133"/>
        <v>16183.219499999999</v>
      </c>
      <c r="N227" s="36">
        <f t="shared" si="133"/>
        <v>18223.2274</v>
      </c>
      <c r="O227" s="36">
        <f t="shared" si="133"/>
        <v>3711.3068000000003</v>
      </c>
      <c r="P227" s="36">
        <f t="shared" si="133"/>
        <v>10416.9884</v>
      </c>
      <c r="Q227" s="36">
        <f t="shared" si="133"/>
        <v>14967.6178</v>
      </c>
      <c r="R227" s="36">
        <f t="shared" si="133"/>
        <v>14961</v>
      </c>
      <c r="S227" s="36">
        <f t="shared" si="133"/>
        <v>14959.8</v>
      </c>
      <c r="T227" s="36">
        <f t="shared" si="133"/>
        <v>12396</v>
      </c>
      <c r="U227" s="36">
        <f t="shared" si="133"/>
        <v>17818.810799999999</v>
      </c>
      <c r="V227" s="36">
        <f t="shared" si="133"/>
        <v>12599.735579121241</v>
      </c>
      <c r="W227" s="36">
        <f t="shared" si="133"/>
        <v>14824.615007959372</v>
      </c>
      <c r="X227" s="36">
        <f t="shared" si="133"/>
        <v>15936.735935853356</v>
      </c>
      <c r="Y227" s="36">
        <f t="shared" si="133"/>
        <v>19905.502980093697</v>
      </c>
      <c r="Z227" s="36"/>
      <c r="AA227" s="36"/>
      <c r="AB227" s="31"/>
      <c r="AC227" s="31"/>
      <c r="AE227" s="30"/>
      <c r="AF227" s="30"/>
      <c r="AJ227" s="31"/>
      <c r="AY227" s="36"/>
      <c r="AZ227" s="27"/>
    </row>
    <row r="228" spans="1:54" ht="13.15">
      <c r="C228" s="13"/>
      <c r="D228" s="35"/>
      <c r="E228" s="35"/>
      <c r="F228" s="35"/>
      <c r="G228" s="35"/>
      <c r="H228" s="35"/>
      <c r="I228" s="35"/>
      <c r="J228" s="57"/>
      <c r="K228" s="57"/>
      <c r="L228" s="57"/>
      <c r="M228" s="56"/>
      <c r="N228" s="56"/>
      <c r="O228" s="56"/>
      <c r="P228" s="56"/>
      <c r="Q228" s="56"/>
      <c r="R228" s="56"/>
      <c r="S228" s="56"/>
      <c r="T228" s="56"/>
      <c r="U228" s="56"/>
      <c r="V228" s="56"/>
      <c r="W228" s="56"/>
      <c r="X228" s="56"/>
      <c r="Y228" s="56"/>
      <c r="Z228" s="56"/>
      <c r="AA228" s="56"/>
      <c r="AB228" s="31"/>
      <c r="AC228" s="31"/>
      <c r="AE228" s="30"/>
      <c r="AF228" s="30"/>
      <c r="AJ228" s="31"/>
      <c r="AY228" s="56"/>
      <c r="AZ228" s="27"/>
    </row>
    <row r="229" spans="1:54" hidden="1" outlineLevel="1">
      <c r="C229" s="38" t="s">
        <v>335</v>
      </c>
      <c r="D229" s="36">
        <f t="shared" ref="D229:Y229" si="134">IF(ISNUMBER(D230),D230,IF(ISNUMBER(D231),D231,"…"))</f>
        <v>21872</v>
      </c>
      <c r="E229" s="36">
        <f t="shared" si="134"/>
        <v>24574</v>
      </c>
      <c r="F229" s="36">
        <f t="shared" si="134"/>
        <v>26048</v>
      </c>
      <c r="G229" s="36">
        <f t="shared" si="134"/>
        <v>29666</v>
      </c>
      <c r="H229" s="36">
        <f t="shared" si="134"/>
        <v>28679</v>
      </c>
      <c r="I229" s="36">
        <f t="shared" si="134"/>
        <v>28928</v>
      </c>
      <c r="J229" s="36">
        <f t="shared" si="134"/>
        <v>37047</v>
      </c>
      <c r="K229" s="36">
        <f t="shared" si="134"/>
        <v>52146</v>
      </c>
      <c r="L229" s="36">
        <f t="shared" si="134"/>
        <v>51465</v>
      </c>
      <c r="M229" s="36">
        <f t="shared" si="134"/>
        <v>58639</v>
      </c>
      <c r="N229" s="36">
        <f t="shared" si="134"/>
        <v>65142</v>
      </c>
      <c r="O229" s="36">
        <f t="shared" si="134"/>
        <v>76177</v>
      </c>
      <c r="P229" s="36">
        <f t="shared" si="134"/>
        <v>89053</v>
      </c>
      <c r="Q229" s="36">
        <f t="shared" si="134"/>
        <v>78545</v>
      </c>
      <c r="R229" s="36">
        <f t="shared" si="134"/>
        <v>78211</v>
      </c>
      <c r="S229" s="36">
        <f t="shared" si="134"/>
        <v>80012</v>
      </c>
      <c r="T229" s="36">
        <f t="shared" si="134"/>
        <v>76761</v>
      </c>
      <c r="U229" s="36">
        <f t="shared" si="134"/>
        <v>85809</v>
      </c>
      <c r="V229" s="36">
        <f t="shared" si="134"/>
        <v>94769.316894669479</v>
      </c>
      <c r="W229" s="36">
        <f t="shared" si="134"/>
        <v>98262.154445295426</v>
      </c>
      <c r="X229" s="36">
        <f t="shared" si="134"/>
        <v>100264.58107349515</v>
      </c>
      <c r="Y229" s="36">
        <f t="shared" si="134"/>
        <v>104915.3832554307</v>
      </c>
      <c r="Z229" s="36"/>
      <c r="AA229" s="36"/>
      <c r="AB229" s="23"/>
      <c r="AC229" s="23"/>
      <c r="AY229" s="36"/>
    </row>
    <row r="230" spans="1:54" hidden="1" outlineLevel="2">
      <c r="C230" s="43" t="s">
        <v>354</v>
      </c>
      <c r="D230" s="36">
        <f t="shared" ref="D230:Y230" si="135">IF(D$8="A",D307,IF(D$8="L","…","…"))</f>
        <v>21872</v>
      </c>
      <c r="E230" s="36">
        <f t="shared" si="135"/>
        <v>24574</v>
      </c>
      <c r="F230" s="36">
        <f t="shared" si="135"/>
        <v>26048</v>
      </c>
      <c r="G230" s="36">
        <f t="shared" si="135"/>
        <v>29666</v>
      </c>
      <c r="H230" s="36">
        <f t="shared" si="135"/>
        <v>28679</v>
      </c>
      <c r="I230" s="36">
        <f t="shared" si="135"/>
        <v>28928</v>
      </c>
      <c r="J230" s="36">
        <f t="shared" si="135"/>
        <v>37047</v>
      </c>
      <c r="K230" s="36">
        <f t="shared" si="135"/>
        <v>52146</v>
      </c>
      <c r="L230" s="36">
        <f t="shared" si="135"/>
        <v>51465</v>
      </c>
      <c r="M230" s="55">
        <f t="shared" si="135"/>
        <v>58639</v>
      </c>
      <c r="N230" s="55">
        <f t="shared" si="135"/>
        <v>65142</v>
      </c>
      <c r="O230" s="55">
        <f t="shared" si="135"/>
        <v>76177</v>
      </c>
      <c r="P230" s="55">
        <f t="shared" si="135"/>
        <v>89053</v>
      </c>
      <c r="Q230" s="55">
        <f t="shared" si="135"/>
        <v>78545</v>
      </c>
      <c r="R230" s="55">
        <f t="shared" si="135"/>
        <v>78211</v>
      </c>
      <c r="S230" s="55">
        <f t="shared" si="135"/>
        <v>80012</v>
      </c>
      <c r="T230" s="55">
        <f t="shared" si="135"/>
        <v>76761</v>
      </c>
      <c r="U230" s="55">
        <f t="shared" si="135"/>
        <v>85809</v>
      </c>
      <c r="V230" s="55" t="str">
        <f t="shared" si="135"/>
        <v>…</v>
      </c>
      <c r="W230" s="55" t="str">
        <f t="shared" si="135"/>
        <v>…</v>
      </c>
      <c r="X230" s="55" t="str">
        <f t="shared" si="135"/>
        <v>…</v>
      </c>
      <c r="Y230" s="55" t="str">
        <f t="shared" si="135"/>
        <v>…</v>
      </c>
      <c r="Z230" s="55"/>
      <c r="AA230" s="55"/>
      <c r="AB230" s="23"/>
      <c r="AC230" s="23"/>
      <c r="AI230" s="24"/>
      <c r="AY230" s="55"/>
      <c r="BB230" s="33"/>
    </row>
    <row r="231" spans="1:54" hidden="1" outlineLevel="2">
      <c r="C231" s="43" t="s">
        <v>355</v>
      </c>
      <c r="D231" s="36" t="str">
        <f t="shared" ref="D231:Y231" si="136">IF(D$8="E",D140/365*D147,"…")</f>
        <v>…</v>
      </c>
      <c r="E231" s="36" t="str">
        <f t="shared" si="136"/>
        <v>…</v>
      </c>
      <c r="F231" s="36" t="str">
        <f t="shared" si="136"/>
        <v>…</v>
      </c>
      <c r="G231" s="36" t="str">
        <f t="shared" si="136"/>
        <v>…</v>
      </c>
      <c r="H231" s="36" t="str">
        <f t="shared" si="136"/>
        <v>…</v>
      </c>
      <c r="I231" s="36" t="str">
        <f t="shared" si="136"/>
        <v>…</v>
      </c>
      <c r="J231" s="36" t="str">
        <f t="shared" si="136"/>
        <v>…</v>
      </c>
      <c r="K231" s="55" t="str">
        <f t="shared" si="136"/>
        <v>…</v>
      </c>
      <c r="L231" s="55" t="str">
        <f t="shared" si="136"/>
        <v>…</v>
      </c>
      <c r="M231" s="55" t="str">
        <f t="shared" si="136"/>
        <v>…</v>
      </c>
      <c r="N231" s="55" t="str">
        <f t="shared" si="136"/>
        <v>…</v>
      </c>
      <c r="O231" s="55" t="str">
        <f t="shared" si="136"/>
        <v>…</v>
      </c>
      <c r="P231" s="55" t="str">
        <f t="shared" si="136"/>
        <v>…</v>
      </c>
      <c r="Q231" s="55" t="str">
        <f t="shared" si="136"/>
        <v>…</v>
      </c>
      <c r="R231" s="55" t="str">
        <f t="shared" si="136"/>
        <v>…</v>
      </c>
      <c r="S231" s="55" t="str">
        <f t="shared" si="136"/>
        <v>…</v>
      </c>
      <c r="T231" s="55" t="str">
        <f t="shared" si="136"/>
        <v>…</v>
      </c>
      <c r="U231" s="55" t="str">
        <f t="shared" si="136"/>
        <v>…</v>
      </c>
      <c r="V231" s="55">
        <f t="shared" si="136"/>
        <v>94769.316894669479</v>
      </c>
      <c r="W231" s="55">
        <f t="shared" si="136"/>
        <v>98262.154445295426</v>
      </c>
      <c r="X231" s="55">
        <f t="shared" si="136"/>
        <v>100264.58107349515</v>
      </c>
      <c r="Y231" s="55">
        <f t="shared" si="136"/>
        <v>104915.3832554307</v>
      </c>
      <c r="Z231" s="55"/>
      <c r="AA231" s="55"/>
      <c r="AB231" s="23"/>
      <c r="AC231" s="23"/>
      <c r="AI231" s="24"/>
      <c r="AY231" s="55"/>
      <c r="BB231" s="33"/>
    </row>
    <row r="232" spans="1:54" hidden="1" outlineLevel="1">
      <c r="C232" s="38" t="s">
        <v>204</v>
      </c>
      <c r="D232" s="54">
        <f t="shared" ref="D232:R232" si="137">IF(D$8="A",D260-D245,IF(D$8="L","…",IF(D$8="E",SUM(D260),"…")))</f>
        <v>94620</v>
      </c>
      <c r="E232" s="54">
        <f t="shared" si="137"/>
        <v>100160</v>
      </c>
      <c r="F232" s="54">
        <f t="shared" si="137"/>
        <v>100786</v>
      </c>
      <c r="G232" s="54">
        <f t="shared" si="137"/>
        <v>107723</v>
      </c>
      <c r="H232" s="54">
        <f t="shared" si="137"/>
        <v>126590</v>
      </c>
      <c r="I232" s="54">
        <f t="shared" si="137"/>
        <v>123250</v>
      </c>
      <c r="J232" s="54">
        <f t="shared" si="137"/>
        <v>144654</v>
      </c>
      <c r="K232" s="54">
        <f t="shared" si="137"/>
        <v>192688</v>
      </c>
      <c r="L232" s="54">
        <f t="shared" si="137"/>
        <v>240812</v>
      </c>
      <c r="M232" s="54">
        <f t="shared" si="137"/>
        <v>249530</v>
      </c>
      <c r="N232" s="54">
        <f t="shared" si="137"/>
        <v>273724</v>
      </c>
      <c r="O232" s="54">
        <f t="shared" si="137"/>
        <v>361137.99999999994</v>
      </c>
      <c r="P232" s="54">
        <f t="shared" si="137"/>
        <v>395495.00000000006</v>
      </c>
      <c r="Q232" s="54">
        <f t="shared" si="137"/>
        <v>409006.00000000006</v>
      </c>
      <c r="R232" s="54">
        <f t="shared" si="137"/>
        <v>434807</v>
      </c>
      <c r="S232" s="54">
        <f t="shared" ref="S232:Y232" si="138">IF(S$8="A",S260-S245,IF(S$8="L","…",IF(S$8="E",SUM(S260),"…")))</f>
        <v>380121.99999999994</v>
      </c>
      <c r="T232" s="54">
        <f t="shared" si="138"/>
        <v>385970</v>
      </c>
      <c r="U232" s="54">
        <f t="shared" si="138"/>
        <v>411306</v>
      </c>
      <c r="V232" s="54">
        <f t="shared" si="138"/>
        <v>412617.67572168162</v>
      </c>
      <c r="W232" s="54">
        <f t="shared" si="138"/>
        <v>407214.6251353054</v>
      </c>
      <c r="X232" s="54">
        <f t="shared" si="138"/>
        <v>401357.57638374309</v>
      </c>
      <c r="Y232" s="54">
        <f t="shared" si="138"/>
        <v>401638.61857497657</v>
      </c>
      <c r="Z232" s="54"/>
      <c r="AA232" s="54"/>
      <c r="AB232" s="5"/>
      <c r="AC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4"/>
      <c r="AZ232" s="5"/>
    </row>
    <row r="233" spans="1:54" s="33" customFormat="1" hidden="1" outlineLevel="1">
      <c r="A233" s="5"/>
      <c r="B233" s="5"/>
      <c r="C233" s="38" t="s">
        <v>206</v>
      </c>
      <c r="D233" s="54">
        <f t="shared" ref="D233:Y233" si="139">IF(D$8="A",D147*3%,IF(D$8="L","…",IF(D$8="E",IFERROR(D147*3%,"…"),"…")))</f>
        <v>2668.89</v>
      </c>
      <c r="E233" s="54">
        <f t="shared" si="139"/>
        <v>2858.04</v>
      </c>
      <c r="F233" s="54">
        <f t="shared" si="139"/>
        <v>3146.25</v>
      </c>
      <c r="G233" s="54">
        <f t="shared" si="139"/>
        <v>3266.91</v>
      </c>
      <c r="H233" s="54">
        <f t="shared" si="139"/>
        <v>3414.24</v>
      </c>
      <c r="I233" s="54">
        <f t="shared" si="139"/>
        <v>3155.6099999999997</v>
      </c>
      <c r="J233" s="54">
        <f t="shared" si="139"/>
        <v>3806.25</v>
      </c>
      <c r="K233" s="54">
        <f t="shared" si="139"/>
        <v>4780.1099999999997</v>
      </c>
      <c r="L233" s="54">
        <f t="shared" si="139"/>
        <v>5780.28</v>
      </c>
      <c r="M233" s="54">
        <f t="shared" si="139"/>
        <v>5910.21</v>
      </c>
      <c r="N233" s="54">
        <f t="shared" si="139"/>
        <v>6073.74</v>
      </c>
      <c r="O233" s="54">
        <f t="shared" si="139"/>
        <v>6398.7599999999993</v>
      </c>
      <c r="P233" s="54">
        <f t="shared" si="139"/>
        <v>6518.0099999999993</v>
      </c>
      <c r="Q233" s="54">
        <f t="shared" si="139"/>
        <v>6920.46</v>
      </c>
      <c r="R233" s="54">
        <f t="shared" si="139"/>
        <v>7075.4699999999993</v>
      </c>
      <c r="S233" s="54">
        <f t="shared" si="139"/>
        <v>7578.96</v>
      </c>
      <c r="T233" s="54">
        <f t="shared" si="139"/>
        <v>6686.5199999999995</v>
      </c>
      <c r="U233" s="54">
        <f t="shared" si="139"/>
        <v>7506</v>
      </c>
      <c r="V233" s="54">
        <f t="shared" si="139"/>
        <v>8345.1209999999992</v>
      </c>
      <c r="W233" s="54">
        <f t="shared" si="139"/>
        <v>8710.8329999999987</v>
      </c>
      <c r="X233" s="54">
        <f t="shared" si="139"/>
        <v>8948.475989999999</v>
      </c>
      <c r="Y233" s="54">
        <f t="shared" si="139"/>
        <v>9427.3299899999984</v>
      </c>
      <c r="Z233" s="54"/>
      <c r="AA233" s="54"/>
      <c r="AB233" s="20"/>
      <c r="AC233" s="20"/>
      <c r="AD233" s="5"/>
      <c r="AE233" s="5"/>
      <c r="AF233" s="5"/>
      <c r="AG233" s="5"/>
      <c r="AH233" s="5"/>
      <c r="AI233" s="24"/>
      <c r="AJ233" s="22"/>
      <c r="AK233" s="23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54"/>
      <c r="AZ233" s="24"/>
      <c r="BA233" s="5"/>
    </row>
    <row r="234" spans="1:54" s="33" customFormat="1" collapsed="1">
      <c r="A234" s="5"/>
      <c r="B234" s="5"/>
      <c r="C234" s="5" t="s">
        <v>207</v>
      </c>
      <c r="D234" s="36">
        <f t="shared" ref="D234:Y234" si="140">IFERROR(D232-(D229)+D233,"…")</f>
        <v>75416.89</v>
      </c>
      <c r="E234" s="36">
        <f t="shared" si="140"/>
        <v>78444.039999999994</v>
      </c>
      <c r="F234" s="36">
        <f t="shared" si="140"/>
        <v>77884.25</v>
      </c>
      <c r="G234" s="36">
        <f t="shared" si="140"/>
        <v>81323.91</v>
      </c>
      <c r="H234" s="36">
        <f t="shared" si="140"/>
        <v>101325.24</v>
      </c>
      <c r="I234" s="36">
        <f t="shared" si="140"/>
        <v>97477.61</v>
      </c>
      <c r="J234" s="36">
        <f t="shared" si="140"/>
        <v>111413.25</v>
      </c>
      <c r="K234" s="36">
        <f t="shared" si="140"/>
        <v>145322.10999999999</v>
      </c>
      <c r="L234" s="36">
        <f t="shared" si="140"/>
        <v>195127.28</v>
      </c>
      <c r="M234" s="36">
        <f t="shared" si="140"/>
        <v>196801.21</v>
      </c>
      <c r="N234" s="36">
        <f t="shared" si="140"/>
        <v>214655.74</v>
      </c>
      <c r="O234" s="36">
        <f t="shared" si="140"/>
        <v>291359.75999999995</v>
      </c>
      <c r="P234" s="36">
        <f t="shared" si="140"/>
        <v>312960.01000000007</v>
      </c>
      <c r="Q234" s="36">
        <f t="shared" si="140"/>
        <v>337381.46000000008</v>
      </c>
      <c r="R234" s="36">
        <f t="shared" si="140"/>
        <v>363671.47</v>
      </c>
      <c r="S234" s="36">
        <f t="shared" si="140"/>
        <v>307688.95999999996</v>
      </c>
      <c r="T234" s="36">
        <f t="shared" si="140"/>
        <v>315895.52</v>
      </c>
      <c r="U234" s="36">
        <f t="shared" si="140"/>
        <v>333003</v>
      </c>
      <c r="V234" s="36">
        <f t="shared" si="140"/>
        <v>326193.47982701211</v>
      </c>
      <c r="W234" s="36">
        <f t="shared" si="140"/>
        <v>317663.30369000998</v>
      </c>
      <c r="X234" s="36">
        <f t="shared" si="140"/>
        <v>310041.47130024794</v>
      </c>
      <c r="Y234" s="36">
        <f t="shared" si="140"/>
        <v>306150.56530954584</v>
      </c>
      <c r="Z234" s="36"/>
      <c r="AA234" s="36"/>
      <c r="AB234" s="25"/>
      <c r="AC234" s="25"/>
      <c r="AD234" s="24"/>
      <c r="AE234" s="5"/>
      <c r="AF234" s="5"/>
      <c r="AG234" s="5"/>
      <c r="AI234" s="24"/>
      <c r="AJ234" s="22"/>
      <c r="AK234" s="23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36"/>
      <c r="AZ234" s="24"/>
      <c r="BA234" s="5"/>
    </row>
    <row r="235" spans="1:54" s="33" customFormat="1">
      <c r="A235" s="5"/>
      <c r="B235" s="5"/>
      <c r="C235" s="5" t="s">
        <v>210</v>
      </c>
      <c r="D235" s="36">
        <f t="shared" ref="D235:Y235" si="141">IF(ISNUMBER(D234-(D258)),D234-(D258),"…")</f>
        <v>65282.89</v>
      </c>
      <c r="E235" s="36">
        <f t="shared" si="141"/>
        <v>67021.039999999994</v>
      </c>
      <c r="F235" s="36">
        <f t="shared" si="141"/>
        <v>62469.25</v>
      </c>
      <c r="G235" s="36">
        <f t="shared" si="141"/>
        <v>63256.91</v>
      </c>
      <c r="H235" s="36">
        <f t="shared" si="141"/>
        <v>87255.24</v>
      </c>
      <c r="I235" s="36">
        <f t="shared" si="141"/>
        <v>80206.61</v>
      </c>
      <c r="J235" s="36">
        <f t="shared" si="141"/>
        <v>87496.25</v>
      </c>
      <c r="K235" s="36">
        <f t="shared" si="141"/>
        <v>119545.10999999999</v>
      </c>
      <c r="L235" s="36">
        <f t="shared" si="141"/>
        <v>168679.28</v>
      </c>
      <c r="M235" s="36">
        <f t="shared" si="141"/>
        <v>170812.21</v>
      </c>
      <c r="N235" s="36">
        <f t="shared" si="141"/>
        <v>184359.74</v>
      </c>
      <c r="O235" s="36">
        <f t="shared" si="141"/>
        <v>255474.75999999995</v>
      </c>
      <c r="P235" s="36">
        <f t="shared" si="141"/>
        <v>261884.01000000007</v>
      </c>
      <c r="Q235" s="36">
        <f t="shared" si="141"/>
        <v>287976.46000000008</v>
      </c>
      <c r="R235" s="36">
        <f t="shared" si="141"/>
        <v>313967.46999999997</v>
      </c>
      <c r="S235" s="36">
        <f t="shared" si="141"/>
        <v>256363.95999999996</v>
      </c>
      <c r="T235" s="36">
        <f t="shared" si="141"/>
        <v>255203.52000000002</v>
      </c>
      <c r="U235" s="36">
        <f t="shared" si="141"/>
        <v>263766</v>
      </c>
      <c r="V235" s="36">
        <f t="shared" si="141"/>
        <v>256956.47982701211</v>
      </c>
      <c r="W235" s="36">
        <f t="shared" si="141"/>
        <v>248426.30369000998</v>
      </c>
      <c r="X235" s="36">
        <f t="shared" si="141"/>
        <v>240804.47130024794</v>
      </c>
      <c r="Y235" s="36">
        <f t="shared" si="141"/>
        <v>236913.56530954584</v>
      </c>
      <c r="Z235" s="36"/>
      <c r="AA235" s="36"/>
      <c r="AB235" s="20"/>
      <c r="AC235" s="20"/>
      <c r="AD235" s="5"/>
      <c r="AE235" s="5"/>
      <c r="AF235" s="5"/>
      <c r="AG235" s="5"/>
      <c r="AH235" s="5"/>
      <c r="AI235" s="24"/>
      <c r="AJ235" s="22"/>
      <c r="AK235" s="23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36"/>
      <c r="AZ235" s="24"/>
      <c r="BA235" s="5"/>
    </row>
    <row r="236" spans="1:54" s="33" customFormat="1">
      <c r="A236" s="5"/>
      <c r="B236" s="5"/>
      <c r="C236" s="5" t="s">
        <v>211</v>
      </c>
      <c r="D236" s="25">
        <f t="shared" ref="D236:R236" si="142">IF(ISNUMBER(D235-(SUM(D254))),D235-(SUM(D254)),"…")</f>
        <v>65057.89</v>
      </c>
      <c r="E236" s="25">
        <f t="shared" si="142"/>
        <v>66783.039999999994</v>
      </c>
      <c r="F236" s="36">
        <f t="shared" si="142"/>
        <v>62274.25</v>
      </c>
      <c r="G236" s="36">
        <f t="shared" si="142"/>
        <v>63055.91</v>
      </c>
      <c r="H236" s="36">
        <f t="shared" si="142"/>
        <v>84484.24</v>
      </c>
      <c r="I236" s="36">
        <f t="shared" si="142"/>
        <v>77277.61</v>
      </c>
      <c r="J236" s="36">
        <f t="shared" si="142"/>
        <v>84086.25</v>
      </c>
      <c r="K236" s="36">
        <f t="shared" si="142"/>
        <v>115211.10999999999</v>
      </c>
      <c r="L236" s="36">
        <f t="shared" si="142"/>
        <v>144790.28</v>
      </c>
      <c r="M236" s="36">
        <f t="shared" si="142"/>
        <v>147082.21</v>
      </c>
      <c r="N236" s="36">
        <f t="shared" si="142"/>
        <v>160782.74</v>
      </c>
      <c r="O236" s="36">
        <f t="shared" si="142"/>
        <v>231828.75999999995</v>
      </c>
      <c r="P236" s="36">
        <f>IF(ISNUMBER(P235-(SUM(P254))),P235-(SUM(P254)),"…")</f>
        <v>238325.01000000007</v>
      </c>
      <c r="Q236" s="36">
        <f t="shared" si="142"/>
        <v>264534.46000000008</v>
      </c>
      <c r="R236" s="36">
        <f t="shared" si="142"/>
        <v>290650.46999999997</v>
      </c>
      <c r="S236" s="36">
        <f t="shared" ref="S236:Y236" si="143">IF(ISNUMBER(S235-(SUM(S254))),S235-(SUM(S254)),"…")</f>
        <v>233116.95999999996</v>
      </c>
      <c r="T236" s="36">
        <f t="shared" si="143"/>
        <v>231885.52000000002</v>
      </c>
      <c r="U236" s="36">
        <f t="shared" si="143"/>
        <v>237592</v>
      </c>
      <c r="V236" s="36">
        <f t="shared" si="143"/>
        <v>230782.47982701211</v>
      </c>
      <c r="W236" s="36">
        <f t="shared" si="143"/>
        <v>222252.30369000998</v>
      </c>
      <c r="X236" s="36">
        <f t="shared" si="143"/>
        <v>214630.47130024794</v>
      </c>
      <c r="Y236" s="36">
        <f t="shared" si="143"/>
        <v>210739.56530954584</v>
      </c>
      <c r="Z236" s="36"/>
      <c r="AA236" s="36"/>
      <c r="AB236" s="20"/>
      <c r="AC236" s="20"/>
      <c r="AD236" s="5"/>
      <c r="AE236" s="5"/>
      <c r="AF236" s="5"/>
      <c r="AG236" s="5"/>
      <c r="AH236" s="5"/>
      <c r="AI236" s="24"/>
      <c r="AJ236" s="22"/>
      <c r="AK236" s="23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36"/>
      <c r="AZ236" s="24"/>
      <c r="BA236" s="5"/>
    </row>
    <row r="237" spans="1:54"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31"/>
      <c r="AC237" s="31"/>
      <c r="AE237" s="30"/>
      <c r="AF237" s="30"/>
      <c r="AJ237" s="31"/>
      <c r="AY237" s="5"/>
      <c r="AZ237" s="27"/>
    </row>
    <row r="238" spans="1:54"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31"/>
      <c r="AC238" s="31"/>
      <c r="AE238" s="30"/>
      <c r="AF238" s="30"/>
      <c r="AJ238" s="31"/>
      <c r="AY238" s="5"/>
      <c r="AZ238" s="27"/>
    </row>
    <row r="239" spans="1:54"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112"/>
      <c r="O239" s="112"/>
      <c r="P239" s="112"/>
      <c r="Q239" s="112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23"/>
      <c r="AC239" s="23"/>
      <c r="AI239" s="24"/>
      <c r="AY239" s="5"/>
      <c r="BB239" s="33"/>
    </row>
    <row r="240" spans="1:54" ht="13.15">
      <c r="C240" s="12" t="s">
        <v>319</v>
      </c>
      <c r="D240" s="5"/>
      <c r="E240" s="5"/>
      <c r="F240" s="5"/>
      <c r="G240" s="5"/>
      <c r="H240" s="5"/>
      <c r="I240" s="5"/>
      <c r="J240" s="5"/>
      <c r="K240" s="37"/>
      <c r="L240" s="37"/>
      <c r="M240" s="37"/>
      <c r="N240" s="37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23"/>
      <c r="AC240" s="23"/>
      <c r="AI240" s="24"/>
      <c r="AY240" s="5"/>
      <c r="BB240" s="33"/>
    </row>
    <row r="241" spans="1:70" ht="13.15">
      <c r="A241" s="5" t="s">
        <v>316</v>
      </c>
      <c r="C241" s="12" t="s">
        <v>317</v>
      </c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23"/>
      <c r="AC241" s="23"/>
      <c r="AI241" s="24"/>
      <c r="AY241" s="5"/>
      <c r="BB241" s="33"/>
    </row>
    <row r="242" spans="1:70">
      <c r="C242" s="38" t="s">
        <v>320</v>
      </c>
      <c r="D242" s="36">
        <f t="shared" ref="D242:Y242" si="144">IF(ISNUMBER(D243),D243,IF(ISNUMBER(D244),D244,"…"))</f>
        <v>42237</v>
      </c>
      <c r="E242" s="36">
        <f t="shared" si="144"/>
        <v>45866</v>
      </c>
      <c r="F242" s="36">
        <f t="shared" si="144"/>
        <v>46771</v>
      </c>
      <c r="G242" s="36">
        <f t="shared" si="144"/>
        <v>51789</v>
      </c>
      <c r="H242" s="36">
        <f t="shared" si="144"/>
        <v>62919</v>
      </c>
      <c r="I242" s="36">
        <f t="shared" si="144"/>
        <v>53908</v>
      </c>
      <c r="J242" s="36">
        <f t="shared" si="144"/>
        <v>61765</v>
      </c>
      <c r="K242" s="36">
        <f t="shared" si="144"/>
        <v>81203</v>
      </c>
      <c r="L242" s="36">
        <f t="shared" si="144"/>
        <v>87140</v>
      </c>
      <c r="M242" s="36">
        <f t="shared" si="144"/>
        <v>90522</v>
      </c>
      <c r="N242" s="36">
        <f t="shared" si="144"/>
        <v>101119</v>
      </c>
      <c r="O242" s="36">
        <f t="shared" si="144"/>
        <v>109508</v>
      </c>
      <c r="P242" s="36">
        <f t="shared" si="144"/>
        <v>118937</v>
      </c>
      <c r="Q242" s="36">
        <f t="shared" si="144"/>
        <v>125716</v>
      </c>
      <c r="R242" s="36">
        <f t="shared" si="144"/>
        <v>137518</v>
      </c>
      <c r="S242" s="36">
        <f t="shared" si="144"/>
        <v>144771</v>
      </c>
      <c r="T242" s="36">
        <f t="shared" si="144"/>
        <v>139873</v>
      </c>
      <c r="U242" s="36">
        <f t="shared" si="144"/>
        <v>138092</v>
      </c>
      <c r="V242" s="36">
        <f t="shared" si="144"/>
        <v>152538.10359674791</v>
      </c>
      <c r="W242" s="36">
        <f t="shared" si="144"/>
        <v>158187.72565981088</v>
      </c>
      <c r="X242" s="36">
        <f t="shared" si="144"/>
        <v>161439.93146383672</v>
      </c>
      <c r="Y242" s="36">
        <f t="shared" si="144"/>
        <v>168958.69530176988</v>
      </c>
      <c r="Z242" s="36"/>
      <c r="AA242" s="36"/>
      <c r="AB242" s="23"/>
      <c r="AC242" s="23"/>
      <c r="AI242" s="24"/>
      <c r="AY242" s="36"/>
      <c r="BB242" s="33"/>
    </row>
    <row r="243" spans="1:70" hidden="1" outlineLevel="1">
      <c r="C243" s="43" t="s">
        <v>354</v>
      </c>
      <c r="D243" s="36">
        <f t="shared" ref="D243:V243" si="145">IF(D$8="A",IF(D362="…","calc.",D362),"…")</f>
        <v>42237</v>
      </c>
      <c r="E243" s="36">
        <f t="shared" si="145"/>
        <v>45866</v>
      </c>
      <c r="F243" s="36">
        <f t="shared" si="145"/>
        <v>46771</v>
      </c>
      <c r="G243" s="36">
        <f t="shared" si="145"/>
        <v>51789</v>
      </c>
      <c r="H243" s="36">
        <f t="shared" si="145"/>
        <v>62919</v>
      </c>
      <c r="I243" s="36">
        <f t="shared" si="145"/>
        <v>53908</v>
      </c>
      <c r="J243" s="36">
        <f t="shared" si="145"/>
        <v>61765</v>
      </c>
      <c r="K243" s="36">
        <f t="shared" si="145"/>
        <v>81203</v>
      </c>
      <c r="L243" s="36">
        <f t="shared" si="145"/>
        <v>87140</v>
      </c>
      <c r="M243" s="36">
        <f t="shared" si="145"/>
        <v>90522</v>
      </c>
      <c r="N243" s="36">
        <f t="shared" si="145"/>
        <v>101119</v>
      </c>
      <c r="O243" s="36">
        <f t="shared" si="145"/>
        <v>109508</v>
      </c>
      <c r="P243" s="36">
        <f t="shared" si="145"/>
        <v>118937</v>
      </c>
      <c r="Q243" s="36">
        <f t="shared" si="145"/>
        <v>125716</v>
      </c>
      <c r="R243" s="36">
        <f t="shared" si="145"/>
        <v>137518</v>
      </c>
      <c r="S243" s="36">
        <f t="shared" si="145"/>
        <v>144771</v>
      </c>
      <c r="T243" s="36">
        <f t="shared" si="145"/>
        <v>139873</v>
      </c>
      <c r="U243" s="36">
        <f t="shared" si="145"/>
        <v>138092</v>
      </c>
      <c r="V243" s="36" t="str">
        <f t="shared" si="145"/>
        <v>…</v>
      </c>
      <c r="W243" s="36" t="str">
        <f>IF(W$8="A",IF(W362="…","calc.",W362),"…")</f>
        <v>…</v>
      </c>
      <c r="X243" s="36" t="str">
        <f>IF(X$8="A",IF(X362="…","calc.",X362),"…")</f>
        <v>…</v>
      </c>
      <c r="Y243" s="36" t="str">
        <f>IF(Y$8="A",IF(Y362="…","calc.",Y362),"…")</f>
        <v>…</v>
      </c>
      <c r="Z243" s="36"/>
      <c r="AA243" s="36"/>
      <c r="AB243" s="23"/>
      <c r="AC243" s="23"/>
      <c r="AI243" s="24"/>
      <c r="AY243" s="36"/>
      <c r="BB243" s="33"/>
    </row>
    <row r="244" spans="1:70" hidden="1" outlineLevel="1">
      <c r="C244" s="43" t="s">
        <v>355</v>
      </c>
      <c r="D244" s="36" t="str">
        <f t="shared" ref="D244:O244" si="146">IF(D$8="E",IFERROR(D137/365*D147,"…"),"…")</f>
        <v>…</v>
      </c>
      <c r="E244" s="36" t="str">
        <f t="shared" si="146"/>
        <v>…</v>
      </c>
      <c r="F244" s="36" t="str">
        <f t="shared" si="146"/>
        <v>…</v>
      </c>
      <c r="G244" s="36" t="str">
        <f t="shared" si="146"/>
        <v>…</v>
      </c>
      <c r="H244" s="36" t="str">
        <f t="shared" si="146"/>
        <v>…</v>
      </c>
      <c r="I244" s="36" t="str">
        <f t="shared" si="146"/>
        <v>…</v>
      </c>
      <c r="J244" s="36" t="str">
        <f t="shared" si="146"/>
        <v>…</v>
      </c>
      <c r="K244" s="36" t="str">
        <f t="shared" si="146"/>
        <v>…</v>
      </c>
      <c r="L244" s="36" t="str">
        <f t="shared" si="146"/>
        <v>…</v>
      </c>
      <c r="M244" s="36" t="str">
        <f t="shared" si="146"/>
        <v>…</v>
      </c>
      <c r="N244" s="36" t="str">
        <f t="shared" si="146"/>
        <v>…</v>
      </c>
      <c r="O244" s="36" t="str">
        <f t="shared" si="146"/>
        <v>…</v>
      </c>
      <c r="P244" s="36" t="str">
        <f t="shared" ref="P244:V244" si="147">IF(P$8="E",IFERROR(P137/365*P147-P233,"…"),"…")</f>
        <v>…</v>
      </c>
      <c r="Q244" s="36" t="str">
        <f t="shared" si="147"/>
        <v>…</v>
      </c>
      <c r="R244" s="36" t="str">
        <f t="shared" si="147"/>
        <v>…</v>
      </c>
      <c r="S244" s="36" t="str">
        <f t="shared" si="147"/>
        <v>…</v>
      </c>
      <c r="T244" s="36" t="str">
        <f t="shared" si="147"/>
        <v>…</v>
      </c>
      <c r="U244" s="36" t="str">
        <f t="shared" si="147"/>
        <v>…</v>
      </c>
      <c r="V244" s="36">
        <f t="shared" si="147"/>
        <v>152538.10359674791</v>
      </c>
      <c r="W244" s="36">
        <f>IF(W$8="E",IFERROR(W137/365*W147-W233,"…"),"…")</f>
        <v>158187.72565981088</v>
      </c>
      <c r="X244" s="36">
        <f>IF(X$8="E",IFERROR(X137/365*X147-X233,"…"),"…")</f>
        <v>161439.93146383672</v>
      </c>
      <c r="Y244" s="36">
        <f>IF(Y$8="E",IFERROR(Y137/365*Y147-Y233,"…"),"…")</f>
        <v>168958.69530176988</v>
      </c>
      <c r="Z244" s="36"/>
      <c r="AA244" s="36"/>
      <c r="AB244" s="23"/>
      <c r="AC244" s="23"/>
      <c r="AI244" s="24"/>
      <c r="AY244" s="36"/>
      <c r="BB244" s="33"/>
    </row>
    <row r="245" spans="1:70" collapsed="1">
      <c r="C245" s="38" t="s">
        <v>323</v>
      </c>
      <c r="D245" s="36">
        <f t="shared" ref="D245:V245" si="148">IF(D$8="A",IF(D394="…","calc.",D394),"…")</f>
        <v>10221</v>
      </c>
      <c r="E245" s="36">
        <f t="shared" si="148"/>
        <v>7963</v>
      </c>
      <c r="F245" s="36">
        <f t="shared" si="148"/>
        <v>9367</v>
      </c>
      <c r="G245" s="36">
        <f t="shared" si="148"/>
        <v>10112</v>
      </c>
      <c r="H245" s="36">
        <f t="shared" si="148"/>
        <v>9474</v>
      </c>
      <c r="I245" s="36">
        <f t="shared" si="148"/>
        <v>20539</v>
      </c>
      <c r="J245" s="36">
        <f t="shared" si="148"/>
        <v>18670</v>
      </c>
      <c r="K245" s="36">
        <f t="shared" si="148"/>
        <v>18291</v>
      </c>
      <c r="L245" s="36">
        <f t="shared" si="148"/>
        <v>18488</v>
      </c>
      <c r="M245" s="36">
        <f t="shared" si="148"/>
        <v>23178</v>
      </c>
      <c r="N245" s="36">
        <f t="shared" si="148"/>
        <v>19123</v>
      </c>
      <c r="O245" s="36">
        <f t="shared" si="148"/>
        <v>20872</v>
      </c>
      <c r="P245" s="36">
        <f t="shared" si="148"/>
        <v>19265</v>
      </c>
      <c r="Q245" s="36">
        <f t="shared" si="148"/>
        <v>18457</v>
      </c>
      <c r="R245" s="36">
        <f t="shared" si="148"/>
        <v>28938</v>
      </c>
      <c r="S245" s="36">
        <f t="shared" si="148"/>
        <v>25923</v>
      </c>
      <c r="T245" s="36">
        <f t="shared" si="148"/>
        <v>33909</v>
      </c>
      <c r="U245" s="36">
        <f t="shared" si="148"/>
        <v>39723</v>
      </c>
      <c r="V245" s="36" t="str">
        <f t="shared" si="148"/>
        <v>…</v>
      </c>
      <c r="W245" s="36" t="str">
        <f>IF(W$8="A",IF(W394="…","calc.",W394),"…")</f>
        <v>…</v>
      </c>
      <c r="X245" s="36" t="str">
        <f>IF(X$8="A",IF(X394="…","calc.",X394),"…")</f>
        <v>…</v>
      </c>
      <c r="Y245" s="36" t="str">
        <f>IF(Y$8="A",IF(Y394="…","calc.",Y394),"…")</f>
        <v>…</v>
      </c>
      <c r="Z245" s="36"/>
      <c r="AA245" s="36"/>
      <c r="AB245" s="23"/>
      <c r="AC245" s="23"/>
      <c r="AI245" s="24"/>
      <c r="AY245" s="36"/>
      <c r="BB245" s="33"/>
    </row>
    <row r="246" spans="1:70">
      <c r="C246" s="38" t="s">
        <v>328</v>
      </c>
      <c r="D246" s="36">
        <f t="shared" ref="D246:Y246" si="149">IF(D$8="A",D367,IF(D$8="L","…",IF(D8="E",C246-D71-D162,"…")))</f>
        <v>32461</v>
      </c>
      <c r="E246" s="36">
        <f t="shared" si="149"/>
        <v>32933</v>
      </c>
      <c r="F246" s="36">
        <f t="shared" si="149"/>
        <v>28379</v>
      </c>
      <c r="G246" s="36">
        <f t="shared" si="149"/>
        <v>27669</v>
      </c>
      <c r="H246" s="36">
        <f t="shared" si="149"/>
        <v>33160</v>
      </c>
      <c r="I246" s="36">
        <f t="shared" si="149"/>
        <v>24444</v>
      </c>
      <c r="J246" s="36">
        <f t="shared" si="149"/>
        <v>25847</v>
      </c>
      <c r="K246" s="36">
        <f t="shared" si="149"/>
        <v>31876</v>
      </c>
      <c r="L246" s="36">
        <f t="shared" si="149"/>
        <v>39424</v>
      </c>
      <c r="M246" s="36">
        <f t="shared" si="149"/>
        <v>42388</v>
      </c>
      <c r="N246" s="36">
        <f t="shared" si="149"/>
        <v>46169</v>
      </c>
      <c r="O246" s="36">
        <f t="shared" si="149"/>
        <v>83344</v>
      </c>
      <c r="P246" s="36">
        <f t="shared" si="149"/>
        <v>92472</v>
      </c>
      <c r="Q246" s="36">
        <f t="shared" si="149"/>
        <v>94965</v>
      </c>
      <c r="R246" s="36">
        <f t="shared" si="149"/>
        <v>101672</v>
      </c>
      <c r="S246" s="36">
        <f t="shared" si="149"/>
        <v>115090</v>
      </c>
      <c r="T246" s="36">
        <f t="shared" si="149"/>
        <v>114571</v>
      </c>
      <c r="U246" s="36">
        <f t="shared" si="149"/>
        <v>123393</v>
      </c>
      <c r="V246" s="36">
        <f t="shared" si="149"/>
        <v>115822.35890379638</v>
      </c>
      <c r="W246" s="36">
        <f t="shared" si="149"/>
        <v>109843.21385578622</v>
      </c>
      <c r="X246" s="36">
        <f t="shared" si="149"/>
        <v>105260.93007003689</v>
      </c>
      <c r="Y246" s="36">
        <f t="shared" si="149"/>
        <v>101929.30301105096</v>
      </c>
      <c r="Z246" s="36"/>
      <c r="AA246" s="36"/>
      <c r="AY246" s="36"/>
    </row>
    <row r="247" spans="1:70">
      <c r="C247" s="38" t="s">
        <v>329</v>
      </c>
      <c r="D247" s="36">
        <f t="shared" ref="D247:Y247" si="150">IF(D$8="A",D399,IF(D$8="L","…",IF(D$8="E",IFERROR(C247*D147/C147,"…"),"…")))</f>
        <v>0</v>
      </c>
      <c r="E247" s="36">
        <f t="shared" si="150"/>
        <v>0</v>
      </c>
      <c r="F247" s="36">
        <f t="shared" si="150"/>
        <v>0</v>
      </c>
      <c r="G247" s="36">
        <f t="shared" si="150"/>
        <v>0</v>
      </c>
      <c r="H247" s="36">
        <f t="shared" si="150"/>
        <v>0</v>
      </c>
      <c r="I247" s="36">
        <f t="shared" si="150"/>
        <v>0</v>
      </c>
      <c r="J247" s="36">
        <f t="shared" si="150"/>
        <v>0</v>
      </c>
      <c r="K247" s="36">
        <f t="shared" si="150"/>
        <v>0</v>
      </c>
      <c r="L247" s="36">
        <f t="shared" si="150"/>
        <v>0</v>
      </c>
      <c r="M247" s="36">
        <f t="shared" si="150"/>
        <v>0</v>
      </c>
      <c r="N247" s="36">
        <f t="shared" si="150"/>
        <v>0</v>
      </c>
      <c r="O247" s="36">
        <f t="shared" si="150"/>
        <v>63184</v>
      </c>
      <c r="P247" s="36">
        <f t="shared" si="150"/>
        <v>70411</v>
      </c>
      <c r="Q247" s="36">
        <f t="shared" si="150"/>
        <v>75501</v>
      </c>
      <c r="R247" s="36">
        <f t="shared" si="150"/>
        <v>81300</v>
      </c>
      <c r="S247" s="36">
        <f t="shared" si="150"/>
        <v>2722</v>
      </c>
      <c r="T247" s="36">
        <f t="shared" si="150"/>
        <v>2866</v>
      </c>
      <c r="U247" s="36">
        <f t="shared" si="150"/>
        <v>2895</v>
      </c>
      <c r="V247" s="36">
        <f t="shared" si="150"/>
        <v>3218.6417925659471</v>
      </c>
      <c r="W247" s="36">
        <f t="shared" si="150"/>
        <v>3359.6937829736207</v>
      </c>
      <c r="X247" s="36">
        <f t="shared" si="150"/>
        <v>3451.3506516187049</v>
      </c>
      <c r="Y247" s="36">
        <f t="shared" si="150"/>
        <v>3636.0405437050358</v>
      </c>
      <c r="Z247" s="36"/>
      <c r="AA247" s="36"/>
      <c r="AY247" s="36"/>
    </row>
    <row r="248" spans="1:70">
      <c r="C248" s="38" t="s">
        <v>322</v>
      </c>
      <c r="D248" s="36">
        <f>IF(ISNUMBER(D249),D249,IF(ISNUMBER(D250),D250,IF(ISNUMBER(D253),D253,"…")))</f>
        <v>7265</v>
      </c>
      <c r="E248" s="36">
        <f>IF(ISNUMBER(E249),E249,IF(ISNUMBER(E250),E250,IF(ISNUMBER(E253),E253,"…")))</f>
        <v>7430</v>
      </c>
      <c r="F248" s="36">
        <f>IF(ISNUMBER(F249),F249,IF(ISNUMBER(F250),F250,IF(ISNUMBER(F253),F253,"…")))</f>
        <v>6998</v>
      </c>
      <c r="G248" s="36">
        <f>IF(ISNUMBER(G249),G249,IF(ISNUMBER(G250),G250,IF(ISNUMBER(G253),G253,"…")))</f>
        <v>6629</v>
      </c>
      <c r="H248" s="36">
        <f t="shared" ref="H248:Y248" si="151">IF(ISNUMBER(H249),H249,IF(ISNUMBER(H250),H250,IF(ISNUMBER(H253),H253,"…")))</f>
        <v>9520</v>
      </c>
      <c r="I248" s="36">
        <f t="shared" si="151"/>
        <v>9978</v>
      </c>
      <c r="J248" s="36">
        <f t="shared" si="151"/>
        <v>9694</v>
      </c>
      <c r="K248" s="36">
        <f t="shared" si="151"/>
        <v>17842</v>
      </c>
      <c r="L248" s="36">
        <f t="shared" si="151"/>
        <v>35222</v>
      </c>
      <c r="M248" s="36">
        <f t="shared" si="151"/>
        <v>35513</v>
      </c>
      <c r="N248" s="36">
        <f t="shared" si="151"/>
        <v>36358</v>
      </c>
      <c r="O248" s="36">
        <f t="shared" si="151"/>
        <v>37501</v>
      </c>
      <c r="P248" s="36">
        <f t="shared" si="151"/>
        <v>39040</v>
      </c>
      <c r="Q248" s="36">
        <f t="shared" si="151"/>
        <v>39977</v>
      </c>
      <c r="R248" s="36">
        <f t="shared" si="151"/>
        <v>41296</v>
      </c>
      <c r="S248" s="36">
        <f t="shared" si="151"/>
        <v>42967</v>
      </c>
      <c r="T248" s="36">
        <f t="shared" si="151"/>
        <v>44650</v>
      </c>
      <c r="U248" s="36">
        <f t="shared" si="151"/>
        <v>51515</v>
      </c>
      <c r="V248" s="36">
        <f t="shared" si="151"/>
        <v>45627.571428571428</v>
      </c>
      <c r="W248" s="36">
        <f t="shared" si="151"/>
        <v>40412.991836734691</v>
      </c>
      <c r="X248" s="36">
        <f t="shared" si="151"/>
        <v>35794.364198250725</v>
      </c>
      <c r="Y248" s="36">
        <f t="shared" si="151"/>
        <v>31703.579718450641</v>
      </c>
      <c r="Z248" s="36"/>
      <c r="AA248" s="36"/>
      <c r="AB248" s="23"/>
      <c r="AC248" s="23"/>
      <c r="AY248" s="36"/>
    </row>
    <row r="249" spans="1:70" hidden="1" outlineLevel="1">
      <c r="C249" s="43" t="s">
        <v>354</v>
      </c>
      <c r="D249" s="36">
        <f>IF(D$8="A",D287,IF(D$8="L","…","…"))</f>
        <v>7265</v>
      </c>
      <c r="E249" s="36">
        <f>IF(E$8="A",E287,IF(E$8="L","…","…"))</f>
        <v>7430</v>
      </c>
      <c r="F249" s="36">
        <f>IF(F$8="A",F287,IF(F$8="L","…","…"))</f>
        <v>6998</v>
      </c>
      <c r="G249" s="36">
        <f>IF(G$8="A",G287,IF(G$8="L","…","…"))</f>
        <v>6629</v>
      </c>
      <c r="H249" s="36">
        <f t="shared" ref="H249:Q249" si="152">IF(H$8="A",H287,IF(H$8="L","…","…"))</f>
        <v>9520</v>
      </c>
      <c r="I249" s="36">
        <f t="shared" si="152"/>
        <v>9978</v>
      </c>
      <c r="J249" s="36">
        <f t="shared" si="152"/>
        <v>9694</v>
      </c>
      <c r="K249" s="36">
        <f t="shared" si="152"/>
        <v>17842</v>
      </c>
      <c r="L249" s="36">
        <f t="shared" si="152"/>
        <v>35222</v>
      </c>
      <c r="M249" s="36">
        <f t="shared" si="152"/>
        <v>35513</v>
      </c>
      <c r="N249" s="36">
        <f t="shared" si="152"/>
        <v>36358</v>
      </c>
      <c r="O249" s="36">
        <f t="shared" si="152"/>
        <v>37501</v>
      </c>
      <c r="P249" s="36">
        <f t="shared" si="152"/>
        <v>39040</v>
      </c>
      <c r="Q249" s="36">
        <f t="shared" si="152"/>
        <v>39977</v>
      </c>
      <c r="R249" s="36">
        <f>IF(R$8="A",R287,IF(R$8="L","…","…"))</f>
        <v>41296</v>
      </c>
      <c r="S249" s="36">
        <f t="shared" ref="S249:Y249" si="153">IF(S$8="A",S287,IF(S$8="L","…","…"))</f>
        <v>42967</v>
      </c>
      <c r="T249" s="36">
        <f t="shared" si="153"/>
        <v>44650</v>
      </c>
      <c r="U249" s="36">
        <f t="shared" si="153"/>
        <v>51515</v>
      </c>
      <c r="V249" s="36" t="str">
        <f t="shared" si="153"/>
        <v>…</v>
      </c>
      <c r="W249" s="36" t="str">
        <f t="shared" si="153"/>
        <v>…</v>
      </c>
      <c r="X249" s="36" t="str">
        <f t="shared" si="153"/>
        <v>…</v>
      </c>
      <c r="Y249" s="36" t="str">
        <f t="shared" si="153"/>
        <v>…</v>
      </c>
      <c r="Z249" s="36"/>
      <c r="AA249" s="36"/>
      <c r="AB249" s="23"/>
      <c r="AC249" s="23"/>
      <c r="AI249" s="24"/>
      <c r="AY249" s="36"/>
      <c r="BB249" s="33"/>
    </row>
    <row r="250" spans="1:70" hidden="1" outlineLevel="1">
      <c r="C250" s="43" t="s">
        <v>358</v>
      </c>
      <c r="D250" s="36" t="str">
        <f>IF(ISNUMBER(D251),D251,IF(ISNUMBER(D252),D252,"…"))</f>
        <v>…</v>
      </c>
      <c r="E250" s="36">
        <f>IF(ISNUMBER(E251),E251,IF(ISNUMBER(E252),E252,"…"))</f>
        <v>7430</v>
      </c>
      <c r="F250" s="36">
        <f>IF(ISNUMBER(F251),F251,IF(ISNUMBER(F252),F252,"…"))</f>
        <v>6998</v>
      </c>
      <c r="G250" s="36">
        <f>IF(ISNUMBER(G251),G251,IF(ISNUMBER(G252),G252,"…"))</f>
        <v>6629</v>
      </c>
      <c r="H250" s="36">
        <f t="shared" ref="H250:Q250" si="154">IF(ISNUMBER(H251),H251,IF(ISNUMBER(H252),H252,"…"))</f>
        <v>9520</v>
      </c>
      <c r="I250" s="36">
        <f t="shared" si="154"/>
        <v>9978</v>
      </c>
      <c r="J250" s="36">
        <f t="shared" si="154"/>
        <v>9694</v>
      </c>
      <c r="K250" s="36">
        <f t="shared" si="154"/>
        <v>17842</v>
      </c>
      <c r="L250" s="36">
        <f t="shared" si="154"/>
        <v>35222</v>
      </c>
      <c r="M250" s="36">
        <f t="shared" si="154"/>
        <v>35513</v>
      </c>
      <c r="N250" s="36">
        <f t="shared" si="154"/>
        <v>36358</v>
      </c>
      <c r="O250" s="36">
        <f t="shared" si="154"/>
        <v>37501</v>
      </c>
      <c r="P250" s="36">
        <f t="shared" si="154"/>
        <v>39040</v>
      </c>
      <c r="Q250" s="36">
        <f t="shared" si="154"/>
        <v>39977</v>
      </c>
      <c r="R250" s="36">
        <f>IF(ISNUMBER(R251),R251,IF(ISNUMBER(R252),R252,"…"))</f>
        <v>41296</v>
      </c>
      <c r="S250" s="36">
        <f t="shared" ref="S250:Y250" si="155">IF(ISNUMBER(S251),S251,IF(ISNUMBER(S252),S252,"…"))</f>
        <v>42967</v>
      </c>
      <c r="T250" s="36">
        <f t="shared" si="155"/>
        <v>44650</v>
      </c>
      <c r="U250" s="36">
        <f t="shared" si="155"/>
        <v>51515</v>
      </c>
      <c r="V250" s="36" t="str">
        <f t="shared" si="155"/>
        <v>…</v>
      </c>
      <c r="W250" s="36" t="str">
        <f t="shared" si="155"/>
        <v>…</v>
      </c>
      <c r="X250" s="36" t="str">
        <f t="shared" si="155"/>
        <v>…</v>
      </c>
      <c r="Y250" s="36" t="str">
        <f t="shared" si="155"/>
        <v>…</v>
      </c>
      <c r="Z250" s="36"/>
      <c r="AA250" s="36"/>
      <c r="AB250" s="25"/>
      <c r="AC250" s="2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36"/>
      <c r="AZ250" s="5"/>
      <c r="BK250" s="22"/>
      <c r="BL250" s="23"/>
      <c r="BM250" s="22"/>
      <c r="BN250" s="22"/>
      <c r="BO250" s="22"/>
      <c r="BP250" s="22"/>
      <c r="BQ250" s="22"/>
      <c r="BR250" s="24"/>
    </row>
    <row r="251" spans="1:70" hidden="1" outlineLevel="1">
      <c r="C251" s="52" t="s">
        <v>156</v>
      </c>
      <c r="D251" s="36" t="str">
        <f t="shared" ref="D251:Y251" si="156">IF(D$8="A",IFERROR(D267*2-C248,"…"),"…")</f>
        <v>…</v>
      </c>
      <c r="E251" s="36">
        <f t="shared" si="156"/>
        <v>7430</v>
      </c>
      <c r="F251" s="36">
        <f t="shared" si="156"/>
        <v>6998</v>
      </c>
      <c r="G251" s="36">
        <f t="shared" si="156"/>
        <v>6629</v>
      </c>
      <c r="H251" s="36">
        <f t="shared" si="156"/>
        <v>9520</v>
      </c>
      <c r="I251" s="36">
        <f t="shared" si="156"/>
        <v>9978</v>
      </c>
      <c r="J251" s="36">
        <f t="shared" si="156"/>
        <v>9694</v>
      </c>
      <c r="K251" s="36">
        <f t="shared" si="156"/>
        <v>17842</v>
      </c>
      <c r="L251" s="36">
        <f t="shared" si="156"/>
        <v>35222</v>
      </c>
      <c r="M251" s="36">
        <f t="shared" si="156"/>
        <v>35513</v>
      </c>
      <c r="N251" s="36">
        <f t="shared" si="156"/>
        <v>36358</v>
      </c>
      <c r="O251" s="36">
        <f t="shared" si="156"/>
        <v>37501</v>
      </c>
      <c r="P251" s="36">
        <f t="shared" si="156"/>
        <v>39040</v>
      </c>
      <c r="Q251" s="36">
        <f t="shared" si="156"/>
        <v>39977</v>
      </c>
      <c r="R251" s="36">
        <f t="shared" si="156"/>
        <v>41296</v>
      </c>
      <c r="S251" s="36">
        <f t="shared" si="156"/>
        <v>42967</v>
      </c>
      <c r="T251" s="36">
        <f t="shared" si="156"/>
        <v>44650</v>
      </c>
      <c r="U251" s="36">
        <f t="shared" si="156"/>
        <v>51515</v>
      </c>
      <c r="V251" s="36" t="str">
        <f t="shared" si="156"/>
        <v>…</v>
      </c>
      <c r="W251" s="36" t="str">
        <f t="shared" si="156"/>
        <v>…</v>
      </c>
      <c r="X251" s="36" t="str">
        <f t="shared" si="156"/>
        <v>…</v>
      </c>
      <c r="Y251" s="36" t="str">
        <f t="shared" si="156"/>
        <v>…</v>
      </c>
      <c r="Z251" s="36"/>
      <c r="AA251" s="36"/>
      <c r="AB251" s="25"/>
      <c r="AC251" s="2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36"/>
      <c r="AZ251" s="5"/>
      <c r="BK251" s="22"/>
      <c r="BL251" s="23"/>
      <c r="BM251" s="22"/>
      <c r="BN251" s="22"/>
      <c r="BO251" s="22"/>
      <c r="BP251" s="22"/>
      <c r="BQ251" s="22"/>
      <c r="BR251" s="24"/>
    </row>
    <row r="252" spans="1:70" hidden="1" outlineLevel="1">
      <c r="C252" s="52" t="s">
        <v>157</v>
      </c>
      <c r="D252" s="36" t="str">
        <f>IF(D$8="A",IFERROR(C248-D196,"…"),"…")</f>
        <v>…</v>
      </c>
      <c r="E252" s="36">
        <f>IF(E$8="A",IFERROR(D248-E196,"…"),"…")</f>
        <v>5929.5220588235297</v>
      </c>
      <c r="F252" s="36">
        <f>IF(F$8="A",IFERROR(E248-F196,"…"),"…")</f>
        <v>5995.6370656370655</v>
      </c>
      <c r="G252" s="36">
        <f>IF(G$8="A",IFERROR(F248-G196,"…"),"…")</f>
        <v>5537.0396659707721</v>
      </c>
      <c r="H252" s="36">
        <f t="shared" ref="H252:Y252" si="157">IF(H$8="A",IFERROR(H267*2-G249,"…"),"…")</f>
        <v>9520</v>
      </c>
      <c r="I252" s="36">
        <f t="shared" si="157"/>
        <v>9978</v>
      </c>
      <c r="J252" s="36">
        <f t="shared" si="157"/>
        <v>9694</v>
      </c>
      <c r="K252" s="36">
        <f t="shared" si="157"/>
        <v>17842</v>
      </c>
      <c r="L252" s="36">
        <f t="shared" si="157"/>
        <v>35222</v>
      </c>
      <c r="M252" s="36">
        <f t="shared" si="157"/>
        <v>35513</v>
      </c>
      <c r="N252" s="36">
        <f t="shared" si="157"/>
        <v>36358</v>
      </c>
      <c r="O252" s="36">
        <f t="shared" si="157"/>
        <v>37501</v>
      </c>
      <c r="P252" s="36">
        <f t="shared" si="157"/>
        <v>39040</v>
      </c>
      <c r="Q252" s="36">
        <f t="shared" si="157"/>
        <v>39977</v>
      </c>
      <c r="R252" s="36">
        <f t="shared" si="157"/>
        <v>41296</v>
      </c>
      <c r="S252" s="36">
        <f t="shared" si="157"/>
        <v>42967</v>
      </c>
      <c r="T252" s="36">
        <f t="shared" si="157"/>
        <v>44650</v>
      </c>
      <c r="U252" s="36">
        <f t="shared" si="157"/>
        <v>51515</v>
      </c>
      <c r="V252" s="36" t="str">
        <f t="shared" si="157"/>
        <v>…</v>
      </c>
      <c r="W252" s="36" t="str">
        <f t="shared" si="157"/>
        <v>…</v>
      </c>
      <c r="X252" s="36" t="str">
        <f t="shared" si="157"/>
        <v>…</v>
      </c>
      <c r="Y252" s="36" t="str">
        <f t="shared" si="157"/>
        <v>…</v>
      </c>
      <c r="Z252" s="36"/>
      <c r="AA252" s="36"/>
      <c r="AB252" s="25"/>
      <c r="AC252" s="2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36"/>
      <c r="AZ252" s="5"/>
      <c r="BK252" s="22"/>
      <c r="BL252" s="23"/>
      <c r="BM252" s="22"/>
      <c r="BN252" s="22"/>
      <c r="BO252" s="22"/>
      <c r="BP252" s="22"/>
      <c r="BQ252" s="22"/>
      <c r="BR252" s="24"/>
    </row>
    <row r="253" spans="1:70" hidden="1" outlineLevel="1">
      <c r="C253" s="43" t="s">
        <v>355</v>
      </c>
      <c r="D253" s="36" t="str">
        <f t="shared" ref="D253:Y253" si="158">IF(D$8="E",IFERROR(C248-D196-SUM(D93)+SUM(D93)/D200,"…"),"…")</f>
        <v>…</v>
      </c>
      <c r="E253" s="36" t="str">
        <f t="shared" si="158"/>
        <v>…</v>
      </c>
      <c r="F253" s="36" t="str">
        <f t="shared" si="158"/>
        <v>…</v>
      </c>
      <c r="G253" s="36" t="str">
        <f t="shared" si="158"/>
        <v>…</v>
      </c>
      <c r="H253" s="36" t="str">
        <f t="shared" si="158"/>
        <v>…</v>
      </c>
      <c r="I253" s="36" t="str">
        <f t="shared" si="158"/>
        <v>…</v>
      </c>
      <c r="J253" s="36" t="str">
        <f t="shared" si="158"/>
        <v>…</v>
      </c>
      <c r="K253" s="36" t="str">
        <f t="shared" si="158"/>
        <v>…</v>
      </c>
      <c r="L253" s="36" t="str">
        <f t="shared" si="158"/>
        <v>…</v>
      </c>
      <c r="M253" s="36" t="str">
        <f t="shared" si="158"/>
        <v>…</v>
      </c>
      <c r="N253" s="36" t="str">
        <f t="shared" si="158"/>
        <v>…</v>
      </c>
      <c r="O253" s="36" t="str">
        <f t="shared" si="158"/>
        <v>…</v>
      </c>
      <c r="P253" s="36" t="str">
        <f t="shared" si="158"/>
        <v>…</v>
      </c>
      <c r="Q253" s="36" t="str">
        <f t="shared" si="158"/>
        <v>…</v>
      </c>
      <c r="R253" s="36" t="str">
        <f t="shared" si="158"/>
        <v>…</v>
      </c>
      <c r="S253" s="36" t="str">
        <f t="shared" si="158"/>
        <v>…</v>
      </c>
      <c r="T253" s="36" t="str">
        <f t="shared" si="158"/>
        <v>…</v>
      </c>
      <c r="U253" s="36" t="str">
        <f t="shared" si="158"/>
        <v>…</v>
      </c>
      <c r="V253" s="36">
        <f t="shared" si="158"/>
        <v>45627.571428571428</v>
      </c>
      <c r="W253" s="36">
        <f t="shared" si="158"/>
        <v>40412.991836734691</v>
      </c>
      <c r="X253" s="36">
        <f t="shared" si="158"/>
        <v>35794.364198250725</v>
      </c>
      <c r="Y253" s="36">
        <f t="shared" si="158"/>
        <v>31703.579718450641</v>
      </c>
      <c r="Z253" s="36"/>
      <c r="AA253" s="36"/>
      <c r="AB253" s="23"/>
      <c r="AC253" s="23"/>
      <c r="AI253" s="33"/>
      <c r="AJ253" s="23"/>
      <c r="AL253" s="23"/>
      <c r="AM253" s="23"/>
      <c r="AN253" s="23"/>
      <c r="AO253" s="23"/>
      <c r="AP253" s="23"/>
      <c r="AQ253" s="23"/>
      <c r="AR253" s="23"/>
      <c r="AS253" s="23"/>
      <c r="AT253" s="23"/>
      <c r="AU253" s="23"/>
      <c r="AV253" s="23"/>
      <c r="AW253" s="23"/>
      <c r="AX253" s="23"/>
      <c r="AY253" s="36"/>
      <c r="AZ253" s="33"/>
      <c r="BB253" s="33"/>
    </row>
    <row r="254" spans="1:70" collapsed="1">
      <c r="C254" s="38" t="s">
        <v>321</v>
      </c>
      <c r="D254" s="36">
        <f>IF(ISNUMBER(D255),D255,IF(ISNUMBER(D256),D256,"…"))</f>
        <v>225</v>
      </c>
      <c r="E254" s="36">
        <f>IF(ISNUMBER(E255),E255,IF(ISNUMBER(E256),E256,"…"))</f>
        <v>238</v>
      </c>
      <c r="F254" s="36">
        <f>IF(ISNUMBER(F255),F255,IF(ISNUMBER(F256),F256,"…"))</f>
        <v>195</v>
      </c>
      <c r="G254" s="36">
        <f>IF(ISNUMBER(G255),G255,IF(ISNUMBER(G256),G256,"…"))</f>
        <v>201</v>
      </c>
      <c r="H254" s="36">
        <f t="shared" ref="H254:V254" si="159">IF(ISNUMBER(H255),H255,IF(ISNUMBER(H256),H256,IF(ISNUMBER(H257),H257,"…")))</f>
        <v>2771</v>
      </c>
      <c r="I254" s="36">
        <f t="shared" si="159"/>
        <v>2929</v>
      </c>
      <c r="J254" s="36">
        <f t="shared" si="159"/>
        <v>3410</v>
      </c>
      <c r="K254" s="36">
        <f t="shared" si="159"/>
        <v>4334</v>
      </c>
      <c r="L254" s="36">
        <f t="shared" si="159"/>
        <v>23889</v>
      </c>
      <c r="M254" s="36">
        <f t="shared" si="159"/>
        <v>23730</v>
      </c>
      <c r="N254" s="36">
        <f t="shared" si="159"/>
        <v>23577</v>
      </c>
      <c r="O254" s="36">
        <f t="shared" si="159"/>
        <v>23646</v>
      </c>
      <c r="P254" s="36">
        <f t="shared" si="159"/>
        <v>23559</v>
      </c>
      <c r="Q254" s="36">
        <f t="shared" si="159"/>
        <v>23442</v>
      </c>
      <c r="R254" s="36">
        <f t="shared" si="159"/>
        <v>23317</v>
      </c>
      <c r="S254" s="36">
        <f t="shared" si="159"/>
        <v>23247</v>
      </c>
      <c r="T254" s="36">
        <f t="shared" si="159"/>
        <v>23318</v>
      </c>
      <c r="U254" s="36">
        <f t="shared" si="159"/>
        <v>26174</v>
      </c>
      <c r="V254" s="36">
        <f t="shared" si="159"/>
        <v>26174</v>
      </c>
      <c r="W254" s="36">
        <f>IF(ISNUMBER(W255),W255,IF(ISNUMBER(W256),W256,IF(ISNUMBER(W257),W257,"…")))</f>
        <v>26174</v>
      </c>
      <c r="X254" s="36">
        <f>IF(ISNUMBER(X255),X255,IF(ISNUMBER(X256),X256,IF(ISNUMBER(X257),X257,"…")))</f>
        <v>26174</v>
      </c>
      <c r="Y254" s="36">
        <f>IF(ISNUMBER(Y255),Y255,IF(ISNUMBER(Y256),Y256,IF(ISNUMBER(Y257),Y257,"…")))</f>
        <v>26174</v>
      </c>
      <c r="Z254" s="36"/>
      <c r="AA254" s="36"/>
      <c r="AY254" s="36"/>
    </row>
    <row r="255" spans="1:70" hidden="1" outlineLevel="1">
      <c r="A255" s="5" t="s">
        <v>308</v>
      </c>
      <c r="C255" s="67" t="s">
        <v>303</v>
      </c>
      <c r="D255" s="36">
        <f t="shared" ref="D255:L255" si="160">IF(D$8="A",IF(D390="…","calc./est.",D390),"…")</f>
        <v>225</v>
      </c>
      <c r="E255" s="36">
        <f t="shared" si="160"/>
        <v>238</v>
      </c>
      <c r="F255" s="36">
        <f t="shared" si="160"/>
        <v>195</v>
      </c>
      <c r="G255" s="36">
        <f t="shared" si="160"/>
        <v>201</v>
      </c>
      <c r="H255" s="36">
        <f t="shared" si="160"/>
        <v>2771</v>
      </c>
      <c r="I255" s="36">
        <f t="shared" si="160"/>
        <v>2929</v>
      </c>
      <c r="J255" s="36">
        <f t="shared" si="160"/>
        <v>3410</v>
      </c>
      <c r="K255" s="36">
        <f t="shared" si="160"/>
        <v>4334</v>
      </c>
      <c r="L255" s="36">
        <f t="shared" si="160"/>
        <v>23889</v>
      </c>
      <c r="M255" s="36" t="s">
        <v>314</v>
      </c>
      <c r="N255" s="36" t="s">
        <v>314</v>
      </c>
      <c r="O255" s="36" t="s">
        <v>314</v>
      </c>
      <c r="P255" s="36" t="s">
        <v>314</v>
      </c>
      <c r="Q255" s="36" t="s">
        <v>314</v>
      </c>
      <c r="R255" s="36" t="s">
        <v>314</v>
      </c>
      <c r="S255" s="36" t="s">
        <v>314</v>
      </c>
      <c r="T255" s="36" t="s">
        <v>314</v>
      </c>
      <c r="U255" s="36" t="s">
        <v>314</v>
      </c>
      <c r="V255" s="36" t="s">
        <v>314</v>
      </c>
      <c r="W255" s="36" t="s">
        <v>314</v>
      </c>
      <c r="X255" s="36" t="s">
        <v>314</v>
      </c>
      <c r="Y255" s="36" t="s">
        <v>314</v>
      </c>
      <c r="Z255" s="36"/>
      <c r="AA255" s="36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36"/>
      <c r="AZ255" s="5"/>
      <c r="BK255" s="22"/>
      <c r="BL255" s="23"/>
      <c r="BM255" s="22"/>
      <c r="BN255" s="22"/>
      <c r="BO255" s="22"/>
      <c r="BP255" s="22"/>
      <c r="BQ255" s="22"/>
      <c r="BR255" s="24"/>
    </row>
    <row r="256" spans="1:70" hidden="1" outlineLevel="1">
      <c r="C256" s="67" t="s">
        <v>304</v>
      </c>
      <c r="D256" s="36">
        <f t="shared" ref="D256:V256" si="161">IFERROR(D386-D248,"…")</f>
        <v>225</v>
      </c>
      <c r="E256" s="36">
        <f t="shared" si="161"/>
        <v>238</v>
      </c>
      <c r="F256" s="36">
        <f t="shared" si="161"/>
        <v>195</v>
      </c>
      <c r="G256" s="36">
        <f t="shared" si="161"/>
        <v>201</v>
      </c>
      <c r="H256" s="36">
        <f t="shared" si="161"/>
        <v>2771</v>
      </c>
      <c r="I256" s="36">
        <f t="shared" si="161"/>
        <v>2929</v>
      </c>
      <c r="J256" s="36">
        <f t="shared" si="161"/>
        <v>3410</v>
      </c>
      <c r="K256" s="36">
        <f t="shared" si="161"/>
        <v>4334</v>
      </c>
      <c r="L256" s="36">
        <f t="shared" si="161"/>
        <v>23889</v>
      </c>
      <c r="M256" s="36">
        <f t="shared" si="161"/>
        <v>23730</v>
      </c>
      <c r="N256" s="36">
        <f t="shared" si="161"/>
        <v>23577</v>
      </c>
      <c r="O256" s="36">
        <f t="shared" si="161"/>
        <v>23646</v>
      </c>
      <c r="P256" s="36">
        <f t="shared" si="161"/>
        <v>23559</v>
      </c>
      <c r="Q256" s="36">
        <f t="shared" si="161"/>
        <v>23442</v>
      </c>
      <c r="R256" s="36">
        <f t="shared" si="161"/>
        <v>23317</v>
      </c>
      <c r="S256" s="36">
        <f t="shared" si="161"/>
        <v>23247</v>
      </c>
      <c r="T256" s="36">
        <f t="shared" si="161"/>
        <v>23318</v>
      </c>
      <c r="U256" s="36">
        <f t="shared" si="161"/>
        <v>26174</v>
      </c>
      <c r="V256" s="36" t="str">
        <f t="shared" si="161"/>
        <v>…</v>
      </c>
      <c r="W256" s="36" t="str">
        <f>IFERROR(W386-W248,"…")</f>
        <v>…</v>
      </c>
      <c r="X256" s="36" t="str">
        <f>IFERROR(X386-X248,"…")</f>
        <v>…</v>
      </c>
      <c r="Y256" s="36" t="str">
        <f>IFERROR(Y386-Y248,"…")</f>
        <v>…</v>
      </c>
      <c r="Z256" s="36"/>
      <c r="AA256" s="36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36"/>
      <c r="AZ256" s="5"/>
      <c r="BK256" s="22"/>
      <c r="BL256" s="23"/>
      <c r="BM256" s="22"/>
      <c r="BN256" s="22"/>
      <c r="BO256" s="22"/>
      <c r="BP256" s="22"/>
      <c r="BQ256" s="22"/>
      <c r="BR256" s="24"/>
    </row>
    <row r="257" spans="3:70" hidden="1" outlineLevel="1">
      <c r="C257" s="67" t="s">
        <v>402</v>
      </c>
      <c r="D257" s="36" t="str">
        <f t="shared" ref="D257:Y257" si="162">IF(D$8="E",IFERROR(C254/1,"…"),"…")</f>
        <v>…</v>
      </c>
      <c r="E257" s="36" t="str">
        <f t="shared" si="162"/>
        <v>…</v>
      </c>
      <c r="F257" s="36" t="str">
        <f t="shared" si="162"/>
        <v>…</v>
      </c>
      <c r="G257" s="36" t="str">
        <f t="shared" si="162"/>
        <v>…</v>
      </c>
      <c r="H257" s="36" t="str">
        <f t="shared" si="162"/>
        <v>…</v>
      </c>
      <c r="I257" s="36" t="str">
        <f t="shared" si="162"/>
        <v>…</v>
      </c>
      <c r="J257" s="36" t="str">
        <f t="shared" si="162"/>
        <v>…</v>
      </c>
      <c r="K257" s="36" t="str">
        <f t="shared" si="162"/>
        <v>…</v>
      </c>
      <c r="L257" s="36" t="str">
        <f t="shared" si="162"/>
        <v>…</v>
      </c>
      <c r="M257" s="36" t="str">
        <f t="shared" si="162"/>
        <v>…</v>
      </c>
      <c r="N257" s="36" t="str">
        <f t="shared" si="162"/>
        <v>…</v>
      </c>
      <c r="O257" s="36" t="str">
        <f t="shared" si="162"/>
        <v>…</v>
      </c>
      <c r="P257" s="36" t="str">
        <f t="shared" si="162"/>
        <v>…</v>
      </c>
      <c r="Q257" s="36" t="str">
        <f t="shared" si="162"/>
        <v>…</v>
      </c>
      <c r="R257" s="36" t="str">
        <f t="shared" si="162"/>
        <v>…</v>
      </c>
      <c r="S257" s="36" t="str">
        <f t="shared" si="162"/>
        <v>…</v>
      </c>
      <c r="T257" s="36" t="str">
        <f t="shared" si="162"/>
        <v>…</v>
      </c>
      <c r="U257" s="36" t="str">
        <f t="shared" si="162"/>
        <v>…</v>
      </c>
      <c r="V257" s="36">
        <f t="shared" si="162"/>
        <v>26174</v>
      </c>
      <c r="W257" s="36">
        <f t="shared" si="162"/>
        <v>26174</v>
      </c>
      <c r="X257" s="36">
        <f t="shared" si="162"/>
        <v>26174</v>
      </c>
      <c r="Y257" s="36">
        <f t="shared" si="162"/>
        <v>26174</v>
      </c>
      <c r="Z257" s="36"/>
      <c r="AA257" s="36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36"/>
      <c r="AZ257" s="5"/>
      <c r="BK257" s="22"/>
      <c r="BL257" s="23"/>
      <c r="BM257" s="22"/>
      <c r="BN257" s="22"/>
      <c r="BO257" s="22"/>
      <c r="BP257" s="22"/>
      <c r="BQ257" s="22"/>
      <c r="BR257" s="24"/>
    </row>
    <row r="258" spans="3:70" collapsed="1">
      <c r="C258" s="38" t="s">
        <v>327</v>
      </c>
      <c r="D258" s="36">
        <f t="shared" ref="D258:Y258" si="163">IF(D$8="A",D297,IF(D$8="E",C258,"…"))</f>
        <v>10134</v>
      </c>
      <c r="E258" s="36">
        <f t="shared" si="163"/>
        <v>11423</v>
      </c>
      <c r="F258" s="36">
        <f t="shared" si="163"/>
        <v>15415</v>
      </c>
      <c r="G258" s="36">
        <f t="shared" si="163"/>
        <v>18067</v>
      </c>
      <c r="H258" s="36">
        <f t="shared" si="163"/>
        <v>14070</v>
      </c>
      <c r="I258" s="36">
        <f t="shared" si="163"/>
        <v>17271</v>
      </c>
      <c r="J258" s="36">
        <f t="shared" si="163"/>
        <v>23917</v>
      </c>
      <c r="K258" s="36">
        <f t="shared" si="163"/>
        <v>25777</v>
      </c>
      <c r="L258" s="36">
        <f t="shared" si="163"/>
        <v>26448</v>
      </c>
      <c r="M258" s="36">
        <f t="shared" si="163"/>
        <v>25989</v>
      </c>
      <c r="N258" s="36">
        <f t="shared" si="163"/>
        <v>30296</v>
      </c>
      <c r="O258" s="36">
        <f t="shared" si="163"/>
        <v>35885</v>
      </c>
      <c r="P258" s="36">
        <f>IF(P$8="A",P297,IF(P$8="E",O258,"…"))</f>
        <v>51076</v>
      </c>
      <c r="Q258" s="36">
        <f>IF(Q$8="A",Q297,IF(Q$8="E",P258,"…"))</f>
        <v>49405</v>
      </c>
      <c r="R258" s="36">
        <f t="shared" si="163"/>
        <v>49704</v>
      </c>
      <c r="S258" s="36">
        <f t="shared" si="163"/>
        <v>51325</v>
      </c>
      <c r="T258" s="36">
        <f t="shared" si="163"/>
        <v>60692</v>
      </c>
      <c r="U258" s="36">
        <f t="shared" si="163"/>
        <v>69237</v>
      </c>
      <c r="V258" s="36">
        <f t="shared" si="163"/>
        <v>69237</v>
      </c>
      <c r="W258" s="36">
        <f t="shared" si="163"/>
        <v>69237</v>
      </c>
      <c r="X258" s="36">
        <f t="shared" si="163"/>
        <v>69237</v>
      </c>
      <c r="Y258" s="36">
        <f t="shared" si="163"/>
        <v>69237</v>
      </c>
      <c r="Z258" s="36"/>
      <c r="AA258" s="36"/>
      <c r="AB258" s="23"/>
      <c r="AC258" s="23"/>
      <c r="AY258" s="36"/>
    </row>
    <row r="259" spans="3:70">
      <c r="C259" s="38" t="s">
        <v>331</v>
      </c>
      <c r="D259" s="36">
        <f t="shared" ref="D259:Y259" si="164">IF(D$8="A",D450,IF(D$8="L","…",IF(D$8="E",IFERROR(C259*D147/C147,"…"),"…")))</f>
        <v>2298</v>
      </c>
      <c r="E259" s="36">
        <f t="shared" si="164"/>
        <v>2270</v>
      </c>
      <c r="F259" s="36">
        <f t="shared" si="164"/>
        <v>3028</v>
      </c>
      <c r="G259" s="36">
        <f t="shared" si="164"/>
        <v>3368</v>
      </c>
      <c r="H259" s="36">
        <f t="shared" si="164"/>
        <v>4150</v>
      </c>
      <c r="I259" s="36">
        <f t="shared" si="164"/>
        <v>14720</v>
      </c>
      <c r="J259" s="36">
        <f t="shared" si="164"/>
        <v>20021</v>
      </c>
      <c r="K259" s="36">
        <f t="shared" si="164"/>
        <v>31656</v>
      </c>
      <c r="L259" s="36">
        <f t="shared" si="164"/>
        <v>28689</v>
      </c>
      <c r="M259" s="36">
        <f t="shared" si="164"/>
        <v>31388</v>
      </c>
      <c r="N259" s="36">
        <f t="shared" si="164"/>
        <v>36205</v>
      </c>
      <c r="O259" s="36">
        <f t="shared" si="164"/>
        <v>8070</v>
      </c>
      <c r="P259" s="36">
        <f t="shared" si="164"/>
        <v>0</v>
      </c>
      <c r="Q259" s="36">
        <f t="shared" si="164"/>
        <v>0</v>
      </c>
      <c r="R259" s="36">
        <f t="shared" si="164"/>
        <v>0</v>
      </c>
      <c r="S259" s="36">
        <f t="shared" si="164"/>
        <v>0</v>
      </c>
      <c r="T259" s="36">
        <f t="shared" si="164"/>
        <v>0</v>
      </c>
      <c r="U259" s="36">
        <f t="shared" si="164"/>
        <v>0</v>
      </c>
      <c r="V259" s="36">
        <f t="shared" si="164"/>
        <v>0</v>
      </c>
      <c r="W259" s="36">
        <f t="shared" si="164"/>
        <v>0</v>
      </c>
      <c r="X259" s="36">
        <f t="shared" si="164"/>
        <v>0</v>
      </c>
      <c r="Y259" s="36">
        <f t="shared" si="164"/>
        <v>0</v>
      </c>
      <c r="Z259" s="36"/>
      <c r="AA259" s="36"/>
      <c r="AB259" s="23"/>
      <c r="AC259" s="23"/>
      <c r="AY259" s="36"/>
    </row>
    <row r="260" spans="3:70" ht="13.15">
      <c r="C260" s="9" t="s">
        <v>220</v>
      </c>
      <c r="D260" s="36">
        <f t="shared" ref="D260:Y260" si="165">IFERROR(1/(1/SUM(D242,D245:D248,D254,D258:D259)),"…")</f>
        <v>104841</v>
      </c>
      <c r="E260" s="36">
        <f t="shared" si="165"/>
        <v>108123</v>
      </c>
      <c r="F260" s="36">
        <f t="shared" si="165"/>
        <v>110153</v>
      </c>
      <c r="G260" s="36">
        <f t="shared" si="165"/>
        <v>117835</v>
      </c>
      <c r="H260" s="36">
        <f t="shared" si="165"/>
        <v>136064</v>
      </c>
      <c r="I260" s="36">
        <f t="shared" si="165"/>
        <v>143789</v>
      </c>
      <c r="J260" s="36">
        <f t="shared" si="165"/>
        <v>163324</v>
      </c>
      <c r="K260" s="36">
        <f t="shared" si="165"/>
        <v>210979</v>
      </c>
      <c r="L260" s="36">
        <f t="shared" si="165"/>
        <v>259300</v>
      </c>
      <c r="M260" s="36">
        <f t="shared" si="165"/>
        <v>272708</v>
      </c>
      <c r="N260" s="36">
        <f t="shared" si="165"/>
        <v>292847</v>
      </c>
      <c r="O260" s="36">
        <f t="shared" si="165"/>
        <v>382009.99999999994</v>
      </c>
      <c r="P260" s="36">
        <f t="shared" si="165"/>
        <v>414760.00000000006</v>
      </c>
      <c r="Q260" s="36">
        <f t="shared" si="165"/>
        <v>427463.00000000006</v>
      </c>
      <c r="R260" s="36">
        <f t="shared" si="165"/>
        <v>463745</v>
      </c>
      <c r="S260" s="36">
        <f t="shared" si="165"/>
        <v>406044.99999999994</v>
      </c>
      <c r="T260" s="36">
        <f t="shared" si="165"/>
        <v>419879</v>
      </c>
      <c r="U260" s="36">
        <f t="shared" si="165"/>
        <v>451029</v>
      </c>
      <c r="V260" s="36">
        <f t="shared" si="165"/>
        <v>412617.67572168162</v>
      </c>
      <c r="W260" s="36">
        <f t="shared" si="165"/>
        <v>407214.6251353054</v>
      </c>
      <c r="X260" s="36">
        <f t="shared" si="165"/>
        <v>401357.57638374309</v>
      </c>
      <c r="Y260" s="36">
        <f t="shared" si="165"/>
        <v>401638.61857497657</v>
      </c>
      <c r="Z260" s="36"/>
      <c r="AA260" s="36"/>
      <c r="AB260" s="23"/>
      <c r="AC260" s="23"/>
      <c r="AY260" s="36"/>
    </row>
    <row r="261" spans="3:70"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23"/>
      <c r="AC261" s="23"/>
      <c r="AY261" s="5"/>
    </row>
    <row r="262" spans="3:70">
      <c r="C262" s="5" t="s">
        <v>333</v>
      </c>
      <c r="D262" s="36">
        <f t="shared" ref="D262:V262" si="166">IF(D$8="A",D358,IF(D$8="L","…","…"))</f>
        <v>127603</v>
      </c>
      <c r="E262" s="36">
        <f t="shared" si="166"/>
        <v>133081</v>
      </c>
      <c r="F262" s="36">
        <f t="shared" si="166"/>
        <v>136603</v>
      </c>
      <c r="G262" s="36">
        <f t="shared" si="166"/>
        <v>145357</v>
      </c>
      <c r="H262" s="36">
        <f t="shared" si="166"/>
        <v>167919</v>
      </c>
      <c r="I262" s="36">
        <f t="shared" si="166"/>
        <v>177179</v>
      </c>
      <c r="J262" s="36">
        <f t="shared" si="166"/>
        <v>199393</v>
      </c>
      <c r="K262" s="36">
        <f t="shared" si="166"/>
        <v>253769</v>
      </c>
      <c r="L262" s="36">
        <f t="shared" si="166"/>
        <v>309518</v>
      </c>
      <c r="M262" s="36">
        <f t="shared" si="166"/>
        <v>324333</v>
      </c>
      <c r="N262" s="36">
        <f t="shared" si="166"/>
        <v>351209</v>
      </c>
      <c r="O262" s="36">
        <f t="shared" si="166"/>
        <v>381935</v>
      </c>
      <c r="P262" s="36">
        <f t="shared" si="166"/>
        <v>409732</v>
      </c>
      <c r="Q262" s="36">
        <f t="shared" si="166"/>
        <v>422193</v>
      </c>
      <c r="R262" s="36">
        <f t="shared" si="166"/>
        <v>458156</v>
      </c>
      <c r="S262" s="36">
        <f t="shared" si="166"/>
        <v>488071</v>
      </c>
      <c r="T262" s="36">
        <f t="shared" si="166"/>
        <v>497114</v>
      </c>
      <c r="U262" s="36">
        <f t="shared" si="166"/>
        <v>528609</v>
      </c>
      <c r="V262" s="36" t="str">
        <f t="shared" si="166"/>
        <v>…</v>
      </c>
      <c r="W262" s="36" t="str">
        <f>IF(W$8="A",W358,IF(W$8="L","…","…"))</f>
        <v>…</v>
      </c>
      <c r="X262" s="36" t="str">
        <f>IF(X$8="A",X358,IF(X$8="L","…","…"))</f>
        <v>…</v>
      </c>
      <c r="Y262" s="36" t="str">
        <f>IF(Y$8="A",Y358,IF(Y$8="L","…","…"))</f>
        <v>…</v>
      </c>
      <c r="Z262" s="36"/>
      <c r="AA262" s="36"/>
      <c r="AY262" s="36"/>
    </row>
    <row r="263" spans="3:70">
      <c r="C263" s="5" t="s">
        <v>315</v>
      </c>
      <c r="D263" s="36">
        <f t="shared" ref="D263:V263" si="167">IFERROR(D260-D490,"…")</f>
        <v>-22762</v>
      </c>
      <c r="E263" s="36">
        <f t="shared" si="167"/>
        <v>-24958</v>
      </c>
      <c r="F263" s="36">
        <f t="shared" si="167"/>
        <v>-26450</v>
      </c>
      <c r="G263" s="36">
        <f t="shared" si="167"/>
        <v>-27522</v>
      </c>
      <c r="H263" s="36">
        <f t="shared" si="167"/>
        <v>-31855</v>
      </c>
      <c r="I263" s="36">
        <f t="shared" si="167"/>
        <v>-33390</v>
      </c>
      <c r="J263" s="36">
        <f t="shared" si="167"/>
        <v>-36069</v>
      </c>
      <c r="K263" s="36">
        <f t="shared" si="167"/>
        <v>-42790</v>
      </c>
      <c r="L263" s="36">
        <f t="shared" si="167"/>
        <v>-50218</v>
      </c>
      <c r="M263" s="55">
        <f t="shared" si="167"/>
        <v>-51625</v>
      </c>
      <c r="N263" s="55">
        <f t="shared" si="167"/>
        <v>-58362</v>
      </c>
      <c r="O263" s="55">
        <f t="shared" si="167"/>
        <v>74.999999999941792</v>
      </c>
      <c r="P263" s="55">
        <f t="shared" si="167"/>
        <v>5028.0000000000582</v>
      </c>
      <c r="Q263" s="55">
        <f t="shared" si="167"/>
        <v>5270.0000000000582</v>
      </c>
      <c r="R263" s="55">
        <f t="shared" si="167"/>
        <v>5589</v>
      </c>
      <c r="S263" s="55">
        <f t="shared" si="167"/>
        <v>-82026.000000000058</v>
      </c>
      <c r="T263" s="55">
        <f t="shared" si="167"/>
        <v>-77235</v>
      </c>
      <c r="U263" s="55">
        <f t="shared" si="167"/>
        <v>-77580</v>
      </c>
      <c r="V263" s="55" t="str">
        <f t="shared" si="167"/>
        <v>…</v>
      </c>
      <c r="W263" s="55" t="str">
        <f>IFERROR(W260-W490,"…")</f>
        <v>…</v>
      </c>
      <c r="X263" s="55" t="str">
        <f>IFERROR(X260-X490,"…")</f>
        <v>…</v>
      </c>
      <c r="Y263" s="55" t="str">
        <f>IFERROR(Y260-Y490,"…")</f>
        <v>…</v>
      </c>
      <c r="Z263" s="55"/>
      <c r="AA263" s="55"/>
      <c r="AB263" s="23"/>
      <c r="AC263" s="23"/>
      <c r="AY263" s="55"/>
    </row>
    <row r="264" spans="3:70">
      <c r="D264" s="36"/>
      <c r="E264" s="36"/>
      <c r="F264" s="36"/>
      <c r="G264" s="36"/>
      <c r="H264" s="36"/>
      <c r="I264" s="36"/>
      <c r="J264" s="36"/>
      <c r="K264" s="36"/>
      <c r="L264" s="36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23"/>
      <c r="AC264" s="23"/>
      <c r="AY264" s="55"/>
    </row>
    <row r="265" spans="3:70">
      <c r="C265" s="38" t="s">
        <v>134</v>
      </c>
      <c r="D265" s="45">
        <f>IF(D246="…","…",IF(C246="…",AVERAGE(AG368:AG368),AVERAGE(C246:D246)))</f>
        <v>32461</v>
      </c>
      <c r="E265" s="45">
        <f t="shared" ref="E265:Y265" si="168">IF(E246="…","…",IF(D246="…",AVERAGE(C246:E246),AVERAGE(D246:E246)))</f>
        <v>32697</v>
      </c>
      <c r="F265" s="45">
        <f t="shared" si="168"/>
        <v>30656</v>
      </c>
      <c r="G265" s="45">
        <f t="shared" si="168"/>
        <v>28024</v>
      </c>
      <c r="H265" s="45">
        <f t="shared" si="168"/>
        <v>30414.5</v>
      </c>
      <c r="I265" s="45">
        <f t="shared" si="168"/>
        <v>28802</v>
      </c>
      <c r="J265" s="45">
        <f t="shared" si="168"/>
        <v>25145.5</v>
      </c>
      <c r="K265" s="45">
        <f t="shared" si="168"/>
        <v>28861.5</v>
      </c>
      <c r="L265" s="45">
        <f>IF(L246="…","…",IF(K246="…",AVERAGE(J246:L246),AVERAGE(K246:L246)))</f>
        <v>35650</v>
      </c>
      <c r="M265" s="45">
        <f>IF(M246="…","…",IF(L246="…",AVERAGE(K246:M246),AVERAGE(L246:M246)))</f>
        <v>40906</v>
      </c>
      <c r="N265" s="45">
        <f>IF(N246="…","…",IF(M246="…",AVERAGE(L246:N246),AVERAGE(M246:N246)))</f>
        <v>44278.5</v>
      </c>
      <c r="O265" s="45">
        <f>IF(O246="…","…",IF(N246="…",AVERAGE(M246:O246),AVERAGE(N246:O246)))</f>
        <v>64756.5</v>
      </c>
      <c r="P265" s="45">
        <f t="shared" si="168"/>
        <v>87908</v>
      </c>
      <c r="Q265" s="45">
        <f t="shared" si="168"/>
        <v>93718.5</v>
      </c>
      <c r="R265" s="45">
        <f t="shared" si="168"/>
        <v>98318.5</v>
      </c>
      <c r="S265" s="45">
        <f>IF(S246="…","…",IF(R246="…",AVERAGE(Q246:S246),AVERAGE(R246:S246)))</f>
        <v>108381</v>
      </c>
      <c r="T265" s="45">
        <f t="shared" si="168"/>
        <v>114830.5</v>
      </c>
      <c r="U265" s="45">
        <f t="shared" si="168"/>
        <v>118982</v>
      </c>
      <c r="V265" s="45">
        <f t="shared" si="168"/>
        <v>119607.67945189819</v>
      </c>
      <c r="W265" s="45">
        <f t="shared" si="168"/>
        <v>112832.7863797913</v>
      </c>
      <c r="X265" s="45">
        <f t="shared" si="168"/>
        <v>107552.07196291155</v>
      </c>
      <c r="Y265" s="45">
        <f t="shared" si="168"/>
        <v>103595.11654054392</v>
      </c>
      <c r="Z265" s="45"/>
      <c r="AA265" s="45"/>
      <c r="AB265" s="23"/>
      <c r="AC265" s="23"/>
      <c r="AY265" s="45"/>
    </row>
    <row r="266" spans="3:70">
      <c r="C266" s="38" t="s">
        <v>302</v>
      </c>
      <c r="D266" s="45">
        <f t="shared" ref="D266:I266" si="169">IF(ISNUMBER(D267),D267,IF(ISNUMBER(D268),D268,"…"))</f>
        <v>7265</v>
      </c>
      <c r="E266" s="45">
        <f t="shared" si="169"/>
        <v>7347.5</v>
      </c>
      <c r="F266" s="45">
        <f t="shared" si="169"/>
        <v>7214</v>
      </c>
      <c r="G266" s="45">
        <f t="shared" si="169"/>
        <v>6813.5</v>
      </c>
      <c r="H266" s="45">
        <f t="shared" si="169"/>
        <v>8074.5</v>
      </c>
      <c r="I266" s="45">
        <f t="shared" si="169"/>
        <v>9749</v>
      </c>
      <c r="J266" s="45">
        <f t="shared" ref="J266:Y266" si="170">IF(ISNUMBER(J267),J267,IF(ISNUMBER(J268),J268,IF(ISNUMBER(J269),J269,"…")))</f>
        <v>9836</v>
      </c>
      <c r="K266" s="45">
        <f t="shared" si="170"/>
        <v>13768</v>
      </c>
      <c r="L266" s="45">
        <f>IF(ISNUMBER(L267),L267,IF(ISNUMBER(L268),L268,IF(ISNUMBER(L269),L269,"…")))</f>
        <v>26532</v>
      </c>
      <c r="M266" s="45">
        <f>IF(ISNUMBER(M267),M267,IF(ISNUMBER(M268),M268,IF(ISNUMBER(M269),M269,"…")))</f>
        <v>35367.5</v>
      </c>
      <c r="N266" s="45">
        <f t="shared" si="170"/>
        <v>35935.5</v>
      </c>
      <c r="O266" s="45">
        <f t="shared" si="170"/>
        <v>36929.5</v>
      </c>
      <c r="P266" s="45">
        <f t="shared" si="170"/>
        <v>38270.5</v>
      </c>
      <c r="Q266" s="45">
        <f t="shared" si="170"/>
        <v>39508.5</v>
      </c>
      <c r="R266" s="45">
        <f t="shared" si="170"/>
        <v>40636.5</v>
      </c>
      <c r="S266" s="45">
        <f t="shared" si="170"/>
        <v>42131.5</v>
      </c>
      <c r="T266" s="45">
        <f t="shared" si="170"/>
        <v>43808.5</v>
      </c>
      <c r="U266" s="45">
        <f t="shared" si="170"/>
        <v>48082.5</v>
      </c>
      <c r="V266" s="45">
        <f t="shared" si="170"/>
        <v>48571.285714285717</v>
      </c>
      <c r="W266" s="45">
        <f t="shared" si="170"/>
        <v>43020.281632653059</v>
      </c>
      <c r="X266" s="45">
        <f t="shared" si="170"/>
        <v>38103.678017492712</v>
      </c>
      <c r="Y266" s="45">
        <f t="shared" si="170"/>
        <v>33748.971958350681</v>
      </c>
      <c r="Z266" s="45"/>
      <c r="AA266" s="45"/>
      <c r="AB266" s="23"/>
      <c r="AC266" s="23"/>
      <c r="AY266" s="45"/>
    </row>
    <row r="267" spans="3:70" hidden="1" outlineLevel="1">
      <c r="C267" s="43" t="s">
        <v>354</v>
      </c>
      <c r="D267" s="45">
        <f t="shared" ref="D267:Y267" si="171">IF(D249="…","…",IF(C249="…",AVERAGE(B249,D249),AVERAGE(C249:D249)))</f>
        <v>7265</v>
      </c>
      <c r="E267" s="45">
        <f t="shared" si="171"/>
        <v>7347.5</v>
      </c>
      <c r="F267" s="45">
        <f t="shared" si="171"/>
        <v>7214</v>
      </c>
      <c r="G267" s="45">
        <f t="shared" si="171"/>
        <v>6813.5</v>
      </c>
      <c r="H267" s="45">
        <f t="shared" si="171"/>
        <v>8074.5</v>
      </c>
      <c r="I267" s="45">
        <f t="shared" si="171"/>
        <v>9749</v>
      </c>
      <c r="J267" s="45">
        <f t="shared" si="171"/>
        <v>9836</v>
      </c>
      <c r="K267" s="45">
        <f t="shared" si="171"/>
        <v>13768</v>
      </c>
      <c r="L267" s="45">
        <f>IF(L249="…","…",IF(K249="…",AVERAGE(J249,L249),AVERAGE(K249:L249)))</f>
        <v>26532</v>
      </c>
      <c r="M267" s="45">
        <f>IF(M249="…","…",IF(L249="…",AVERAGE(K249,M249),AVERAGE(L249:M249)))</f>
        <v>35367.5</v>
      </c>
      <c r="N267" s="45">
        <f>IF(N249="…","…",IF(M249="…",AVERAGE(L249,N249),AVERAGE(M249:N249)))</f>
        <v>35935.5</v>
      </c>
      <c r="O267" s="45">
        <f>IF(O249="…","…",IF(N249="…",AVERAGE(M249,O249),AVERAGE(N249:O249)))</f>
        <v>36929.5</v>
      </c>
      <c r="P267" s="45">
        <f t="shared" si="171"/>
        <v>38270.5</v>
      </c>
      <c r="Q267" s="45">
        <f t="shared" si="171"/>
        <v>39508.5</v>
      </c>
      <c r="R267" s="45">
        <f t="shared" si="171"/>
        <v>40636.5</v>
      </c>
      <c r="S267" s="45">
        <f t="shared" si="171"/>
        <v>42131.5</v>
      </c>
      <c r="T267" s="45">
        <f t="shared" si="171"/>
        <v>43808.5</v>
      </c>
      <c r="U267" s="45">
        <f t="shared" si="171"/>
        <v>48082.5</v>
      </c>
      <c r="V267" s="45" t="str">
        <f t="shared" si="171"/>
        <v>…</v>
      </c>
      <c r="W267" s="45" t="str">
        <f t="shared" si="171"/>
        <v>…</v>
      </c>
      <c r="X267" s="45" t="str">
        <f t="shared" si="171"/>
        <v>…</v>
      </c>
      <c r="Y267" s="45" t="str">
        <f t="shared" si="171"/>
        <v>…</v>
      </c>
      <c r="Z267" s="45"/>
      <c r="AA267" s="45"/>
      <c r="AB267" s="23"/>
      <c r="AC267" s="23"/>
      <c r="AY267" s="45"/>
    </row>
    <row r="268" spans="3:70" hidden="1" outlineLevel="1">
      <c r="C268" s="43" t="s">
        <v>358</v>
      </c>
      <c r="D268" s="45">
        <f t="shared" ref="D268:Y268" si="172">IF(D$8="A",IFERROR(D202*D190,"…"),"…")</f>
        <v>163.02000000000001</v>
      </c>
      <c r="E268" s="45">
        <f t="shared" si="172"/>
        <v>167273.52000000002</v>
      </c>
      <c r="F268" s="45">
        <f t="shared" si="172"/>
        <v>7116.33</v>
      </c>
      <c r="G268" s="45">
        <f t="shared" si="172"/>
        <v>7754.32</v>
      </c>
      <c r="H268" s="45">
        <f t="shared" si="172"/>
        <v>7857.6050000000005</v>
      </c>
      <c r="I268" s="45">
        <f t="shared" si="172"/>
        <v>8926.1999999999989</v>
      </c>
      <c r="J268" s="45">
        <f t="shared" si="172"/>
        <v>11356.02</v>
      </c>
      <c r="K268" s="45">
        <f t="shared" si="172"/>
        <v>13763.039999999999</v>
      </c>
      <c r="L268" s="45">
        <f>IF(L$8="A",IFERROR(L202*L190,"…"),"…")</f>
        <v>28505.285</v>
      </c>
      <c r="M268" s="45">
        <f>IF(M$8="A",IFERROR(M202*M190,"…"),"…")</f>
        <v>29609.25</v>
      </c>
      <c r="N268" s="45">
        <f t="shared" si="172"/>
        <v>37844.959999999999</v>
      </c>
      <c r="O268" s="45">
        <f t="shared" si="172"/>
        <v>36798.545000000006</v>
      </c>
      <c r="P268" s="45">
        <f t="shared" si="172"/>
        <v>38038.895000000004</v>
      </c>
      <c r="Q268" s="45">
        <f t="shared" si="172"/>
        <v>38186.920000000006</v>
      </c>
      <c r="R268" s="45">
        <f t="shared" si="172"/>
        <v>41028.020000000004</v>
      </c>
      <c r="S268" s="45">
        <f t="shared" si="172"/>
        <v>44329.469999999994</v>
      </c>
      <c r="T268" s="45">
        <f t="shared" si="172"/>
        <v>46768.590000000004</v>
      </c>
      <c r="U268" s="45">
        <f t="shared" si="172"/>
        <v>48672.15</v>
      </c>
      <c r="V268" s="45" t="str">
        <f t="shared" si="172"/>
        <v>…</v>
      </c>
      <c r="W268" s="45" t="str">
        <f t="shared" si="172"/>
        <v>…</v>
      </c>
      <c r="X268" s="45" t="str">
        <f t="shared" si="172"/>
        <v>…</v>
      </c>
      <c r="Y268" s="45" t="str">
        <f t="shared" si="172"/>
        <v>…</v>
      </c>
      <c r="Z268" s="45"/>
      <c r="AA268" s="45"/>
      <c r="AB268" s="23"/>
      <c r="AC268" s="23"/>
      <c r="AY268" s="45"/>
    </row>
    <row r="269" spans="3:70" hidden="1" outlineLevel="1">
      <c r="C269" s="43" t="s">
        <v>355</v>
      </c>
      <c r="D269" s="45" t="str">
        <f t="shared" ref="D269:V269" si="173">IF(D$8="E",IFERROR(D206*D190,"…"),"…")</f>
        <v>…</v>
      </c>
      <c r="E269" s="45" t="str">
        <f t="shared" si="173"/>
        <v>…</v>
      </c>
      <c r="F269" s="45" t="str">
        <f t="shared" si="173"/>
        <v>…</v>
      </c>
      <c r="G269" s="45" t="str">
        <f t="shared" si="173"/>
        <v>…</v>
      </c>
      <c r="H269" s="45" t="str">
        <f t="shared" si="173"/>
        <v>…</v>
      </c>
      <c r="I269" s="45" t="str">
        <f t="shared" si="173"/>
        <v>…</v>
      </c>
      <c r="J269" s="45" t="str">
        <f t="shared" si="173"/>
        <v>…</v>
      </c>
      <c r="K269" s="45" t="str">
        <f t="shared" si="173"/>
        <v>…</v>
      </c>
      <c r="L269" s="45" t="str">
        <f>IF(L$8="E",IFERROR(L206*L190,"…"),"…")</f>
        <v>…</v>
      </c>
      <c r="M269" s="45" t="str">
        <f>IF(M$8="E",IFERROR(M206*M190,"…"),"…")</f>
        <v>…</v>
      </c>
      <c r="N269" s="45" t="str">
        <f t="shared" si="173"/>
        <v>…</v>
      </c>
      <c r="O269" s="45" t="str">
        <f t="shared" si="173"/>
        <v>…</v>
      </c>
      <c r="P269" s="45" t="str">
        <f t="shared" si="173"/>
        <v>…</v>
      </c>
      <c r="Q269" s="45" t="str">
        <f t="shared" si="173"/>
        <v>…</v>
      </c>
      <c r="R269" s="45" t="str">
        <f t="shared" si="173"/>
        <v>…</v>
      </c>
      <c r="S269" s="45" t="str">
        <f t="shared" si="173"/>
        <v>…</v>
      </c>
      <c r="T269" s="45" t="str">
        <f t="shared" si="173"/>
        <v>…</v>
      </c>
      <c r="U269" s="45" t="str">
        <f t="shared" si="173"/>
        <v>…</v>
      </c>
      <c r="V269" s="45">
        <f t="shared" si="173"/>
        <v>48571.285714285717</v>
      </c>
      <c r="W269" s="45">
        <f>IF(W$8="E",IFERROR(W206*W190,"…"),"…")</f>
        <v>43020.281632653059</v>
      </c>
      <c r="X269" s="45">
        <f>IF(X$8="E",IFERROR(X206*X190,"…"),"…")</f>
        <v>38103.678017492712</v>
      </c>
      <c r="Y269" s="45">
        <f>IF(Y$8="E",IFERROR(Y206*Y190,"…"),"…")</f>
        <v>33748.971958350681</v>
      </c>
      <c r="Z269" s="45"/>
      <c r="AA269" s="45"/>
      <c r="AB269" s="23"/>
      <c r="AC269" s="23"/>
      <c r="AY269" s="45"/>
    </row>
    <row r="270" spans="3:70" collapsed="1">
      <c r="C270" s="38" t="s">
        <v>135</v>
      </c>
      <c r="D270" s="45">
        <f t="shared" ref="D270:Y272" si="174">IF(D234="…","…",IF(C234="…",AVERAGE(B234:D234),AVERAGE(C234:D234)))</f>
        <v>75416.89</v>
      </c>
      <c r="E270" s="45">
        <f t="shared" si="174"/>
        <v>76930.464999999997</v>
      </c>
      <c r="F270" s="45">
        <f t="shared" si="174"/>
        <v>78164.14499999999</v>
      </c>
      <c r="G270" s="45">
        <f t="shared" si="174"/>
        <v>79604.08</v>
      </c>
      <c r="H270" s="45">
        <f t="shared" si="174"/>
        <v>91324.575000000012</v>
      </c>
      <c r="I270" s="45">
        <f t="shared" si="174"/>
        <v>99401.425000000003</v>
      </c>
      <c r="J270" s="45">
        <f t="shared" si="174"/>
        <v>104445.43</v>
      </c>
      <c r="K270" s="45">
        <f t="shared" si="174"/>
        <v>128367.67999999999</v>
      </c>
      <c r="L270" s="45">
        <f t="shared" si="174"/>
        <v>170224.69500000001</v>
      </c>
      <c r="M270" s="45">
        <f t="shared" si="174"/>
        <v>195964.245</v>
      </c>
      <c r="N270" s="45">
        <f t="shared" si="174"/>
        <v>205728.47499999998</v>
      </c>
      <c r="O270" s="45">
        <f t="shared" si="174"/>
        <v>253007.74999999997</v>
      </c>
      <c r="P270" s="45">
        <f t="shared" si="174"/>
        <v>302159.88500000001</v>
      </c>
      <c r="Q270" s="45">
        <f t="shared" si="174"/>
        <v>325170.7350000001</v>
      </c>
      <c r="R270" s="45">
        <f t="shared" si="174"/>
        <v>350526.46500000003</v>
      </c>
      <c r="S270" s="45">
        <f t="shared" si="174"/>
        <v>335680.21499999997</v>
      </c>
      <c r="T270" s="45">
        <f t="shared" si="174"/>
        <v>311792.24</v>
      </c>
      <c r="U270" s="45">
        <f t="shared" si="174"/>
        <v>324449.26</v>
      </c>
      <c r="V270" s="45">
        <f t="shared" si="174"/>
        <v>329598.23991350608</v>
      </c>
      <c r="W270" s="45">
        <f t="shared" si="174"/>
        <v>321928.39175851108</v>
      </c>
      <c r="X270" s="45">
        <f t="shared" si="174"/>
        <v>313852.38749512896</v>
      </c>
      <c r="Y270" s="45">
        <f t="shared" si="174"/>
        <v>308096.01830489689</v>
      </c>
      <c r="Z270" s="45"/>
      <c r="AA270" s="45"/>
      <c r="AB270" s="23"/>
      <c r="AC270" s="23"/>
      <c r="AY270" s="45"/>
    </row>
    <row r="271" spans="3:70">
      <c r="C271" s="38" t="s">
        <v>136</v>
      </c>
      <c r="D271" s="45">
        <f>IF(D235="…","…",IF(C235="…",AVERAGE(AG217:AH217),AVERAGE(C235:D235)))</f>
        <v>65282.89</v>
      </c>
      <c r="E271" s="45">
        <f t="shared" si="174"/>
        <v>66151.964999999997</v>
      </c>
      <c r="F271" s="45">
        <f t="shared" si="174"/>
        <v>64745.144999999997</v>
      </c>
      <c r="G271" s="45">
        <f t="shared" si="174"/>
        <v>62863.08</v>
      </c>
      <c r="H271" s="45">
        <f t="shared" si="174"/>
        <v>75256.075000000012</v>
      </c>
      <c r="I271" s="45">
        <f t="shared" si="174"/>
        <v>83730.925000000003</v>
      </c>
      <c r="J271" s="45">
        <f t="shared" si="174"/>
        <v>83851.429999999993</v>
      </c>
      <c r="K271" s="45">
        <f t="shared" si="174"/>
        <v>103520.68</v>
      </c>
      <c r="L271" s="45">
        <f t="shared" si="174"/>
        <v>144112.19500000001</v>
      </c>
      <c r="M271" s="45">
        <f t="shared" si="174"/>
        <v>169745.745</v>
      </c>
      <c r="N271" s="45">
        <f t="shared" si="174"/>
        <v>177585.97499999998</v>
      </c>
      <c r="O271" s="45">
        <f t="shared" si="174"/>
        <v>219917.24999999997</v>
      </c>
      <c r="P271" s="45">
        <f t="shared" si="174"/>
        <v>258679.38500000001</v>
      </c>
      <c r="Q271" s="45">
        <f t="shared" si="174"/>
        <v>274930.2350000001</v>
      </c>
      <c r="R271" s="45">
        <f t="shared" si="174"/>
        <v>300971.96500000003</v>
      </c>
      <c r="S271" s="45">
        <f t="shared" si="174"/>
        <v>285165.71499999997</v>
      </c>
      <c r="T271" s="45">
        <f t="shared" si="174"/>
        <v>255783.74</v>
      </c>
      <c r="U271" s="45">
        <f t="shared" si="174"/>
        <v>259484.76</v>
      </c>
      <c r="V271" s="45">
        <f t="shared" si="174"/>
        <v>260361.23991350606</v>
      </c>
      <c r="W271" s="45">
        <f t="shared" si="174"/>
        <v>252691.39175851105</v>
      </c>
      <c r="X271" s="45">
        <f t="shared" si="174"/>
        <v>244615.38749512896</v>
      </c>
      <c r="Y271" s="45">
        <f t="shared" si="174"/>
        <v>238859.01830489689</v>
      </c>
      <c r="Z271" s="45"/>
      <c r="AA271" s="45"/>
      <c r="AB271" s="23"/>
      <c r="AC271" s="23"/>
      <c r="AY271" s="45"/>
    </row>
    <row r="272" spans="3:70">
      <c r="C272" s="38" t="s">
        <v>137</v>
      </c>
      <c r="D272" s="45">
        <f>IF(D236="…","…",IF(C236="…",AVERAGE(AG219:AH219),AVERAGE(C236:D236)))</f>
        <v>65057.89</v>
      </c>
      <c r="E272" s="45">
        <f t="shared" si="174"/>
        <v>65920.464999999997</v>
      </c>
      <c r="F272" s="45">
        <f t="shared" si="174"/>
        <v>64528.644999999997</v>
      </c>
      <c r="G272" s="45">
        <f t="shared" si="174"/>
        <v>62665.08</v>
      </c>
      <c r="H272" s="45">
        <f t="shared" si="174"/>
        <v>73770.075000000012</v>
      </c>
      <c r="I272" s="45">
        <f t="shared" si="174"/>
        <v>80880.925000000003</v>
      </c>
      <c r="J272" s="45">
        <f t="shared" si="174"/>
        <v>80681.929999999993</v>
      </c>
      <c r="K272" s="45">
        <f t="shared" si="174"/>
        <v>99648.68</v>
      </c>
      <c r="L272" s="45">
        <f t="shared" si="174"/>
        <v>130000.69499999999</v>
      </c>
      <c r="M272" s="45">
        <f t="shared" si="174"/>
        <v>145936.245</v>
      </c>
      <c r="N272" s="45">
        <f t="shared" si="174"/>
        <v>153932.47499999998</v>
      </c>
      <c r="O272" s="45">
        <f t="shared" si="174"/>
        <v>196305.74999999997</v>
      </c>
      <c r="P272" s="45">
        <f>IF(P236="…","…",IF(O236="…",AVERAGE(N236:P236),AVERAGE(O236:P236)))</f>
        <v>235076.88500000001</v>
      </c>
      <c r="Q272" s="45">
        <f>IF(Q236="…","…",IF(P236="…",AVERAGE(O236:Q236),AVERAGE(P236:Q236)))</f>
        <v>251429.73500000007</v>
      </c>
      <c r="R272" s="45">
        <f t="shared" si="174"/>
        <v>277592.46500000003</v>
      </c>
      <c r="S272" s="45">
        <f t="shared" si="174"/>
        <v>261883.71499999997</v>
      </c>
      <c r="T272" s="45">
        <f t="shared" si="174"/>
        <v>232501.24</v>
      </c>
      <c r="U272" s="45">
        <f t="shared" si="174"/>
        <v>234738.76</v>
      </c>
      <c r="V272" s="45">
        <f t="shared" si="174"/>
        <v>234187.23991350606</v>
      </c>
      <c r="W272" s="45">
        <f t="shared" si="174"/>
        <v>226517.39175851105</v>
      </c>
      <c r="X272" s="45">
        <f t="shared" si="174"/>
        <v>218441.38749512896</v>
      </c>
      <c r="Y272" s="45">
        <f t="shared" si="174"/>
        <v>212685.01830489689</v>
      </c>
      <c r="Z272" s="45"/>
      <c r="AA272" s="45"/>
      <c r="AB272" s="23"/>
      <c r="AC272" s="23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45"/>
      <c r="AZ272" s="5"/>
    </row>
    <row r="273" spans="1:72">
      <c r="AB273" s="23"/>
      <c r="AC273" s="23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Z273" s="5"/>
    </row>
    <row r="274" spans="1:72" s="33" customFormat="1" hidden="1" outlineLevel="1">
      <c r="A274" s="5"/>
      <c r="B274" s="5"/>
      <c r="AG274" s="5"/>
    </row>
    <row r="275" spans="1:72" s="33" customFormat="1" hidden="1" outlineLevel="1">
      <c r="A275" s="5"/>
      <c r="AG275" s="5"/>
    </row>
    <row r="276" spans="1:72" s="33" customFormat="1" ht="13.15" hidden="1" outlineLevel="1">
      <c r="A276" s="5"/>
      <c r="B276" s="5"/>
      <c r="C276" s="12" t="s">
        <v>177</v>
      </c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D276" s="5"/>
      <c r="AE276" s="5"/>
      <c r="AF276" s="5"/>
      <c r="AG276" s="5"/>
      <c r="AY276" s="25"/>
      <c r="BC276" s="5"/>
      <c r="BD276" s="5"/>
      <c r="BE276" s="5"/>
      <c r="BF276" s="5"/>
      <c r="BG276" s="5"/>
      <c r="BH276" s="5"/>
      <c r="BI276" s="5"/>
      <c r="BJ276" s="22"/>
      <c r="BK276" s="22"/>
      <c r="BL276" s="23"/>
      <c r="BM276" s="22"/>
      <c r="BN276" s="22"/>
      <c r="BO276" s="22"/>
      <c r="BP276" s="22"/>
      <c r="BQ276" s="22"/>
      <c r="BR276" s="24"/>
      <c r="BS276" s="5"/>
      <c r="BT276" s="5"/>
    </row>
    <row r="277" spans="1:72" s="33" customFormat="1" hidden="1" outlineLevel="1">
      <c r="A277" s="5"/>
      <c r="B277" s="5"/>
      <c r="C277" s="5" t="s">
        <v>150</v>
      </c>
      <c r="D277" s="25">
        <f t="shared" ref="D277:Y277" si="175">D221</f>
        <v>1698</v>
      </c>
      <c r="E277" s="25">
        <f t="shared" si="175"/>
        <v>2425</v>
      </c>
      <c r="F277" s="25">
        <f t="shared" si="175"/>
        <v>3472</v>
      </c>
      <c r="G277" s="25">
        <f t="shared" si="175"/>
        <v>6938</v>
      </c>
      <c r="H277" s="25">
        <f t="shared" si="175"/>
        <v>6333</v>
      </c>
      <c r="I277" s="25">
        <f t="shared" si="175"/>
        <v>1855</v>
      </c>
      <c r="J277" s="25">
        <f t="shared" si="175"/>
        <v>7141</v>
      </c>
      <c r="K277" s="25">
        <f t="shared" si="175"/>
        <v>11271</v>
      </c>
      <c r="L277" s="25">
        <f t="shared" si="175"/>
        <v>11498</v>
      </c>
      <c r="M277" s="25">
        <f t="shared" si="175"/>
        <v>11671</v>
      </c>
      <c r="N277" s="25">
        <f t="shared" si="175"/>
        <v>12697</v>
      </c>
      <c r="O277" s="25">
        <f t="shared" si="175"/>
        <v>-4069</v>
      </c>
      <c r="P277" s="25">
        <f t="shared" si="175"/>
        <v>7103</v>
      </c>
      <c r="Q277" s="25">
        <f t="shared" si="175"/>
        <v>13818</v>
      </c>
      <c r="R277" s="25">
        <f t="shared" si="175"/>
        <v>13920</v>
      </c>
      <c r="S277" s="25">
        <f t="shared" si="175"/>
        <v>14614</v>
      </c>
      <c r="T277" s="25">
        <f t="shared" si="175"/>
        <v>10210</v>
      </c>
      <c r="U277" s="25">
        <f t="shared" si="175"/>
        <v>18574</v>
      </c>
      <c r="V277" s="25">
        <f t="shared" si="175"/>
        <v>22090.618999999999</v>
      </c>
      <c r="W277" s="25">
        <f t="shared" si="175"/>
        <v>22221</v>
      </c>
      <c r="X277" s="25">
        <f t="shared" si="175"/>
        <v>23652.562999999998</v>
      </c>
      <c r="Y277" s="25">
        <f t="shared" si="175"/>
        <v>25526.2</v>
      </c>
      <c r="Z277" s="25"/>
      <c r="AA277" s="25"/>
      <c r="AD277" s="5"/>
      <c r="AE277" s="5"/>
      <c r="AF277" s="5"/>
      <c r="AG277" s="5"/>
      <c r="AY277" s="25"/>
      <c r="BC277" s="5"/>
      <c r="BD277" s="5"/>
      <c r="BE277" s="5"/>
      <c r="BF277" s="5"/>
      <c r="BG277" s="5"/>
      <c r="BH277" s="5"/>
      <c r="BI277" s="5"/>
      <c r="BJ277" s="5"/>
      <c r="BK277" s="22"/>
      <c r="BL277" s="23"/>
      <c r="BM277" s="22"/>
      <c r="BN277" s="22"/>
      <c r="BO277" s="22"/>
      <c r="BP277" s="22"/>
      <c r="BQ277" s="22"/>
      <c r="BR277" s="24"/>
      <c r="BS277" s="5"/>
      <c r="BT277" s="5"/>
    </row>
    <row r="278" spans="1:72" s="33" customFormat="1" hidden="1" outlineLevel="1">
      <c r="A278" s="5"/>
      <c r="B278" s="5"/>
      <c r="C278" s="5" t="s">
        <v>178</v>
      </c>
      <c r="D278" s="31" t="e" vm="1">
        <f>IF(D11="yes",VLOOKUP($C18,'Other Data'!$C$7:$J$200,D$4,FALSE),"…")</f>
        <v>#VALUE!</v>
      </c>
      <c r="E278" s="31" t="e" vm="1">
        <f>IF(E11="yes",VLOOKUP($C18,'Other Data'!$C$7:$J$200,E$4,FALSE),"…")</f>
        <v>#VALUE!</v>
      </c>
      <c r="F278" s="31">
        <f>IF(F11="yes",VLOOKUP($C18,'Other Data'!$C$7:$J$200,F$4,FALSE),"…")</f>
        <v>0.38340000000000002</v>
      </c>
      <c r="G278" s="31">
        <f>IF(G11="yes",VLOOKUP($C18,'Other Data'!$C$7:$J$200,G$4,FALSE),"…")</f>
        <v>0.3836</v>
      </c>
      <c r="H278" s="31">
        <f>IF(H11="yes",VLOOKUP($C18,'Other Data'!$C$7:$J$200,H$4,FALSE),"…")</f>
        <v>0.29510000000000003</v>
      </c>
      <c r="I278" s="31">
        <f>IF(I11="yes",VLOOKUP($C18,'Other Data'!$C$7:$J$200,I$4,FALSE),"…")</f>
        <v>0.2944</v>
      </c>
      <c r="J278" s="31">
        <f>IF(J11="yes",VLOOKUP($C18,'Other Data'!$C$7:$J$200,J$4,FALSE),"…")</f>
        <v>0.29410000000000003</v>
      </c>
      <c r="K278" s="31">
        <f>IF(K11="yes",VLOOKUP($C18,'Other Data'!$C$7:$AK$200,K$4,FALSE),IF(K$8="E",J278,"…"))</f>
        <v>0.29370000000000002</v>
      </c>
      <c r="L278" s="31">
        <f>IF(L11="yes",VLOOKUP($C18,'Other Data'!$C$7:$AK$200,L$4,FALSE),IF(L$8="E",K278,"…"))</f>
        <v>0.29480000000000001</v>
      </c>
      <c r="M278" s="31">
        <f>IF(M11="yes",VLOOKUP($C18,'Other Data'!$C$7:$AK$200,M$4,FALSE),IF(M$8="E",L278,"…"))</f>
        <v>0.29549999999999998</v>
      </c>
      <c r="N278" s="31">
        <f>IF(N11="yes",VLOOKUP($C18,'Other Data'!$C$7:$AK$200,N$4,FALSE),IF(N$8="E",M278,"…"))</f>
        <v>0.29580000000000001</v>
      </c>
      <c r="O278" s="31">
        <f>IF(O11="yes",VLOOKUP($C18,'Other Data'!$C$7:$AK$200,O$4,FALSE),IF(O$8="E",N278,"…"))</f>
        <v>0.29720000000000002</v>
      </c>
      <c r="P278" s="31">
        <f>IF(P11="yes",VLOOKUP($C18,'Other Data'!$C$7:$AK$200,P$4,FALSE),IF(P$8="E",O278,"…"))</f>
        <v>0.29720000000000002</v>
      </c>
      <c r="Q278" s="31">
        <f>IF(Q11="yes",VLOOKUP($C18,'Other Data'!$C$7:$AK$200,Q$4,FALSE),IF(Q$8="E",P278,"…"))</f>
        <v>0.2979</v>
      </c>
      <c r="R278" s="31">
        <f>IF(R11="yes",VLOOKUP($C18,'Other Data'!$C$7:$AK$200,R$4,FALSE),IF(R$8="E",Q278,"…"))</f>
        <v>0.3</v>
      </c>
      <c r="S278" s="31">
        <f>IF(S11="yes",VLOOKUP($C18,'Other Data'!$C$7:$AK$200,S$4,FALSE),IF(S$8="E",R278,"…"))</f>
        <v>0.3</v>
      </c>
      <c r="T278" s="31">
        <f>IF(T11="yes",VLOOKUP($C18,'Other Data'!$C$7:$AK$200,T$4,FALSE),IF(T$8="E",S278,"…"))</f>
        <v>0.3</v>
      </c>
      <c r="U278" s="31">
        <f>IF(U11="yes",VLOOKUP($C18,'Other Data'!$C$7:$AK$200,U$4,FALSE),IF(U$8="E",T278,"…"))</f>
        <v>0.29580000000000001</v>
      </c>
      <c r="V278" s="31">
        <f>IF(V11="yes",VLOOKUP($C18,'Other Data'!$C$7:$AK$200,V$4,FALSE),IF(V$8="E",U278,"…"))</f>
        <v>0.29580000000000001</v>
      </c>
      <c r="W278" s="31">
        <f>IF(W11="yes",VLOOKUP($C18,'Other Data'!$C$7:$AK$200,W$4,FALSE),IF(W$8="E",V278,"…"))</f>
        <v>0.29580000000000001</v>
      </c>
      <c r="X278" s="31">
        <f>IF(X11="yes",VLOOKUP($C18,'Other Data'!$C$7:$AK$200,X$4,FALSE),IF(X$8="E",W278,"…"))</f>
        <v>0.29580000000000001</v>
      </c>
      <c r="Y278" s="31">
        <f>IF(Y11="yes",VLOOKUP($C18,'Other Data'!$C$7:$AK$200,Y$4,FALSE),IF(Y$8="E",X278,"…"))</f>
        <v>0.29580000000000001</v>
      </c>
      <c r="Z278" s="31"/>
      <c r="AA278" s="31"/>
      <c r="AD278" s="5"/>
      <c r="AE278" s="5"/>
      <c r="AF278" s="5"/>
      <c r="AG278" s="5"/>
      <c r="AY278" s="31"/>
      <c r="BC278" s="5"/>
      <c r="BD278" s="5"/>
      <c r="BE278" s="5"/>
      <c r="BF278" s="5"/>
      <c r="BG278" s="5"/>
      <c r="BH278" s="5"/>
      <c r="BI278" s="5"/>
      <c r="BJ278" s="5"/>
      <c r="BK278" s="22"/>
      <c r="BL278" s="23"/>
      <c r="BM278" s="22"/>
      <c r="BN278" s="22"/>
      <c r="BO278" s="22"/>
      <c r="BP278" s="22"/>
      <c r="BQ278" s="22"/>
      <c r="BR278" s="24"/>
      <c r="BS278" s="5"/>
      <c r="BT278" s="5"/>
    </row>
    <row r="279" spans="1:72" s="33" customFormat="1" hidden="1" outlineLevel="1">
      <c r="A279" s="5"/>
      <c r="B279" s="5"/>
      <c r="C279" s="5" t="s">
        <v>179</v>
      </c>
      <c r="D279" s="25" t="str">
        <f t="shared" ref="D279:Y279" si="176">IFERROR(-D277*D278,"…")</f>
        <v>…</v>
      </c>
      <c r="E279" s="25" t="str">
        <f t="shared" si="176"/>
        <v>…</v>
      </c>
      <c r="F279" s="25">
        <f t="shared" si="176"/>
        <v>-1331.1648</v>
      </c>
      <c r="G279" s="25">
        <f t="shared" si="176"/>
        <v>-2661.4168</v>
      </c>
      <c r="H279" s="25">
        <f t="shared" si="176"/>
        <v>-1868.8683000000001</v>
      </c>
      <c r="I279" s="25">
        <f t="shared" si="176"/>
        <v>-546.11199999999997</v>
      </c>
      <c r="J279" s="25">
        <f t="shared" si="176"/>
        <v>-2100.1681000000003</v>
      </c>
      <c r="K279" s="25">
        <f t="shared" si="176"/>
        <v>-3310.2927</v>
      </c>
      <c r="L279" s="25">
        <f t="shared" si="176"/>
        <v>-3389.6104</v>
      </c>
      <c r="M279" s="25">
        <f t="shared" si="176"/>
        <v>-3448.7804999999998</v>
      </c>
      <c r="N279" s="25">
        <f t="shared" si="176"/>
        <v>-3755.7726000000002</v>
      </c>
      <c r="O279" s="25">
        <f t="shared" si="176"/>
        <v>1209.3068000000001</v>
      </c>
      <c r="P279" s="25">
        <f t="shared" si="176"/>
        <v>-2111.0116000000003</v>
      </c>
      <c r="Q279" s="25">
        <f t="shared" si="176"/>
        <v>-4116.3822</v>
      </c>
      <c r="R279" s="25">
        <f t="shared" si="176"/>
        <v>-4176</v>
      </c>
      <c r="S279" s="25">
        <f t="shared" si="176"/>
        <v>-4384.2</v>
      </c>
      <c r="T279" s="25">
        <f t="shared" si="176"/>
        <v>-3063</v>
      </c>
      <c r="U279" s="25">
        <f t="shared" si="176"/>
        <v>-5494.1891999999998</v>
      </c>
      <c r="V279" s="25">
        <f t="shared" si="176"/>
        <v>-6534.4051001999997</v>
      </c>
      <c r="W279" s="25">
        <f t="shared" si="176"/>
        <v>-6572.9718000000003</v>
      </c>
      <c r="X279" s="25">
        <f t="shared" si="176"/>
        <v>-6996.4281353999995</v>
      </c>
      <c r="Y279" s="25">
        <f t="shared" si="176"/>
        <v>-7550.6499600000006</v>
      </c>
      <c r="Z279" s="25"/>
      <c r="AA279" s="25"/>
      <c r="AD279" s="22"/>
      <c r="AE279" s="5"/>
      <c r="AF279" s="5"/>
      <c r="AG279" s="5"/>
      <c r="AY279" s="25"/>
      <c r="BC279" s="5"/>
      <c r="BD279" s="5"/>
      <c r="BE279" s="5"/>
      <c r="BF279" s="5"/>
      <c r="BG279" s="5"/>
      <c r="BH279" s="5"/>
      <c r="BI279" s="5"/>
      <c r="BJ279" s="5"/>
      <c r="BK279" s="22"/>
      <c r="BL279" s="23"/>
      <c r="BM279" s="22"/>
      <c r="BN279" s="22"/>
      <c r="BO279" s="22"/>
      <c r="BP279" s="22"/>
      <c r="BQ279" s="22"/>
      <c r="BR279" s="24"/>
      <c r="BS279" s="5"/>
      <c r="BT279" s="5"/>
    </row>
    <row r="280" spans="1:72" hidden="1" outlineLevel="1">
      <c r="AG280" s="33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Z280" s="5"/>
    </row>
    <row r="281" spans="1:72" ht="13.15" hidden="1" outlineLevel="1">
      <c r="B281" s="9"/>
      <c r="C281" s="13" t="s">
        <v>143</v>
      </c>
      <c r="D281" s="47" t="str">
        <f t="shared" ref="D281:Y281" si="177">IF(OR(D$8="A",D$8="E"),IFERROR(D279+D181,"…"),IF(D$8="L","…","…"))</f>
        <v>…</v>
      </c>
      <c r="E281" s="47" t="str">
        <f t="shared" si="177"/>
        <v>…</v>
      </c>
      <c r="F281" s="47">
        <f t="shared" si="177"/>
        <v>5730.8351999999995</v>
      </c>
      <c r="G281" s="47">
        <f t="shared" si="177"/>
        <v>8504.5832000000009</v>
      </c>
      <c r="H281" s="47">
        <f t="shared" si="177"/>
        <v>8245.1316999999999</v>
      </c>
      <c r="I281" s="47">
        <f t="shared" si="177"/>
        <v>5595.8879999999999</v>
      </c>
      <c r="J281" s="58">
        <f t="shared" si="177"/>
        <v>10398.831899999999</v>
      </c>
      <c r="K281" s="58">
        <f t="shared" si="177"/>
        <v>13376.7073</v>
      </c>
      <c r="L281" s="58">
        <f t="shared" si="177"/>
        <v>15253.3896</v>
      </c>
      <c r="M281" s="58">
        <f t="shared" si="177"/>
        <v>16183.219499999999</v>
      </c>
      <c r="N281" s="58">
        <f t="shared" si="177"/>
        <v>18223.2274</v>
      </c>
      <c r="O281" s="58">
        <f t="shared" si="177"/>
        <v>3711.3068000000003</v>
      </c>
      <c r="P281" s="58">
        <f t="shared" si="177"/>
        <v>10416.9884</v>
      </c>
      <c r="Q281" s="58">
        <f t="shared" si="177"/>
        <v>14967.6178</v>
      </c>
      <c r="R281" s="58">
        <f t="shared" si="177"/>
        <v>14961</v>
      </c>
      <c r="S281" s="58">
        <f t="shared" si="177"/>
        <v>14959.8</v>
      </c>
      <c r="T281" s="58">
        <f t="shared" si="177"/>
        <v>12396</v>
      </c>
      <c r="U281" s="58">
        <f t="shared" si="177"/>
        <v>17818.810799999999</v>
      </c>
      <c r="V281" s="58">
        <f t="shared" si="177"/>
        <v>12599.735579121241</v>
      </c>
      <c r="W281" s="58">
        <f t="shared" si="177"/>
        <v>14824.615007959372</v>
      </c>
      <c r="X281" s="58">
        <f t="shared" si="177"/>
        <v>15936.735935853356</v>
      </c>
      <c r="Y281" s="58">
        <f t="shared" si="177"/>
        <v>19905.502980093697</v>
      </c>
      <c r="Z281" s="58"/>
      <c r="AA281" s="58"/>
      <c r="AB281" s="25"/>
      <c r="AC281" s="25"/>
      <c r="AG281" s="33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8"/>
      <c r="AZ281" s="5"/>
      <c r="BJ281" s="22"/>
      <c r="BK281" s="22"/>
      <c r="BL281" s="23"/>
      <c r="BM281" s="22"/>
      <c r="BN281" s="22"/>
      <c r="BO281" s="22"/>
      <c r="BP281" s="22"/>
      <c r="BQ281" s="22"/>
      <c r="BR281" s="24"/>
      <c r="BT281" s="23"/>
    </row>
    <row r="282" spans="1:72" hidden="1" outlineLevel="1">
      <c r="AG282" s="33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Z282" s="5"/>
      <c r="BK282" s="22"/>
      <c r="BL282" s="23"/>
      <c r="BM282" s="22"/>
      <c r="BN282" s="22"/>
      <c r="BO282" s="22"/>
      <c r="BP282" s="22"/>
      <c r="BQ282" s="22"/>
      <c r="BR282" s="24"/>
    </row>
    <row r="283" spans="1:72" ht="13.15" collapsed="1">
      <c r="C283" s="12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25"/>
      <c r="P283" s="25"/>
      <c r="Q283" s="25"/>
      <c r="R283" s="25"/>
      <c r="S283" s="25"/>
      <c r="T283" s="25"/>
      <c r="U283" s="25"/>
      <c r="V283" s="25"/>
      <c r="W283" s="25"/>
      <c r="X283" s="25"/>
      <c r="Y283" s="25"/>
      <c r="Z283" s="25"/>
      <c r="AA283" s="25"/>
      <c r="AB283" s="25"/>
      <c r="AC283" s="25"/>
      <c r="AD283" s="22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25"/>
      <c r="AZ283" s="5"/>
      <c r="BJ283" s="24"/>
      <c r="BK283" s="22"/>
      <c r="BL283" s="23"/>
      <c r="BM283" s="22"/>
      <c r="BN283" s="22"/>
      <c r="BO283" s="22"/>
      <c r="BP283" s="22"/>
      <c r="BQ283" s="22"/>
      <c r="BR283" s="24"/>
      <c r="BT283" s="33"/>
    </row>
    <row r="284" spans="1:72" ht="13.15">
      <c r="C284" s="12" t="s">
        <v>203</v>
      </c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25"/>
      <c r="AC284" s="25"/>
      <c r="AD284" s="24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J284" s="24"/>
      <c r="BK284" s="22"/>
      <c r="BL284" s="23"/>
      <c r="BM284" s="22"/>
      <c r="BN284" s="22"/>
      <c r="BO284" s="22"/>
      <c r="BP284" s="22"/>
      <c r="BQ284" s="22"/>
      <c r="BR284" s="24"/>
      <c r="BT284" s="33"/>
    </row>
    <row r="285" spans="1:72" s="33" customFormat="1">
      <c r="A285" s="5"/>
      <c r="AB285" s="25"/>
      <c r="AC285" s="25"/>
      <c r="AD285" s="24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24"/>
      <c r="BK285" s="22"/>
      <c r="BL285" s="23"/>
      <c r="BM285" s="22"/>
      <c r="BN285" s="22"/>
      <c r="BO285" s="22"/>
      <c r="BP285" s="22"/>
      <c r="BQ285" s="22"/>
      <c r="BR285" s="24"/>
      <c r="BS285" s="5"/>
    </row>
    <row r="286" spans="1:72" hidden="1" outlineLevel="1"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Z286" s="5"/>
      <c r="BK286" s="22"/>
      <c r="BL286" s="23"/>
      <c r="BM286" s="22"/>
      <c r="BN286" s="22"/>
      <c r="BO286" s="22"/>
      <c r="BP286" s="22"/>
      <c r="BQ286" s="22"/>
      <c r="BR286" s="24"/>
    </row>
    <row r="287" spans="1:72" hidden="1" outlineLevel="1">
      <c r="C287" s="5" t="s">
        <v>401</v>
      </c>
      <c r="D287" s="25">
        <f t="shared" ref="D287:Y287" si="178">IF(ISNUMBER(D288),D288,IF(ISNUMBER(D292),D292,"…"))</f>
        <v>7265</v>
      </c>
      <c r="E287" s="25">
        <f t="shared" si="178"/>
        <v>7430</v>
      </c>
      <c r="F287" s="25">
        <f t="shared" si="178"/>
        <v>6998</v>
      </c>
      <c r="G287" s="25">
        <f t="shared" si="178"/>
        <v>6629</v>
      </c>
      <c r="H287" s="25">
        <f t="shared" si="178"/>
        <v>9520</v>
      </c>
      <c r="I287" s="25">
        <f t="shared" si="178"/>
        <v>9978</v>
      </c>
      <c r="J287" s="25">
        <f t="shared" si="178"/>
        <v>9694</v>
      </c>
      <c r="K287" s="25">
        <f t="shared" si="178"/>
        <v>17842</v>
      </c>
      <c r="L287" s="25">
        <f t="shared" si="178"/>
        <v>35222</v>
      </c>
      <c r="M287" s="48">
        <f t="shared" si="178"/>
        <v>35513</v>
      </c>
      <c r="N287" s="48">
        <f t="shared" si="178"/>
        <v>36358</v>
      </c>
      <c r="O287" s="48">
        <f t="shared" si="178"/>
        <v>37501</v>
      </c>
      <c r="P287" s="48">
        <f t="shared" si="178"/>
        <v>39040</v>
      </c>
      <c r="Q287" s="48">
        <f t="shared" si="178"/>
        <v>39977</v>
      </c>
      <c r="R287" s="48">
        <f t="shared" si="178"/>
        <v>41296</v>
      </c>
      <c r="S287" s="48">
        <f t="shared" si="178"/>
        <v>42967</v>
      </c>
      <c r="T287" s="48">
        <f t="shared" si="178"/>
        <v>44650</v>
      </c>
      <c r="U287" s="48">
        <f t="shared" si="178"/>
        <v>51515</v>
      </c>
      <c r="V287" s="48" t="str">
        <f t="shared" si="178"/>
        <v>…</v>
      </c>
      <c r="W287" s="48" t="str">
        <f t="shared" si="178"/>
        <v>…</v>
      </c>
      <c r="X287" s="48" t="str">
        <f t="shared" si="178"/>
        <v>…</v>
      </c>
      <c r="Y287" s="48" t="str">
        <f t="shared" si="178"/>
        <v>…</v>
      </c>
      <c r="Z287" s="48"/>
      <c r="AA287" s="48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48"/>
      <c r="AZ287" s="5"/>
      <c r="BK287" s="22"/>
      <c r="BL287" s="23"/>
      <c r="BM287" s="22"/>
      <c r="BN287" s="22"/>
      <c r="BO287" s="22"/>
      <c r="BP287" s="22"/>
      <c r="BQ287" s="22"/>
      <c r="BR287" s="24"/>
    </row>
    <row r="288" spans="1:72" hidden="1" outlineLevel="1">
      <c r="C288" s="44" t="s">
        <v>309</v>
      </c>
      <c r="D288" s="25">
        <f>IF(ISNUMBER(D289),D289,IF(ISNUMBER(D290),D290,"…"))</f>
        <v>7265</v>
      </c>
      <c r="E288" s="25">
        <f t="shared" ref="E288:Y288" si="179">IF(ISNUMBER(E289),E289,IF(ISNUMBER(E290),E290,"…"))</f>
        <v>7430</v>
      </c>
      <c r="F288" s="25">
        <f t="shared" si="179"/>
        <v>6998</v>
      </c>
      <c r="G288" s="25">
        <f t="shared" si="179"/>
        <v>6629</v>
      </c>
      <c r="H288" s="25">
        <f t="shared" si="179"/>
        <v>9520</v>
      </c>
      <c r="I288" s="25">
        <f t="shared" si="179"/>
        <v>9978</v>
      </c>
      <c r="J288" s="25">
        <f t="shared" si="179"/>
        <v>9694</v>
      </c>
      <c r="K288" s="25">
        <f t="shared" si="179"/>
        <v>17842</v>
      </c>
      <c r="L288" s="25">
        <f t="shared" si="179"/>
        <v>35222</v>
      </c>
      <c r="M288" s="25">
        <f t="shared" si="179"/>
        <v>35513</v>
      </c>
      <c r="N288" s="25">
        <f t="shared" si="179"/>
        <v>36358</v>
      </c>
      <c r="O288" s="25">
        <f t="shared" si="179"/>
        <v>37501</v>
      </c>
      <c r="P288" s="25">
        <f t="shared" si="179"/>
        <v>39040</v>
      </c>
      <c r="Q288" s="25">
        <f t="shared" si="179"/>
        <v>39977</v>
      </c>
      <c r="R288" s="25">
        <f t="shared" si="179"/>
        <v>41296</v>
      </c>
      <c r="S288" s="25">
        <f t="shared" si="179"/>
        <v>42967</v>
      </c>
      <c r="T288" s="25">
        <f t="shared" si="179"/>
        <v>44650</v>
      </c>
      <c r="U288" s="25">
        <f t="shared" si="179"/>
        <v>51515</v>
      </c>
      <c r="V288" s="25" t="str">
        <f t="shared" si="179"/>
        <v>…</v>
      </c>
      <c r="W288" s="25" t="str">
        <f t="shared" si="179"/>
        <v>…</v>
      </c>
      <c r="X288" s="25" t="str">
        <f t="shared" si="179"/>
        <v>…</v>
      </c>
      <c r="Y288" s="25" t="str">
        <f t="shared" si="179"/>
        <v>…</v>
      </c>
      <c r="Z288" s="25"/>
      <c r="AA288" s="2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25"/>
      <c r="AZ288" s="5"/>
      <c r="BK288" s="22"/>
      <c r="BL288" s="23"/>
      <c r="BM288" s="22"/>
      <c r="BN288" s="22"/>
      <c r="BO288" s="22"/>
      <c r="BP288" s="22"/>
      <c r="BQ288" s="22"/>
      <c r="BR288" s="24"/>
    </row>
    <row r="289" spans="1:71" hidden="1" outlineLevel="1">
      <c r="C289" s="43" t="s">
        <v>154</v>
      </c>
      <c r="D289" s="25">
        <f t="shared" ref="D289:V289" si="180">IF(D$8="A",IFERROR(D386-D390,"…"),IF(D$8="L","…","…"))</f>
        <v>7265</v>
      </c>
      <c r="E289" s="25">
        <f t="shared" si="180"/>
        <v>7430</v>
      </c>
      <c r="F289" s="25">
        <f t="shared" si="180"/>
        <v>6998</v>
      </c>
      <c r="G289" s="25">
        <f t="shared" si="180"/>
        <v>6629</v>
      </c>
      <c r="H289" s="25">
        <f t="shared" si="180"/>
        <v>9520</v>
      </c>
      <c r="I289" s="25">
        <f t="shared" si="180"/>
        <v>9978</v>
      </c>
      <c r="J289" s="25">
        <f t="shared" si="180"/>
        <v>9694</v>
      </c>
      <c r="K289" s="25">
        <f t="shared" si="180"/>
        <v>17842</v>
      </c>
      <c r="L289" s="25">
        <f t="shared" si="180"/>
        <v>35222</v>
      </c>
      <c r="M289" s="25">
        <f t="shared" si="180"/>
        <v>35513</v>
      </c>
      <c r="N289" s="25">
        <f t="shared" si="180"/>
        <v>36358</v>
      </c>
      <c r="O289" s="25">
        <f t="shared" si="180"/>
        <v>37501</v>
      </c>
      <c r="P289" s="25">
        <f t="shared" si="180"/>
        <v>39040</v>
      </c>
      <c r="Q289" s="25">
        <f t="shared" si="180"/>
        <v>39977</v>
      </c>
      <c r="R289" s="25">
        <f t="shared" si="180"/>
        <v>41296</v>
      </c>
      <c r="S289" s="25">
        <f t="shared" si="180"/>
        <v>42967</v>
      </c>
      <c r="T289" s="25">
        <f t="shared" si="180"/>
        <v>44650</v>
      </c>
      <c r="U289" s="25">
        <f t="shared" si="180"/>
        <v>51515</v>
      </c>
      <c r="V289" s="25" t="str">
        <f t="shared" si="180"/>
        <v>…</v>
      </c>
      <c r="W289" s="25" t="str">
        <f>IF(W$8="A",IFERROR(W386-W390,"…"),IF(W$8="L","…","…"))</f>
        <v>…</v>
      </c>
      <c r="X289" s="25" t="str">
        <f>IF(X$8="A",IFERROR(X386-X390,"…"),IF(X$8="L","…","…"))</f>
        <v>…</v>
      </c>
      <c r="Y289" s="25" t="str">
        <f>IF(Y$8="A",IFERROR(Y386-Y390,"…"),IF(Y$8="L","…","…"))</f>
        <v>…</v>
      </c>
      <c r="Z289" s="25"/>
      <c r="AA289" s="25"/>
      <c r="AB289" s="25"/>
      <c r="AC289" s="2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25"/>
      <c r="AZ289" s="5"/>
      <c r="BK289" s="22"/>
      <c r="BL289" s="23"/>
      <c r="BM289" s="22"/>
      <c r="BN289" s="22"/>
      <c r="BO289" s="22"/>
      <c r="BP289" s="22"/>
      <c r="BQ289" s="22"/>
      <c r="BR289" s="24"/>
    </row>
    <row r="290" spans="1:71" hidden="1" outlineLevel="1">
      <c r="C290" s="43" t="s">
        <v>400</v>
      </c>
      <c r="D290" s="25">
        <f t="shared" ref="D290:P290" si="181">IF(D$8="A",IFERROR(AVERAGE(C291,E291)*(D386),"…"),IF(D$8="L","…","…"))</f>
        <v>7257.5247782994256</v>
      </c>
      <c r="E290" s="25">
        <f t="shared" si="181"/>
        <v>7448.88788387761</v>
      </c>
      <c r="F290" s="25">
        <f t="shared" si="181"/>
        <v>6975.5301824394664</v>
      </c>
      <c r="G290" s="25">
        <f t="shared" si="181"/>
        <v>5967.5103119119003</v>
      </c>
      <c r="H290" s="25">
        <f t="shared" si="181"/>
        <v>10715.538929259788</v>
      </c>
      <c r="I290" s="25">
        <f t="shared" si="181"/>
        <v>9772.6937987957172</v>
      </c>
      <c r="J290" s="25">
        <f t="shared" si="181"/>
        <v>10336.647284419309</v>
      </c>
      <c r="K290" s="25">
        <f t="shared" si="181"/>
        <v>14809.533487844901</v>
      </c>
      <c r="L290" s="25">
        <f t="shared" si="181"/>
        <v>41496.212830708479</v>
      </c>
      <c r="M290" s="25">
        <f t="shared" si="181"/>
        <v>35619.435043967977</v>
      </c>
      <c r="N290" s="25">
        <f t="shared" si="181"/>
        <v>36342.753146728071</v>
      </c>
      <c r="O290" s="25">
        <f t="shared" si="181"/>
        <v>37613.842598529438</v>
      </c>
      <c r="P290" s="25">
        <f t="shared" si="181"/>
        <v>38925.80150902793</v>
      </c>
      <c r="Q290" s="25">
        <f t="shared" ref="Q290:Y290" si="182">IF(Q$8="A",IFERROR(AVERAGE(P291,AC291)*(Q386),"…"),IF(Q$8="L","…","…"))</f>
        <v>39551.39475071487</v>
      </c>
      <c r="R290" s="25">
        <f t="shared" si="182"/>
        <v>40729.653589618254</v>
      </c>
      <c r="S290" s="25">
        <f t="shared" si="182"/>
        <v>42319.244486403666</v>
      </c>
      <c r="T290" s="25">
        <f t="shared" si="182"/>
        <v>44105.190080647597</v>
      </c>
      <c r="U290" s="25">
        <f t="shared" si="182"/>
        <v>51035.985316619583</v>
      </c>
      <c r="V290" s="25" t="str">
        <f t="shared" si="182"/>
        <v>…</v>
      </c>
      <c r="W290" s="25" t="str">
        <f t="shared" si="182"/>
        <v>…</v>
      </c>
      <c r="X290" s="25" t="str">
        <f t="shared" si="182"/>
        <v>…</v>
      </c>
      <c r="Y290" s="25" t="str">
        <f t="shared" si="182"/>
        <v>…</v>
      </c>
      <c r="Z290" s="25"/>
      <c r="AA290" s="25"/>
      <c r="AB290" s="25"/>
      <c r="AC290" s="2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25"/>
      <c r="AZ290" s="5"/>
      <c r="BK290" s="22"/>
      <c r="BL290" s="23"/>
      <c r="BM290" s="22"/>
      <c r="BN290" s="22"/>
      <c r="BO290" s="22"/>
      <c r="BP290" s="22"/>
      <c r="BQ290" s="22"/>
      <c r="BR290" s="24"/>
    </row>
    <row r="291" spans="1:71" hidden="1" outlineLevel="1">
      <c r="C291" s="69" t="s">
        <v>408</v>
      </c>
      <c r="D291" s="70">
        <f t="shared" ref="D291:V291" si="183">IFERROR(IF(D$11="yes",D375/(D390+D375),"…"),"…")</f>
        <v>0.96995994659546059</v>
      </c>
      <c r="E291" s="70">
        <f t="shared" si="183"/>
        <v>0.96896191966614498</v>
      </c>
      <c r="F291" s="70">
        <f t="shared" si="183"/>
        <v>0.97289031002363413</v>
      </c>
      <c r="G291" s="70">
        <f t="shared" si="183"/>
        <v>0.97057101024890191</v>
      </c>
      <c r="H291" s="70">
        <f t="shared" si="183"/>
        <v>0.77455048409405258</v>
      </c>
      <c r="I291" s="70">
        <f t="shared" si="183"/>
        <v>0.77306887735337415</v>
      </c>
      <c r="J291" s="108">
        <f t="shared" si="183"/>
        <v>0.73977411477411481</v>
      </c>
      <c r="K291" s="108">
        <f t="shared" si="183"/>
        <v>0.80456349206349209</v>
      </c>
      <c r="L291" s="108">
        <f t="shared" si="183"/>
        <v>0.59586202229703444</v>
      </c>
      <c r="M291" s="108">
        <f t="shared" si="183"/>
        <v>0.59944634809175767</v>
      </c>
      <c r="N291" s="108">
        <f t="shared" si="183"/>
        <v>0.6066238424960374</v>
      </c>
      <c r="O291" s="108">
        <f t="shared" si="183"/>
        <v>0.61329255727999743</v>
      </c>
      <c r="P291" s="108">
        <f t="shared" si="183"/>
        <v>0.62365213501813133</v>
      </c>
      <c r="Q291" s="108">
        <f t="shared" si="183"/>
        <v>0.63036314038379671</v>
      </c>
      <c r="R291" s="108">
        <f t="shared" si="183"/>
        <v>0.63912834878430036</v>
      </c>
      <c r="S291" s="108">
        <f t="shared" si="183"/>
        <v>0.64891110641254113</v>
      </c>
      <c r="T291" s="108">
        <f t="shared" si="183"/>
        <v>0.6569267890772128</v>
      </c>
      <c r="U291" s="108">
        <f t="shared" si="183"/>
        <v>0.66309258711014429</v>
      </c>
      <c r="V291" s="108" t="str">
        <f t="shared" si="183"/>
        <v>…</v>
      </c>
      <c r="W291" s="108" t="str">
        <f>IFERROR(IF(W$11="yes",W375/(W390+W375),"…"),"…")</f>
        <v>…</v>
      </c>
      <c r="X291" s="108" t="str">
        <f>IFERROR(IF(X$11="yes",X375/(X390+X375),"…"),"…")</f>
        <v>…</v>
      </c>
      <c r="Y291" s="108" t="str">
        <f>IFERROR(IF(Y$11="yes",Y375/(Y390+Y375),"…"),"…")</f>
        <v>…</v>
      </c>
      <c r="Z291" s="108"/>
      <c r="AA291" s="108"/>
      <c r="AB291" s="25"/>
      <c r="AC291" s="2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108"/>
      <c r="AZ291" s="5"/>
      <c r="BK291" s="22"/>
      <c r="BL291" s="23"/>
      <c r="BM291" s="22"/>
      <c r="BN291" s="22"/>
      <c r="BO291" s="22"/>
      <c r="BP291" s="22"/>
      <c r="BQ291" s="22"/>
      <c r="BR291" s="24"/>
    </row>
    <row r="292" spans="1:71" hidden="1" outlineLevel="1">
      <c r="C292" s="44" t="s">
        <v>306</v>
      </c>
      <c r="D292" s="25">
        <f t="shared" ref="D292:Y292" si="184">IF(ISNUMBER(D293),D293,IF(ISNUMBER(D294),D294,IF(ISNUMBER(D289),D289,IF(ISNUMBER(D290),D290,"…"))))</f>
        <v>7490</v>
      </c>
      <c r="E292" s="25">
        <f t="shared" si="184"/>
        <v>7430</v>
      </c>
      <c r="F292" s="25">
        <f t="shared" si="184"/>
        <v>6998</v>
      </c>
      <c r="G292" s="25">
        <f t="shared" si="184"/>
        <v>6629</v>
      </c>
      <c r="H292" s="25">
        <f t="shared" si="184"/>
        <v>4317</v>
      </c>
      <c r="I292" s="25">
        <f t="shared" si="184"/>
        <v>925</v>
      </c>
      <c r="J292" s="25">
        <f t="shared" si="184"/>
        <v>2713</v>
      </c>
      <c r="K292" s="25">
        <f t="shared" si="184"/>
        <v>7748</v>
      </c>
      <c r="L292" s="25">
        <f t="shared" si="184"/>
        <v>5282</v>
      </c>
      <c r="M292" s="25">
        <f t="shared" si="184"/>
        <v>4282</v>
      </c>
      <c r="N292" s="25">
        <f t="shared" si="184"/>
        <v>3654</v>
      </c>
      <c r="O292" s="25">
        <f t="shared" si="184"/>
        <v>3058</v>
      </c>
      <c r="P292" s="25">
        <f t="shared" si="184"/>
        <v>2527</v>
      </c>
      <c r="Q292" s="25">
        <f t="shared" si="184"/>
        <v>2093</v>
      </c>
      <c r="R292" s="25">
        <f t="shared" si="184"/>
        <v>2004</v>
      </c>
      <c r="S292" s="25">
        <f t="shared" si="184"/>
        <v>2189</v>
      </c>
      <c r="T292" s="25">
        <f t="shared" si="184"/>
        <v>2288</v>
      </c>
      <c r="U292" s="25">
        <f t="shared" si="184"/>
        <v>5059</v>
      </c>
      <c r="V292" s="25" t="str">
        <f t="shared" si="184"/>
        <v>…</v>
      </c>
      <c r="W292" s="25" t="str">
        <f t="shared" si="184"/>
        <v>…</v>
      </c>
      <c r="X292" s="25" t="str">
        <f t="shared" si="184"/>
        <v>…</v>
      </c>
      <c r="Y292" s="25" t="str">
        <f t="shared" si="184"/>
        <v>…</v>
      </c>
      <c r="Z292" s="25"/>
      <c r="AA292" s="25"/>
      <c r="AB292" s="5"/>
      <c r="AC292" s="5"/>
      <c r="AD292" s="25" t="s">
        <v>307</v>
      </c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25"/>
      <c r="AZ292" s="5"/>
      <c r="BK292" s="22"/>
      <c r="BL292" s="23"/>
      <c r="BM292" s="22"/>
      <c r="BN292" s="22"/>
      <c r="BO292" s="22"/>
      <c r="BP292" s="22"/>
      <c r="BQ292" s="22"/>
      <c r="BR292" s="24"/>
    </row>
    <row r="293" spans="1:71" hidden="1" outlineLevel="1">
      <c r="C293" s="43" t="s">
        <v>154</v>
      </c>
      <c r="D293" s="25" t="str">
        <f t="shared" ref="D293:Y293" si="185">IF(D$8="A",D376,IF(D$8="L",C293,"…"))</f>
        <v>…</v>
      </c>
      <c r="E293" s="25" t="str">
        <f t="shared" si="185"/>
        <v>…</v>
      </c>
      <c r="F293" s="25" t="str">
        <f t="shared" si="185"/>
        <v>…</v>
      </c>
      <c r="G293" s="25" t="str">
        <f t="shared" si="185"/>
        <v>…</v>
      </c>
      <c r="H293" s="25" t="str">
        <f t="shared" si="185"/>
        <v>…</v>
      </c>
      <c r="I293" s="25" t="str">
        <f t="shared" si="185"/>
        <v>…</v>
      </c>
      <c r="J293" s="25" t="str">
        <f t="shared" si="185"/>
        <v>…</v>
      </c>
      <c r="K293" s="25" t="str">
        <f t="shared" si="185"/>
        <v>…</v>
      </c>
      <c r="L293" s="25" t="str">
        <f t="shared" si="185"/>
        <v>…</v>
      </c>
      <c r="M293" s="25" t="str">
        <f t="shared" si="185"/>
        <v>…</v>
      </c>
      <c r="N293" s="25" t="str">
        <f t="shared" si="185"/>
        <v>…</v>
      </c>
      <c r="O293" s="25" t="str">
        <f t="shared" si="185"/>
        <v>…</v>
      </c>
      <c r="P293" s="25" t="str">
        <f t="shared" si="185"/>
        <v>…</v>
      </c>
      <c r="Q293" s="25" t="str">
        <f t="shared" si="185"/>
        <v>…</v>
      </c>
      <c r="R293" s="25" t="str">
        <f t="shared" si="185"/>
        <v>…</v>
      </c>
      <c r="S293" s="25" t="str">
        <f t="shared" si="185"/>
        <v>…</v>
      </c>
      <c r="T293" s="25" t="str">
        <f t="shared" si="185"/>
        <v>…</v>
      </c>
      <c r="U293" s="25" t="str">
        <f t="shared" si="185"/>
        <v>…</v>
      </c>
      <c r="V293" s="25" t="str">
        <f t="shared" si="185"/>
        <v>…</v>
      </c>
      <c r="W293" s="25" t="str">
        <f t="shared" si="185"/>
        <v>…</v>
      </c>
      <c r="X293" s="25" t="str">
        <f t="shared" si="185"/>
        <v>…</v>
      </c>
      <c r="Y293" s="25" t="str">
        <f t="shared" si="185"/>
        <v>…</v>
      </c>
      <c r="Z293" s="25"/>
      <c r="AA293" s="25"/>
      <c r="AB293" s="5"/>
      <c r="AC293" s="5"/>
      <c r="AD293" s="25" t="s">
        <v>307</v>
      </c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25"/>
      <c r="AZ293" s="5"/>
      <c r="BK293" s="22"/>
      <c r="BL293" s="23"/>
      <c r="BM293" s="22"/>
      <c r="BN293" s="22"/>
      <c r="BO293" s="22"/>
      <c r="BP293" s="22"/>
      <c r="BQ293" s="22"/>
      <c r="BR293" s="24"/>
    </row>
    <row r="294" spans="1:71" hidden="1" outlineLevel="1">
      <c r="C294" s="43" t="s">
        <v>161</v>
      </c>
      <c r="D294" s="25">
        <f t="shared" ref="D294:V294" si="186">IF(D$8="A",D378,IF(D$8="L","…","…"))</f>
        <v>7490</v>
      </c>
      <c r="E294" s="25" t="str">
        <f t="shared" si="186"/>
        <v>…</v>
      </c>
      <c r="F294" s="25" t="str">
        <f t="shared" si="186"/>
        <v>…</v>
      </c>
      <c r="G294" s="25" t="str">
        <f t="shared" si="186"/>
        <v>…</v>
      </c>
      <c r="H294" s="25">
        <f t="shared" si="186"/>
        <v>4317</v>
      </c>
      <c r="I294" s="25">
        <f t="shared" si="186"/>
        <v>925</v>
      </c>
      <c r="J294" s="25">
        <f t="shared" si="186"/>
        <v>2713</v>
      </c>
      <c r="K294" s="25">
        <f t="shared" si="186"/>
        <v>7748</v>
      </c>
      <c r="L294" s="25">
        <f t="shared" si="186"/>
        <v>5282</v>
      </c>
      <c r="M294" s="25">
        <f t="shared" si="186"/>
        <v>4282</v>
      </c>
      <c r="N294" s="25">
        <f t="shared" si="186"/>
        <v>3654</v>
      </c>
      <c r="O294" s="25">
        <f t="shared" si="186"/>
        <v>3058</v>
      </c>
      <c r="P294" s="25">
        <f t="shared" si="186"/>
        <v>2527</v>
      </c>
      <c r="Q294" s="25">
        <f t="shared" si="186"/>
        <v>2093</v>
      </c>
      <c r="R294" s="25">
        <f t="shared" si="186"/>
        <v>2004</v>
      </c>
      <c r="S294" s="25">
        <f t="shared" si="186"/>
        <v>2189</v>
      </c>
      <c r="T294" s="25">
        <f t="shared" si="186"/>
        <v>2288</v>
      </c>
      <c r="U294" s="25">
        <f t="shared" si="186"/>
        <v>5059</v>
      </c>
      <c r="V294" s="25" t="str">
        <f t="shared" si="186"/>
        <v>…</v>
      </c>
      <c r="W294" s="25" t="str">
        <f>IF(W$8="A",W378,IF(W$8="L","…","…"))</f>
        <v>…</v>
      </c>
      <c r="X294" s="25" t="str">
        <f>IF(X$8="A",X378,IF(X$8="L","…","…"))</f>
        <v>…</v>
      </c>
      <c r="Y294" s="25" t="str">
        <f>IF(Y$8="A",Y378,IF(Y$8="L","…","…"))</f>
        <v>…</v>
      </c>
      <c r="Z294" s="25"/>
      <c r="AA294" s="25"/>
      <c r="AB294" s="5"/>
      <c r="AC294" s="5"/>
      <c r="AD294" s="25" t="s">
        <v>307</v>
      </c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25"/>
      <c r="AZ294" s="5"/>
      <c r="BK294" s="22"/>
      <c r="BL294" s="23"/>
      <c r="BM294" s="22"/>
      <c r="BN294" s="22"/>
      <c r="BO294" s="22"/>
      <c r="BP294" s="22"/>
      <c r="BQ294" s="22"/>
      <c r="BR294" s="24"/>
    </row>
    <row r="295" spans="1:71" hidden="1" outlineLevel="1"/>
    <row r="296" spans="1:71" hidden="1" outlineLevel="1">
      <c r="C296" s="43"/>
      <c r="D296" s="34"/>
      <c r="E296" s="34"/>
      <c r="F296" s="34"/>
      <c r="G296" s="34"/>
      <c r="H296" s="34"/>
      <c r="I296" s="3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25"/>
      <c r="AC296" s="2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4"/>
      <c r="AZ296" s="5"/>
      <c r="BK296" s="22"/>
      <c r="BL296" s="23"/>
      <c r="BM296" s="22"/>
      <c r="BN296" s="22"/>
      <c r="BO296" s="22"/>
      <c r="BP296" s="22"/>
      <c r="BQ296" s="22"/>
      <c r="BR296" s="24"/>
    </row>
    <row r="297" spans="1:71" s="33" customFormat="1" hidden="1" outlineLevel="1">
      <c r="A297" s="5"/>
      <c r="B297" s="5"/>
      <c r="C297" s="5" t="s">
        <v>326</v>
      </c>
      <c r="D297" s="25">
        <f t="shared" ref="D297:Y297" si="187">IF(D$8="A",IF(D11="no","…",SUM(D298:D304)),IF(D$8="L",C297,"…"))</f>
        <v>10134</v>
      </c>
      <c r="E297" s="25">
        <f t="shared" si="187"/>
        <v>11423</v>
      </c>
      <c r="F297" s="25">
        <f t="shared" si="187"/>
        <v>15415</v>
      </c>
      <c r="G297" s="25">
        <f t="shared" si="187"/>
        <v>18067</v>
      </c>
      <c r="H297" s="25">
        <f t="shared" si="187"/>
        <v>14070</v>
      </c>
      <c r="I297" s="25">
        <f t="shared" si="187"/>
        <v>17271</v>
      </c>
      <c r="J297" s="25">
        <f t="shared" si="187"/>
        <v>23917</v>
      </c>
      <c r="K297" s="25">
        <f t="shared" si="187"/>
        <v>25777</v>
      </c>
      <c r="L297" s="25">
        <f t="shared" si="187"/>
        <v>26448</v>
      </c>
      <c r="M297" s="25">
        <f t="shared" si="187"/>
        <v>25989</v>
      </c>
      <c r="N297" s="25">
        <f t="shared" si="187"/>
        <v>30296</v>
      </c>
      <c r="O297" s="25">
        <f t="shared" si="187"/>
        <v>35885</v>
      </c>
      <c r="P297" s="25">
        <f t="shared" si="187"/>
        <v>51076</v>
      </c>
      <c r="Q297" s="25">
        <f t="shared" si="187"/>
        <v>49405</v>
      </c>
      <c r="R297" s="25">
        <f t="shared" si="187"/>
        <v>49704</v>
      </c>
      <c r="S297" s="25">
        <f t="shared" si="187"/>
        <v>51325</v>
      </c>
      <c r="T297" s="25">
        <f t="shared" si="187"/>
        <v>60692</v>
      </c>
      <c r="U297" s="25">
        <f t="shared" si="187"/>
        <v>69237</v>
      </c>
      <c r="V297" s="25" t="str">
        <f t="shared" si="187"/>
        <v>…</v>
      </c>
      <c r="W297" s="25" t="str">
        <f t="shared" si="187"/>
        <v>…</v>
      </c>
      <c r="X297" s="25" t="str">
        <f t="shared" si="187"/>
        <v>…</v>
      </c>
      <c r="Y297" s="25" t="str">
        <f t="shared" si="187"/>
        <v>…</v>
      </c>
      <c r="Z297" s="25"/>
      <c r="AA297" s="25"/>
      <c r="AB297" s="20"/>
      <c r="AC297" s="20"/>
      <c r="AD297" s="5"/>
      <c r="AE297" s="5"/>
      <c r="AF297" s="5"/>
      <c r="AG297" s="5"/>
      <c r="AH297" s="5"/>
      <c r="AI297" s="20"/>
      <c r="AJ297" s="20"/>
      <c r="AK297" s="20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25"/>
      <c r="AZ297" s="5"/>
      <c r="BA297" s="5"/>
      <c r="BB297" s="5"/>
      <c r="BD297" s="5"/>
      <c r="BE297" s="5"/>
      <c r="BF297" s="5"/>
      <c r="BG297" s="5"/>
      <c r="BH297" s="5"/>
      <c r="BI297" s="5"/>
      <c r="BJ297" s="24"/>
      <c r="BK297" s="22"/>
      <c r="BL297" s="23"/>
      <c r="BM297" s="22"/>
      <c r="BN297" s="22"/>
      <c r="BO297" s="22"/>
      <c r="BP297" s="22"/>
      <c r="BQ297" s="22"/>
      <c r="BR297" s="24"/>
      <c r="BS297" s="5"/>
    </row>
    <row r="298" spans="1:71" s="33" customFormat="1" hidden="1" outlineLevel="1">
      <c r="A298" s="5"/>
      <c r="B298" s="5"/>
      <c r="C298" s="40" t="str">
        <f>C428</f>
        <v>Short-term investments</v>
      </c>
      <c r="D298" s="47">
        <f t="shared" ref="D298:Y298" si="188">IF(D$8="A",D428,IF(D$8="L",C298,"…"))</f>
        <v>2933</v>
      </c>
      <c r="E298" s="47">
        <f t="shared" si="188"/>
        <v>4017</v>
      </c>
      <c r="F298" s="47">
        <f t="shared" si="188"/>
        <v>5091</v>
      </c>
      <c r="G298" s="47">
        <f t="shared" si="188"/>
        <v>6615</v>
      </c>
      <c r="H298" s="47">
        <f t="shared" si="188"/>
        <v>3770</v>
      </c>
      <c r="I298" s="47">
        <f t="shared" si="188"/>
        <v>3330</v>
      </c>
      <c r="J298" s="58">
        <f t="shared" si="188"/>
        <v>5501</v>
      </c>
      <c r="K298" s="58">
        <f t="shared" si="188"/>
        <v>6146</v>
      </c>
      <c r="L298" s="58">
        <f t="shared" si="188"/>
        <v>7433</v>
      </c>
      <c r="M298" s="58">
        <f t="shared" si="188"/>
        <v>8492</v>
      </c>
      <c r="N298" s="58">
        <f t="shared" si="188"/>
        <v>10861</v>
      </c>
      <c r="O298" s="58">
        <f t="shared" si="188"/>
        <v>15007</v>
      </c>
      <c r="P298" s="58">
        <f t="shared" si="188"/>
        <v>17520</v>
      </c>
      <c r="Q298" s="58">
        <f t="shared" si="188"/>
        <v>15939</v>
      </c>
      <c r="R298" s="58">
        <f t="shared" si="188"/>
        <v>17080</v>
      </c>
      <c r="S298" s="58">
        <f t="shared" si="188"/>
        <v>16769</v>
      </c>
      <c r="T298" s="58">
        <f t="shared" si="188"/>
        <v>21162</v>
      </c>
      <c r="U298" s="58">
        <f t="shared" si="188"/>
        <v>22532</v>
      </c>
      <c r="V298" s="58" t="str">
        <f t="shared" si="188"/>
        <v>…</v>
      </c>
      <c r="W298" s="58" t="str">
        <f t="shared" si="188"/>
        <v>…</v>
      </c>
      <c r="X298" s="58" t="str">
        <f t="shared" si="188"/>
        <v>…</v>
      </c>
      <c r="Y298" s="58" t="str">
        <f t="shared" si="188"/>
        <v>…</v>
      </c>
      <c r="Z298" s="58"/>
      <c r="AA298" s="58"/>
      <c r="AB298" s="20"/>
      <c r="AC298" s="20"/>
      <c r="AD298" s="5"/>
      <c r="AE298" s="5"/>
      <c r="AF298" s="5"/>
      <c r="AG298" s="5"/>
      <c r="AH298" s="5"/>
      <c r="AI298" s="20"/>
      <c r="AJ298" s="20"/>
      <c r="AK298" s="20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8"/>
      <c r="AZ298" s="5"/>
      <c r="BA298" s="5"/>
      <c r="BB298" s="5"/>
      <c r="BD298" s="5"/>
      <c r="BE298" s="5"/>
      <c r="BF298" s="5"/>
      <c r="BG298" s="5"/>
      <c r="BH298" s="5"/>
      <c r="BI298" s="5"/>
      <c r="BJ298" s="24"/>
      <c r="BK298" s="22"/>
      <c r="BL298" s="23"/>
      <c r="BM298" s="22"/>
      <c r="BN298" s="22"/>
      <c r="BO298" s="22"/>
      <c r="BP298" s="22"/>
      <c r="BQ298" s="22"/>
      <c r="BR298" s="24"/>
      <c r="BS298" s="5"/>
    </row>
    <row r="299" spans="1:71" s="33" customFormat="1" hidden="1" outlineLevel="1">
      <c r="A299" s="5"/>
      <c r="B299" s="5"/>
      <c r="C299" s="40" t="s">
        <v>251</v>
      </c>
      <c r="D299" s="47">
        <f t="shared" ref="D299:Y299" si="189">IF(D$8="A",D433,IF(D$8="L",C299,"…"))</f>
        <v>293</v>
      </c>
      <c r="E299" s="47">
        <f t="shared" si="189"/>
        <v>336</v>
      </c>
      <c r="F299" s="47">
        <f t="shared" si="189"/>
        <v>410</v>
      </c>
      <c r="G299" s="47">
        <f t="shared" si="189"/>
        <v>548</v>
      </c>
      <c r="H299" s="47">
        <f t="shared" si="189"/>
        <v>583</v>
      </c>
      <c r="I299" s="47">
        <f t="shared" si="189"/>
        <v>543</v>
      </c>
      <c r="J299" s="58">
        <f t="shared" si="189"/>
        <v>640</v>
      </c>
      <c r="K299" s="58">
        <f t="shared" si="189"/>
        <v>3049</v>
      </c>
      <c r="L299" s="58">
        <f t="shared" si="189"/>
        <v>3870</v>
      </c>
      <c r="M299" s="58">
        <f t="shared" si="189"/>
        <v>3941</v>
      </c>
      <c r="N299" s="58">
        <f t="shared" si="189"/>
        <v>3683</v>
      </c>
      <c r="O299" s="58">
        <f t="shared" si="189"/>
        <v>1948</v>
      </c>
      <c r="P299" s="58">
        <f t="shared" si="189"/>
        <v>15184</v>
      </c>
      <c r="Q299" s="58">
        <f t="shared" si="189"/>
        <v>15451</v>
      </c>
      <c r="R299" s="58">
        <f t="shared" si="189"/>
        <v>14059</v>
      </c>
      <c r="S299" s="58">
        <f t="shared" si="189"/>
        <v>13281</v>
      </c>
      <c r="T299" s="58">
        <f t="shared" si="189"/>
        <v>15964</v>
      </c>
      <c r="U299" s="58">
        <f t="shared" si="189"/>
        <v>20781</v>
      </c>
      <c r="V299" s="58" t="str">
        <f t="shared" si="189"/>
        <v>…</v>
      </c>
      <c r="W299" s="58" t="str">
        <f t="shared" si="189"/>
        <v>…</v>
      </c>
      <c r="X299" s="58" t="str">
        <f t="shared" si="189"/>
        <v>…</v>
      </c>
      <c r="Y299" s="58" t="str">
        <f t="shared" si="189"/>
        <v>…</v>
      </c>
      <c r="Z299" s="58"/>
      <c r="AA299" s="58"/>
      <c r="AB299" s="20"/>
      <c r="AC299" s="20"/>
      <c r="AD299" s="5"/>
      <c r="AE299" s="5"/>
      <c r="AF299" s="5"/>
      <c r="AG299" s="5"/>
      <c r="AH299" s="5"/>
      <c r="AI299" s="20"/>
      <c r="AJ299" s="20"/>
      <c r="AK299" s="20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8"/>
      <c r="AZ299" s="5"/>
      <c r="BA299" s="5"/>
      <c r="BB299" s="5"/>
      <c r="BD299" s="5"/>
      <c r="BE299" s="5"/>
      <c r="BF299" s="5"/>
      <c r="BG299" s="5"/>
      <c r="BH299" s="5"/>
      <c r="BI299" s="5"/>
      <c r="BJ299" s="24"/>
      <c r="BK299" s="22"/>
      <c r="BL299" s="23"/>
      <c r="BM299" s="22"/>
      <c r="BN299" s="22"/>
      <c r="BO299" s="22"/>
      <c r="BP299" s="22"/>
      <c r="BQ299" s="22"/>
      <c r="BR299" s="24"/>
      <c r="BS299" s="5"/>
    </row>
    <row r="300" spans="1:71" s="33" customFormat="1" hidden="1" outlineLevel="1">
      <c r="A300" s="5"/>
      <c r="B300" s="5"/>
      <c r="C300" s="40" t="s">
        <v>258</v>
      </c>
      <c r="D300" s="47">
        <f t="shared" ref="D300:Y300" si="190">IF(D$8="A",D409,IF(D$8="L",C300,"…"))</f>
        <v>2687</v>
      </c>
      <c r="E300" s="47">
        <f t="shared" si="190"/>
        <v>2872</v>
      </c>
      <c r="F300" s="47">
        <f t="shared" si="190"/>
        <v>3038</v>
      </c>
      <c r="G300" s="47">
        <f t="shared" si="190"/>
        <v>3109</v>
      </c>
      <c r="H300" s="47">
        <f t="shared" si="190"/>
        <v>3344</v>
      </c>
      <c r="I300" s="47">
        <f t="shared" si="190"/>
        <v>3013</v>
      </c>
      <c r="J300" s="58">
        <f t="shared" si="190"/>
        <v>4248</v>
      </c>
      <c r="K300" s="58">
        <f t="shared" si="190"/>
        <v>6333</v>
      </c>
      <c r="L300" s="58">
        <f t="shared" si="190"/>
        <v>7836</v>
      </c>
      <c r="M300" s="58">
        <f t="shared" si="190"/>
        <v>5622</v>
      </c>
      <c r="N300" s="58">
        <f t="shared" si="190"/>
        <v>5878</v>
      </c>
      <c r="O300" s="58">
        <f t="shared" si="190"/>
        <v>8026</v>
      </c>
      <c r="P300" s="58">
        <f t="shared" si="190"/>
        <v>9756</v>
      </c>
      <c r="Q300" s="58">
        <f t="shared" si="190"/>
        <v>9810</v>
      </c>
      <c r="R300" s="58">
        <f t="shared" si="190"/>
        <v>10131</v>
      </c>
      <c r="S300" s="58">
        <f t="shared" si="190"/>
        <v>13106</v>
      </c>
      <c r="T300" s="58">
        <f t="shared" si="190"/>
        <v>13486</v>
      </c>
      <c r="U300" s="58">
        <f t="shared" si="190"/>
        <v>13393</v>
      </c>
      <c r="V300" s="58" t="str">
        <f t="shared" si="190"/>
        <v>…</v>
      </c>
      <c r="W300" s="58" t="str">
        <f t="shared" si="190"/>
        <v>…</v>
      </c>
      <c r="X300" s="58" t="str">
        <f t="shared" si="190"/>
        <v>…</v>
      </c>
      <c r="Y300" s="58" t="str">
        <f t="shared" si="190"/>
        <v>…</v>
      </c>
      <c r="Z300" s="58"/>
      <c r="AA300" s="58"/>
      <c r="AB300" s="20"/>
      <c r="AC300" s="20"/>
      <c r="AD300" s="5"/>
      <c r="AE300" s="5"/>
      <c r="AF300" s="5"/>
      <c r="AG300" s="5"/>
      <c r="AH300" s="5"/>
      <c r="AI300" s="20"/>
      <c r="AJ300" s="20"/>
      <c r="AK300" s="20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8"/>
      <c r="AZ300" s="5"/>
      <c r="BA300" s="5"/>
      <c r="BB300" s="5"/>
      <c r="BD300" s="5"/>
      <c r="BE300" s="5"/>
      <c r="BF300" s="5"/>
      <c r="BG300" s="5"/>
      <c r="BH300" s="5"/>
      <c r="BI300" s="5"/>
      <c r="BJ300" s="24"/>
      <c r="BK300" s="22"/>
      <c r="BL300" s="23"/>
      <c r="BM300" s="22"/>
      <c r="BN300" s="22"/>
      <c r="BO300" s="22"/>
      <c r="BP300" s="22"/>
      <c r="BQ300" s="22"/>
      <c r="BR300" s="24"/>
      <c r="BS300" s="5"/>
    </row>
    <row r="301" spans="1:71" s="33" customFormat="1" hidden="1" outlineLevel="1">
      <c r="A301" s="5"/>
      <c r="B301" s="5"/>
      <c r="C301" s="40" t="s">
        <v>261</v>
      </c>
      <c r="D301" s="47">
        <f t="shared" ref="D301:Y301" si="191">IF(D$8="A",D412,IF(D$8="L",C301,"…"))</f>
        <v>4221</v>
      </c>
      <c r="E301" s="47">
        <f t="shared" si="191"/>
        <v>4198</v>
      </c>
      <c r="F301" s="47">
        <f t="shared" si="191"/>
        <v>6876</v>
      </c>
      <c r="G301" s="47">
        <f t="shared" si="191"/>
        <v>7795</v>
      </c>
      <c r="H301" s="47">
        <f t="shared" si="191"/>
        <v>6373</v>
      </c>
      <c r="I301" s="47">
        <f t="shared" si="191"/>
        <v>10385</v>
      </c>
      <c r="J301" s="58">
        <f t="shared" si="191"/>
        <v>13528</v>
      </c>
      <c r="K301" s="58">
        <f t="shared" si="191"/>
        <v>10249</v>
      </c>
      <c r="L301" s="58">
        <f t="shared" si="191"/>
        <v>7309</v>
      </c>
      <c r="M301" s="58">
        <f t="shared" si="191"/>
        <v>7934</v>
      </c>
      <c r="N301" s="58">
        <f t="shared" si="191"/>
        <v>9874</v>
      </c>
      <c r="O301" s="58">
        <f t="shared" si="191"/>
        <v>10904</v>
      </c>
      <c r="P301" s="58">
        <f t="shared" si="191"/>
        <v>8616</v>
      </c>
      <c r="Q301" s="58">
        <f t="shared" si="191"/>
        <v>8205</v>
      </c>
      <c r="R301" s="58">
        <f t="shared" si="191"/>
        <v>8434</v>
      </c>
      <c r="S301" s="58">
        <f t="shared" si="191"/>
        <v>8169</v>
      </c>
      <c r="T301" s="58">
        <f t="shared" si="191"/>
        <v>10080</v>
      </c>
      <c r="U301" s="58">
        <f t="shared" si="191"/>
        <v>12531</v>
      </c>
      <c r="V301" s="58" t="str">
        <f t="shared" si="191"/>
        <v>…</v>
      </c>
      <c r="W301" s="58" t="str">
        <f t="shared" si="191"/>
        <v>…</v>
      </c>
      <c r="X301" s="58" t="str">
        <f t="shared" si="191"/>
        <v>…</v>
      </c>
      <c r="Y301" s="58" t="str">
        <f t="shared" si="191"/>
        <v>…</v>
      </c>
      <c r="Z301" s="58"/>
      <c r="AA301" s="58"/>
      <c r="AB301" s="20"/>
      <c r="AC301" s="20"/>
      <c r="AD301" s="5"/>
      <c r="AE301" s="5"/>
      <c r="AF301" s="5"/>
      <c r="AG301" s="5"/>
      <c r="AH301" s="5"/>
      <c r="AI301" s="20"/>
      <c r="AJ301" s="20"/>
      <c r="AK301" s="20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8"/>
      <c r="AZ301" s="5"/>
      <c r="BA301" s="5"/>
      <c r="BB301" s="5"/>
      <c r="BD301" s="5"/>
      <c r="BE301" s="5"/>
      <c r="BF301" s="5"/>
      <c r="BG301" s="5"/>
      <c r="BH301" s="5"/>
      <c r="BI301" s="5"/>
      <c r="BJ301" s="24"/>
      <c r="BK301" s="22"/>
      <c r="BL301" s="23"/>
      <c r="BM301" s="22"/>
      <c r="BN301" s="22"/>
      <c r="BO301" s="22"/>
      <c r="BP301" s="22"/>
      <c r="BQ301" s="22"/>
      <c r="BR301" s="24"/>
      <c r="BS301" s="5"/>
    </row>
    <row r="302" spans="1:71" s="33" customFormat="1" hidden="1" outlineLevel="1">
      <c r="A302" s="5"/>
      <c r="B302" s="5"/>
      <c r="C302" s="40" t="str">
        <f>C417</f>
        <v>Assets Held For Sale</v>
      </c>
      <c r="D302" s="47">
        <f t="shared" ref="D302:Y302" si="192">IF(D$8="A",D417,IF(D$8="L",C302,"…"))</f>
        <v>0</v>
      </c>
      <c r="E302" s="47">
        <f t="shared" si="192"/>
        <v>0</v>
      </c>
      <c r="F302" s="47">
        <f t="shared" si="192"/>
        <v>0</v>
      </c>
      <c r="G302" s="47">
        <f t="shared" si="192"/>
        <v>0</v>
      </c>
      <c r="H302" s="47">
        <f t="shared" si="192"/>
        <v>0</v>
      </c>
      <c r="I302" s="47">
        <f t="shared" si="192"/>
        <v>0</v>
      </c>
      <c r="J302" s="58">
        <f t="shared" si="192"/>
        <v>0</v>
      </c>
      <c r="K302" s="58">
        <f t="shared" si="192"/>
        <v>0</v>
      </c>
      <c r="L302" s="58">
        <f t="shared" si="192"/>
        <v>0</v>
      </c>
      <c r="M302" s="58">
        <f t="shared" si="192"/>
        <v>0</v>
      </c>
      <c r="N302" s="58">
        <f t="shared" si="192"/>
        <v>0</v>
      </c>
      <c r="O302" s="58">
        <f t="shared" si="192"/>
        <v>0</v>
      </c>
      <c r="P302" s="58">
        <f t="shared" si="192"/>
        <v>0</v>
      </c>
      <c r="Q302" s="58">
        <f t="shared" si="192"/>
        <v>0</v>
      </c>
      <c r="R302" s="58">
        <f t="shared" si="192"/>
        <v>0</v>
      </c>
      <c r="S302" s="58">
        <f t="shared" si="192"/>
        <v>0</v>
      </c>
      <c r="T302" s="58">
        <f t="shared" si="192"/>
        <v>0</v>
      </c>
      <c r="U302" s="58">
        <f t="shared" si="192"/>
        <v>0</v>
      </c>
      <c r="V302" s="58" t="str">
        <f t="shared" si="192"/>
        <v>…</v>
      </c>
      <c r="W302" s="58" t="str">
        <f t="shared" si="192"/>
        <v>…</v>
      </c>
      <c r="X302" s="58" t="str">
        <f t="shared" si="192"/>
        <v>…</v>
      </c>
      <c r="Y302" s="58" t="str">
        <f t="shared" si="192"/>
        <v>…</v>
      </c>
      <c r="Z302" s="58"/>
      <c r="AA302" s="58"/>
      <c r="AB302" s="20"/>
      <c r="AC302" s="20"/>
      <c r="AD302" s="5"/>
      <c r="AE302" s="5"/>
      <c r="AF302" s="5"/>
      <c r="AG302" s="5"/>
      <c r="AH302" s="5"/>
      <c r="AI302" s="20"/>
      <c r="AJ302" s="20"/>
      <c r="AK302" s="20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8"/>
      <c r="AZ302" s="5"/>
      <c r="BA302" s="5"/>
      <c r="BB302" s="5"/>
      <c r="BD302" s="5"/>
      <c r="BE302" s="5"/>
      <c r="BF302" s="5"/>
      <c r="BG302" s="5"/>
      <c r="BH302" s="5"/>
      <c r="BI302" s="5"/>
      <c r="BJ302" s="24"/>
      <c r="BK302" s="22"/>
      <c r="BL302" s="23"/>
      <c r="BM302" s="22"/>
      <c r="BN302" s="22"/>
      <c r="BO302" s="22"/>
      <c r="BP302" s="22"/>
      <c r="BQ302" s="22"/>
      <c r="BR302" s="24"/>
      <c r="BS302" s="5"/>
    </row>
    <row r="303" spans="1:71" s="33" customFormat="1" hidden="1" outlineLevel="1">
      <c r="A303" s="5"/>
      <c r="B303" s="5"/>
      <c r="C303" s="40" t="s">
        <v>208</v>
      </c>
      <c r="D303" s="47">
        <f t="shared" ref="D303:Y303" si="193">IF(D$8="A",D420,IF(D$8="L",C303,"…"))</f>
        <v>0</v>
      </c>
      <c r="E303" s="47">
        <f t="shared" si="193"/>
        <v>0</v>
      </c>
      <c r="F303" s="47">
        <f t="shared" si="193"/>
        <v>0</v>
      </c>
      <c r="G303" s="47">
        <f t="shared" si="193"/>
        <v>0</v>
      </c>
      <c r="H303" s="47">
        <f t="shared" si="193"/>
        <v>0</v>
      </c>
      <c r="I303" s="47">
        <f t="shared" si="193"/>
        <v>0</v>
      </c>
      <c r="J303" s="58">
        <f t="shared" si="193"/>
        <v>0</v>
      </c>
      <c r="K303" s="58">
        <f t="shared" si="193"/>
        <v>0</v>
      </c>
      <c r="L303" s="58">
        <f t="shared" si="193"/>
        <v>0</v>
      </c>
      <c r="M303" s="58">
        <f t="shared" si="193"/>
        <v>0</v>
      </c>
      <c r="N303" s="58">
        <f t="shared" si="193"/>
        <v>0</v>
      </c>
      <c r="O303" s="58">
        <f t="shared" si="193"/>
        <v>0</v>
      </c>
      <c r="P303" s="58">
        <f t="shared" si="193"/>
        <v>0</v>
      </c>
      <c r="Q303" s="58">
        <f t="shared" si="193"/>
        <v>0</v>
      </c>
      <c r="R303" s="58">
        <f t="shared" si="193"/>
        <v>0</v>
      </c>
      <c r="S303" s="58">
        <f t="shared" si="193"/>
        <v>0</v>
      </c>
      <c r="T303" s="58">
        <f t="shared" si="193"/>
        <v>0</v>
      </c>
      <c r="U303" s="58">
        <f t="shared" si="193"/>
        <v>0</v>
      </c>
      <c r="V303" s="58" t="str">
        <f t="shared" si="193"/>
        <v>…</v>
      </c>
      <c r="W303" s="58" t="str">
        <f t="shared" si="193"/>
        <v>…</v>
      </c>
      <c r="X303" s="58" t="str">
        <f t="shared" si="193"/>
        <v>…</v>
      </c>
      <c r="Y303" s="58" t="str">
        <f t="shared" si="193"/>
        <v>…</v>
      </c>
      <c r="Z303" s="58"/>
      <c r="AA303" s="58"/>
      <c r="AB303" s="20"/>
      <c r="AC303" s="20"/>
      <c r="AD303" s="5"/>
      <c r="AE303" s="5"/>
      <c r="AF303" s="5"/>
      <c r="AG303" s="5"/>
      <c r="AH303" s="5"/>
      <c r="AI303" s="20"/>
      <c r="AJ303" s="20"/>
      <c r="AK303" s="20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8"/>
      <c r="AZ303" s="5"/>
      <c r="BA303" s="5"/>
      <c r="BB303" s="5"/>
      <c r="BD303" s="5"/>
      <c r="BE303" s="5"/>
      <c r="BF303" s="5"/>
      <c r="BG303" s="5"/>
      <c r="BH303" s="5"/>
      <c r="BI303" s="5"/>
      <c r="BJ303" s="24"/>
      <c r="BK303" s="22"/>
      <c r="BL303" s="23"/>
      <c r="BM303" s="22"/>
      <c r="BN303" s="22"/>
      <c r="BO303" s="22"/>
      <c r="BP303" s="22"/>
      <c r="BQ303" s="22"/>
      <c r="BR303" s="24"/>
      <c r="BS303" s="5"/>
    </row>
    <row r="304" spans="1:71" s="33" customFormat="1" hidden="1" outlineLevel="1">
      <c r="A304" s="5"/>
      <c r="B304" s="5"/>
      <c r="C304" s="40" t="s">
        <v>209</v>
      </c>
      <c r="D304" s="47">
        <f t="shared" ref="D304:Y304" si="194">IF(D$8="A",D423,IF(D$8="L",C304,"…"))</f>
        <v>0</v>
      </c>
      <c r="E304" s="47">
        <f t="shared" si="194"/>
        <v>0</v>
      </c>
      <c r="F304" s="47">
        <f t="shared" si="194"/>
        <v>0</v>
      </c>
      <c r="G304" s="47">
        <f t="shared" si="194"/>
        <v>0</v>
      </c>
      <c r="H304" s="47">
        <f t="shared" si="194"/>
        <v>0</v>
      </c>
      <c r="I304" s="47">
        <f t="shared" si="194"/>
        <v>0</v>
      </c>
      <c r="J304" s="58">
        <f t="shared" si="194"/>
        <v>0</v>
      </c>
      <c r="K304" s="58">
        <f t="shared" si="194"/>
        <v>0</v>
      </c>
      <c r="L304" s="58">
        <f t="shared" si="194"/>
        <v>0</v>
      </c>
      <c r="M304" s="58">
        <f t="shared" si="194"/>
        <v>0</v>
      </c>
      <c r="N304" s="58">
        <f t="shared" si="194"/>
        <v>0</v>
      </c>
      <c r="O304" s="58">
        <f t="shared" si="194"/>
        <v>0</v>
      </c>
      <c r="P304" s="58">
        <f t="shared" si="194"/>
        <v>0</v>
      </c>
      <c r="Q304" s="58">
        <f t="shared" si="194"/>
        <v>0</v>
      </c>
      <c r="R304" s="58">
        <f t="shared" si="194"/>
        <v>0</v>
      </c>
      <c r="S304" s="58">
        <f t="shared" si="194"/>
        <v>0</v>
      </c>
      <c r="T304" s="58">
        <f t="shared" si="194"/>
        <v>0</v>
      </c>
      <c r="U304" s="58">
        <f t="shared" si="194"/>
        <v>0</v>
      </c>
      <c r="V304" s="58" t="str">
        <f t="shared" si="194"/>
        <v>…</v>
      </c>
      <c r="W304" s="58" t="str">
        <f t="shared" si="194"/>
        <v>…</v>
      </c>
      <c r="X304" s="58" t="str">
        <f t="shared" si="194"/>
        <v>…</v>
      </c>
      <c r="Y304" s="58" t="str">
        <f t="shared" si="194"/>
        <v>…</v>
      </c>
      <c r="Z304" s="58"/>
      <c r="AA304" s="58"/>
      <c r="AB304" s="20"/>
      <c r="AC304" s="20"/>
      <c r="AD304" s="5"/>
      <c r="AE304" s="5"/>
      <c r="AF304" s="5"/>
      <c r="AG304" s="5"/>
      <c r="AH304" s="5"/>
      <c r="AI304" s="20"/>
      <c r="AJ304" s="20"/>
      <c r="AK304" s="20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8"/>
      <c r="AZ304" s="5"/>
      <c r="BA304" s="5"/>
      <c r="BB304" s="5"/>
      <c r="BD304" s="5"/>
      <c r="BE304" s="5"/>
      <c r="BF304" s="5"/>
      <c r="BG304" s="5"/>
      <c r="BH304" s="5"/>
      <c r="BI304" s="5"/>
      <c r="BJ304" s="24"/>
      <c r="BK304" s="22"/>
      <c r="BL304" s="23"/>
      <c r="BM304" s="22"/>
      <c r="BN304" s="22"/>
      <c r="BO304" s="22"/>
      <c r="BP304" s="22"/>
      <c r="BQ304" s="22"/>
      <c r="BR304" s="24"/>
      <c r="BS304" s="5"/>
    </row>
    <row r="305" spans="1:72" s="33" customFormat="1" hidden="1" outlineLevel="1">
      <c r="A305" s="5"/>
      <c r="B305" s="5"/>
      <c r="C305" s="5"/>
      <c r="D305" s="20"/>
      <c r="E305" s="20"/>
      <c r="F305" s="20"/>
      <c r="G305" s="5"/>
      <c r="H305" s="5"/>
      <c r="I305" s="5"/>
      <c r="J305" s="5"/>
      <c r="K305" s="5"/>
      <c r="L305" s="5"/>
      <c r="M305" s="5"/>
      <c r="N305" s="5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  <c r="AA305" s="20"/>
      <c r="AB305" s="20"/>
      <c r="AC305" s="20"/>
      <c r="AD305" s="5"/>
      <c r="AE305" s="5"/>
      <c r="AF305" s="5"/>
      <c r="AG305" s="5"/>
      <c r="AH305" s="5"/>
      <c r="AI305" s="20"/>
      <c r="AJ305" s="20"/>
      <c r="AK305" s="20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20"/>
      <c r="AZ305" s="5"/>
      <c r="BA305" s="5"/>
      <c r="BB305" s="5"/>
      <c r="BD305" s="5"/>
      <c r="BE305" s="5"/>
      <c r="BF305" s="5"/>
      <c r="BG305" s="5"/>
      <c r="BH305" s="5"/>
      <c r="BI305" s="5"/>
      <c r="BJ305" s="24"/>
      <c r="BK305" s="22"/>
      <c r="BL305" s="23"/>
      <c r="BM305" s="22"/>
      <c r="BN305" s="22"/>
      <c r="BO305" s="22"/>
      <c r="BP305" s="22"/>
      <c r="BQ305" s="22"/>
      <c r="BR305" s="24"/>
      <c r="BS305" s="5"/>
    </row>
    <row r="306" spans="1:72" hidden="1" outlineLevel="1"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Z306" s="5"/>
      <c r="BK306" s="23"/>
      <c r="BL306" s="23"/>
      <c r="BM306" s="23"/>
      <c r="BN306" s="23"/>
      <c r="BO306" s="23"/>
      <c r="BP306" s="23"/>
      <c r="BQ306" s="23"/>
      <c r="BR306" s="33"/>
    </row>
    <row r="307" spans="1:72" hidden="1" outlineLevel="1">
      <c r="C307" s="5" t="s">
        <v>335</v>
      </c>
      <c r="D307" s="47">
        <f t="shared" ref="D307:V307" si="195">IF(D$8="A",D357,IF(D$8="L","…","…"))</f>
        <v>21872</v>
      </c>
      <c r="E307" s="47">
        <f t="shared" si="195"/>
        <v>24574</v>
      </c>
      <c r="F307" s="47">
        <f t="shared" si="195"/>
        <v>26048</v>
      </c>
      <c r="G307" s="47">
        <f t="shared" si="195"/>
        <v>29666</v>
      </c>
      <c r="H307" s="47">
        <f t="shared" si="195"/>
        <v>28679</v>
      </c>
      <c r="I307" s="47">
        <f t="shared" si="195"/>
        <v>28928</v>
      </c>
      <c r="J307" s="58">
        <f t="shared" si="195"/>
        <v>37047</v>
      </c>
      <c r="K307" s="58">
        <f t="shared" si="195"/>
        <v>52146</v>
      </c>
      <c r="L307" s="58">
        <f t="shared" si="195"/>
        <v>51465</v>
      </c>
      <c r="M307" s="58">
        <f t="shared" si="195"/>
        <v>58639</v>
      </c>
      <c r="N307" s="58">
        <f t="shared" si="195"/>
        <v>65142</v>
      </c>
      <c r="O307" s="58">
        <f t="shared" si="195"/>
        <v>76177</v>
      </c>
      <c r="P307" s="58">
        <f t="shared" si="195"/>
        <v>89053</v>
      </c>
      <c r="Q307" s="58">
        <f t="shared" si="195"/>
        <v>78545</v>
      </c>
      <c r="R307" s="58">
        <f t="shared" si="195"/>
        <v>78211</v>
      </c>
      <c r="S307" s="58">
        <f t="shared" si="195"/>
        <v>80012</v>
      </c>
      <c r="T307" s="58">
        <f t="shared" si="195"/>
        <v>76761</v>
      </c>
      <c r="U307" s="58">
        <f t="shared" si="195"/>
        <v>85809</v>
      </c>
      <c r="V307" s="58" t="str">
        <f t="shared" si="195"/>
        <v>…</v>
      </c>
      <c r="W307" s="58" t="str">
        <f>IF(W$8="A",W357,IF(W$8="L","…","…"))</f>
        <v>…</v>
      </c>
      <c r="X307" s="58" t="str">
        <f>IF(X$8="A",X357,IF(X$8="L","…","…"))</f>
        <v>…</v>
      </c>
      <c r="Y307" s="58" t="str">
        <f>IF(Y$8="A",Y357,IF(Y$8="L","…","…"))</f>
        <v>…</v>
      </c>
      <c r="Z307" s="58"/>
      <c r="AA307" s="58"/>
      <c r="AB307" s="5"/>
      <c r="AC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8"/>
      <c r="AZ307" s="5"/>
    </row>
    <row r="308" spans="1:72" hidden="1" outlineLevel="1">
      <c r="C308" s="44" t="s">
        <v>336</v>
      </c>
      <c r="D308" s="47">
        <f t="shared" ref="D308:V308" si="196">IF(D$8="A",D348,IF(D$8="L","…","…"))</f>
        <v>50757</v>
      </c>
      <c r="E308" s="47">
        <f t="shared" si="196"/>
        <v>55566</v>
      </c>
      <c r="F308" s="47">
        <f t="shared" si="196"/>
        <v>56071</v>
      </c>
      <c r="G308" s="47">
        <f t="shared" si="196"/>
        <v>58343</v>
      </c>
      <c r="H308" s="47">
        <f t="shared" si="196"/>
        <v>69679</v>
      </c>
      <c r="I308" s="47">
        <f t="shared" si="196"/>
        <v>69534</v>
      </c>
      <c r="J308" s="58">
        <f t="shared" si="196"/>
        <v>76900</v>
      </c>
      <c r="K308" s="58">
        <f t="shared" si="196"/>
        <v>101236</v>
      </c>
      <c r="L308" s="58">
        <f t="shared" si="196"/>
        <v>105526</v>
      </c>
      <c r="M308" s="58">
        <f t="shared" si="196"/>
        <v>118625</v>
      </c>
      <c r="N308" s="58">
        <f t="shared" si="196"/>
        <v>130706</v>
      </c>
      <c r="O308" s="58">
        <f t="shared" si="196"/>
        <v>148489</v>
      </c>
      <c r="P308" s="58">
        <f t="shared" si="196"/>
        <v>177515</v>
      </c>
      <c r="Q308" s="58">
        <f t="shared" si="196"/>
        <v>160389</v>
      </c>
      <c r="R308" s="58">
        <f t="shared" si="196"/>
        <v>167968</v>
      </c>
      <c r="S308" s="58">
        <f t="shared" si="196"/>
        <v>167924</v>
      </c>
      <c r="T308" s="58">
        <f t="shared" si="196"/>
        <v>165410</v>
      </c>
      <c r="U308" s="58">
        <f t="shared" si="196"/>
        <v>164393</v>
      </c>
      <c r="V308" s="58" t="str">
        <f t="shared" si="196"/>
        <v>…</v>
      </c>
      <c r="W308" s="58" t="str">
        <f>IF(W$8="A",W348,IF(W$8="L","…","…"))</f>
        <v>…</v>
      </c>
      <c r="X308" s="58" t="str">
        <f>IF(X$8="A",X348,IF(X$8="L","…","…"))</f>
        <v>…</v>
      </c>
      <c r="Y308" s="58" t="str">
        <f>IF(Y$8="A",Y348,IF(Y$8="L","…","…"))</f>
        <v>…</v>
      </c>
      <c r="Z308" s="58"/>
      <c r="AA308" s="58"/>
      <c r="AB308" s="5"/>
      <c r="AC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8"/>
      <c r="AZ308" s="5"/>
    </row>
    <row r="309" spans="1:72" hidden="1" outlineLevel="1">
      <c r="C309" s="44" t="s">
        <v>334</v>
      </c>
      <c r="D309" s="47">
        <f t="shared" ref="D309:V309" si="197">IF(D$8="A",D351,IF(D$8="L","…","…"))</f>
        <v>28885</v>
      </c>
      <c r="E309" s="47">
        <f t="shared" si="197"/>
        <v>30992</v>
      </c>
      <c r="F309" s="47">
        <f t="shared" si="197"/>
        <v>30023</v>
      </c>
      <c r="G309" s="47">
        <f t="shared" si="197"/>
        <v>28677</v>
      </c>
      <c r="H309" s="47">
        <f t="shared" si="197"/>
        <v>41000</v>
      </c>
      <c r="I309" s="47">
        <f t="shared" si="197"/>
        <v>40606</v>
      </c>
      <c r="J309" s="58">
        <f t="shared" si="197"/>
        <v>39853</v>
      </c>
      <c r="K309" s="58">
        <f t="shared" si="197"/>
        <v>49090</v>
      </c>
      <c r="L309" s="58">
        <f t="shared" si="197"/>
        <v>54061</v>
      </c>
      <c r="M309" s="58">
        <f t="shared" si="197"/>
        <v>59986</v>
      </c>
      <c r="N309" s="58">
        <f t="shared" si="197"/>
        <v>65564</v>
      </c>
      <c r="O309" s="58">
        <f t="shared" si="197"/>
        <v>72312</v>
      </c>
      <c r="P309" s="58">
        <f t="shared" si="197"/>
        <v>88462</v>
      </c>
      <c r="Q309" s="58">
        <f t="shared" si="197"/>
        <v>81844</v>
      </c>
      <c r="R309" s="58">
        <f t="shared" si="197"/>
        <v>89757</v>
      </c>
      <c r="S309" s="58">
        <f t="shared" si="197"/>
        <v>87912</v>
      </c>
      <c r="T309" s="58">
        <f t="shared" si="197"/>
        <v>88649</v>
      </c>
      <c r="U309" s="58">
        <f t="shared" si="197"/>
        <v>78584</v>
      </c>
      <c r="V309" s="58" t="str">
        <f t="shared" si="197"/>
        <v>…</v>
      </c>
      <c r="W309" s="58" t="str">
        <f>IF(W$8="A",W351,IF(W$8="L","…","…"))</f>
        <v>…</v>
      </c>
      <c r="X309" s="58" t="str">
        <f>IF(X$8="A",X351,IF(X$8="L","…","…"))</f>
        <v>…</v>
      </c>
      <c r="Y309" s="58" t="str">
        <f>IF(Y$8="A",Y351,IF(Y$8="L","…","…"))</f>
        <v>…</v>
      </c>
      <c r="Z309" s="58"/>
      <c r="AA309" s="58"/>
      <c r="AB309" s="5"/>
      <c r="AC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8"/>
      <c r="AZ309" s="5"/>
    </row>
    <row r="310" spans="1:72" hidden="1" outlineLevel="1"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</row>
    <row r="311" spans="1:72" hidden="1" outlineLevel="1"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</row>
    <row r="312" spans="1:72" collapsed="1"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Z312" s="5"/>
      <c r="BK312" s="22"/>
      <c r="BL312" s="23"/>
      <c r="BM312" s="22"/>
      <c r="BN312" s="22"/>
      <c r="BO312" s="22"/>
      <c r="BP312" s="22"/>
      <c r="BQ312" s="22"/>
      <c r="BR312" s="24"/>
    </row>
    <row r="313" spans="1:72" ht="13.15">
      <c r="C313" s="12" t="s">
        <v>301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22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J313" s="24"/>
      <c r="BK313" s="22"/>
      <c r="BL313" s="23"/>
      <c r="BM313" s="22"/>
      <c r="BN313" s="22"/>
      <c r="BO313" s="22"/>
      <c r="BP313" s="22"/>
      <c r="BQ313" s="22"/>
      <c r="BR313" s="24"/>
      <c r="BT313" s="33"/>
    </row>
    <row r="314" spans="1:72" ht="13.15"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14"/>
      <c r="AC314" s="14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J314" s="24"/>
      <c r="BK314" s="22"/>
      <c r="BL314" s="23"/>
      <c r="BM314" s="22"/>
      <c r="BN314" s="22"/>
      <c r="BO314" s="22"/>
      <c r="BP314" s="22"/>
      <c r="BQ314" s="22"/>
      <c r="BR314" s="24"/>
      <c r="BT314" s="33"/>
    </row>
    <row r="315" spans="1:72" ht="13.15">
      <c r="C315" s="9" t="s">
        <v>299</v>
      </c>
      <c r="D315" s="25">
        <f t="shared" ref="D315:J315" si="198">IF(ISNUMBER(D316),D316,IF(ISNUMBER(D317),D317,IF(ISNUMBER(D318),D318,"…")))</f>
        <v>88963</v>
      </c>
      <c r="E315" s="25">
        <f t="shared" si="198"/>
        <v>95268</v>
      </c>
      <c r="F315" s="25">
        <f t="shared" si="198"/>
        <v>104875</v>
      </c>
      <c r="G315" s="25">
        <f t="shared" si="198"/>
        <v>108897</v>
      </c>
      <c r="H315" s="25">
        <f t="shared" si="198"/>
        <v>113808</v>
      </c>
      <c r="I315" s="25">
        <f t="shared" si="198"/>
        <v>105187</v>
      </c>
      <c r="J315" s="25">
        <f t="shared" si="198"/>
        <v>126875</v>
      </c>
      <c r="K315" s="25">
        <f>IF(ISNUMBER(K316),K316,IF(ISNUMBER(K317),K317,IF(ISNUMBER(K318),K318,"…")))</f>
        <v>159337</v>
      </c>
      <c r="L315" s="25">
        <f t="shared" ref="L315:Y315" si="199">IF(ISNUMBER(L316),L316,IF(ISNUMBER(L317),L317,IF(ISNUMBER(L318),L318,"…")))</f>
        <v>192676</v>
      </c>
      <c r="M315" s="25">
        <f t="shared" si="199"/>
        <v>197007</v>
      </c>
      <c r="N315" s="25">
        <f t="shared" si="199"/>
        <v>202458</v>
      </c>
      <c r="O315" s="25">
        <f t="shared" si="199"/>
        <v>213292</v>
      </c>
      <c r="P315" s="25">
        <f t="shared" si="199"/>
        <v>217267</v>
      </c>
      <c r="Q315" s="25">
        <f t="shared" si="199"/>
        <v>230682</v>
      </c>
      <c r="R315" s="25">
        <f t="shared" si="199"/>
        <v>235849</v>
      </c>
      <c r="S315" s="25">
        <f t="shared" si="199"/>
        <v>252632</v>
      </c>
      <c r="T315" s="25">
        <f t="shared" si="199"/>
        <v>222884</v>
      </c>
      <c r="U315" s="25">
        <f t="shared" si="199"/>
        <v>250200</v>
      </c>
      <c r="V315" s="25" t="str">
        <f t="shared" si="199"/>
        <v>…</v>
      </c>
      <c r="W315" s="25" t="str">
        <f t="shared" si="199"/>
        <v>…</v>
      </c>
      <c r="X315" s="25" t="str">
        <f t="shared" si="199"/>
        <v>…</v>
      </c>
      <c r="Y315" s="25" t="str">
        <f t="shared" si="199"/>
        <v>…</v>
      </c>
      <c r="Z315" s="25"/>
      <c r="AA315" s="25"/>
      <c r="AB315" s="25"/>
      <c r="AC315" s="2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25"/>
      <c r="AZ315" s="5"/>
      <c r="BJ315" s="24"/>
      <c r="BK315" s="22"/>
      <c r="BL315" s="23"/>
      <c r="BM315" s="22"/>
      <c r="BN315" s="22"/>
      <c r="BO315" s="22"/>
      <c r="BP315" s="22"/>
      <c r="BQ315" s="22"/>
      <c r="BR315" s="24"/>
      <c r="BT315" s="33"/>
    </row>
    <row r="316" spans="1:72" hidden="1" outlineLevel="1">
      <c r="B316" s="5" t="s">
        <v>145</v>
      </c>
      <c r="C316" s="38" t="s">
        <v>154</v>
      </c>
      <c r="D316" s="16">
        <v>88963</v>
      </c>
      <c r="E316" s="16">
        <v>95268</v>
      </c>
      <c r="F316" s="16">
        <v>104875</v>
      </c>
      <c r="G316" s="16">
        <v>108897</v>
      </c>
      <c r="H316" s="16">
        <v>113808</v>
      </c>
      <c r="I316" s="16">
        <v>105187</v>
      </c>
      <c r="J316" s="16">
        <v>126875</v>
      </c>
      <c r="K316" s="16">
        <v>159337</v>
      </c>
      <c r="L316" s="16">
        <v>192676</v>
      </c>
      <c r="M316" s="16">
        <v>197007</v>
      </c>
      <c r="N316" s="16">
        <v>202458</v>
      </c>
      <c r="O316" s="16">
        <v>213292</v>
      </c>
      <c r="P316" s="16">
        <v>217267</v>
      </c>
      <c r="Q316" s="16">
        <v>230682</v>
      </c>
      <c r="R316" s="16">
        <v>235849</v>
      </c>
      <c r="S316" s="16">
        <v>252632</v>
      </c>
      <c r="T316" s="16">
        <v>222884</v>
      </c>
      <c r="U316" s="16" t="s">
        <v>289</v>
      </c>
      <c r="V316" s="16" t="s">
        <v>289</v>
      </c>
      <c r="W316" s="16"/>
      <c r="X316" s="16"/>
      <c r="Y316" s="16"/>
      <c r="Z316" s="16"/>
      <c r="AA316" s="16"/>
      <c r="AB316" s="25"/>
      <c r="AC316" s="2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16"/>
      <c r="AZ316" s="5"/>
      <c r="BJ316" s="24"/>
      <c r="BK316" s="22"/>
      <c r="BL316" s="23"/>
      <c r="BM316" s="22"/>
      <c r="BN316" s="22"/>
      <c r="BO316" s="22"/>
      <c r="BP316" s="22"/>
      <c r="BQ316" s="22"/>
      <c r="BR316" s="24"/>
      <c r="BT316" s="33"/>
    </row>
    <row r="317" spans="1:72" hidden="1" outlineLevel="1">
      <c r="B317" s="5" t="s">
        <v>9</v>
      </c>
      <c r="C317" s="38" t="s">
        <v>161</v>
      </c>
      <c r="D317" s="16">
        <v>88963</v>
      </c>
      <c r="E317" s="16">
        <v>93996</v>
      </c>
      <c r="F317" s="16">
        <v>104875</v>
      </c>
      <c r="G317" s="16">
        <v>108897</v>
      </c>
      <c r="H317" s="16">
        <v>113808</v>
      </c>
      <c r="I317" s="16">
        <v>105187</v>
      </c>
      <c r="J317" s="16">
        <v>126876</v>
      </c>
      <c r="K317" s="16">
        <v>159337</v>
      </c>
      <c r="L317" s="16">
        <v>192676</v>
      </c>
      <c r="M317" s="16">
        <v>197007</v>
      </c>
      <c r="N317" s="16">
        <v>202458</v>
      </c>
      <c r="O317" s="16">
        <v>213292</v>
      </c>
      <c r="P317" s="16">
        <v>217267</v>
      </c>
      <c r="Q317" s="16">
        <v>229550</v>
      </c>
      <c r="R317" s="16">
        <v>235849</v>
      </c>
      <c r="S317" s="16">
        <v>252633</v>
      </c>
      <c r="T317" s="16">
        <v>222884</v>
      </c>
      <c r="U317" s="16">
        <v>250200</v>
      </c>
      <c r="V317" s="16" t="s">
        <v>289</v>
      </c>
      <c r="W317" s="16"/>
      <c r="X317" s="16"/>
      <c r="Y317" s="16"/>
      <c r="Z317" s="16"/>
      <c r="AA317" s="16"/>
      <c r="AB317" s="25"/>
      <c r="AC317" s="2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16"/>
      <c r="AZ317" s="5"/>
      <c r="BJ317" s="24"/>
      <c r="BK317" s="22"/>
      <c r="BL317" s="23"/>
      <c r="BM317" s="22"/>
      <c r="BN317" s="22"/>
      <c r="BO317" s="22"/>
      <c r="BP317" s="22"/>
      <c r="BQ317" s="22"/>
      <c r="BR317" s="24"/>
      <c r="BT317" s="33"/>
    </row>
    <row r="318" spans="1:72" hidden="1" outlineLevel="1">
      <c r="B318" s="5" t="s">
        <v>146</v>
      </c>
      <c r="C318" s="38" t="s">
        <v>163</v>
      </c>
      <c r="D318" s="16">
        <v>88963</v>
      </c>
      <c r="E318" s="16">
        <v>93996</v>
      </c>
      <c r="F318" s="16">
        <v>104875</v>
      </c>
      <c r="G318" s="16">
        <v>108897</v>
      </c>
      <c r="H318" s="16">
        <v>113808</v>
      </c>
      <c r="I318" s="16">
        <v>105187</v>
      </c>
      <c r="J318" s="16">
        <v>126875</v>
      </c>
      <c r="K318" s="16">
        <v>159337</v>
      </c>
      <c r="L318" s="16">
        <v>192676</v>
      </c>
      <c r="M318" s="16">
        <v>197007</v>
      </c>
      <c r="N318" s="16">
        <v>202458</v>
      </c>
      <c r="O318" s="16">
        <v>213292</v>
      </c>
      <c r="P318" s="16">
        <v>217267</v>
      </c>
      <c r="Q318" s="16">
        <v>229550</v>
      </c>
      <c r="R318" s="16">
        <v>235849</v>
      </c>
      <c r="S318" s="16">
        <v>252632</v>
      </c>
      <c r="T318" s="16">
        <v>222884</v>
      </c>
      <c r="U318" s="16">
        <v>250200</v>
      </c>
      <c r="V318" s="16" t="s">
        <v>289</v>
      </c>
      <c r="W318" s="16"/>
      <c r="X318" s="16"/>
      <c r="Y318" s="16"/>
      <c r="Z318" s="16"/>
      <c r="AA318" s="16"/>
      <c r="AB318" s="25"/>
      <c r="AC318" s="2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16"/>
      <c r="AZ318" s="5"/>
      <c r="BJ318" s="24"/>
      <c r="BK318" s="22"/>
      <c r="BL318" s="23"/>
      <c r="BM318" s="22"/>
      <c r="BN318" s="22"/>
      <c r="BO318" s="22"/>
      <c r="BP318" s="22"/>
      <c r="BQ318" s="22"/>
      <c r="BR318" s="24"/>
      <c r="BT318" s="33"/>
    </row>
    <row r="319" spans="1:72" ht="13.15" hidden="1" outlineLevel="1">
      <c r="C319" s="9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25"/>
      <c r="P319" s="25"/>
      <c r="Q319" s="25"/>
      <c r="R319" s="25"/>
      <c r="S319" s="25"/>
      <c r="T319" s="25"/>
      <c r="U319" s="25"/>
      <c r="V319" s="25"/>
      <c r="W319" s="25"/>
      <c r="X319" s="25"/>
      <c r="Y319" s="25"/>
      <c r="Z319" s="25"/>
      <c r="AA319" s="25"/>
      <c r="AB319" s="25"/>
      <c r="AC319" s="2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25"/>
      <c r="AZ319" s="5"/>
      <c r="BJ319" s="24"/>
      <c r="BK319" s="22"/>
      <c r="BL319" s="23"/>
      <c r="BM319" s="22"/>
      <c r="BN319" s="22"/>
      <c r="BO319" s="22"/>
      <c r="BP319" s="22"/>
      <c r="BQ319" s="22"/>
      <c r="BR319" s="24"/>
      <c r="BT319" s="33"/>
    </row>
    <row r="320" spans="1:72" ht="13.15" collapsed="1">
      <c r="C320" s="9" t="s">
        <v>297</v>
      </c>
      <c r="D320" s="25">
        <f t="shared" ref="D320:J320" si="200">IF(ISNUMBER(D321),D321,IF(ISNUMBER(D322),D322,IF(ISNUMBER(D323),D323,"…")))</f>
        <v>1698</v>
      </c>
      <c r="E320" s="25">
        <f t="shared" si="200"/>
        <v>2425</v>
      </c>
      <c r="F320" s="25">
        <f t="shared" si="200"/>
        <v>3472</v>
      </c>
      <c r="G320" s="25">
        <f t="shared" si="200"/>
        <v>6938</v>
      </c>
      <c r="H320" s="25">
        <f t="shared" si="200"/>
        <v>6333</v>
      </c>
      <c r="I320" s="25">
        <f t="shared" si="200"/>
        <v>1855</v>
      </c>
      <c r="J320" s="25">
        <f t="shared" si="200"/>
        <v>7141</v>
      </c>
      <c r="K320" s="25">
        <f>IF(ISNUMBER(K321),K321,IF(ISNUMBER(K322),K322,IF(ISNUMBER(K323),K323,"…")))</f>
        <v>11271</v>
      </c>
      <c r="L320" s="25">
        <f t="shared" ref="L320:Y320" si="201">IF(ISNUMBER(L321),L321,IF(ISNUMBER(L322),L322,IF(ISNUMBER(L323),L323,"…")))</f>
        <v>11498</v>
      </c>
      <c r="M320" s="25">
        <f t="shared" si="201"/>
        <v>11671</v>
      </c>
      <c r="N320" s="25">
        <f t="shared" si="201"/>
        <v>12697</v>
      </c>
      <c r="O320" s="25">
        <f t="shared" si="201"/>
        <v>-4069</v>
      </c>
      <c r="P320" s="25">
        <f t="shared" si="201"/>
        <v>7103</v>
      </c>
      <c r="Q320" s="25">
        <f t="shared" si="201"/>
        <v>13818</v>
      </c>
      <c r="R320" s="25">
        <f t="shared" si="201"/>
        <v>13920</v>
      </c>
      <c r="S320" s="25">
        <f t="shared" si="201"/>
        <v>14614</v>
      </c>
      <c r="T320" s="25">
        <f t="shared" si="201"/>
        <v>10210</v>
      </c>
      <c r="U320" s="25">
        <f t="shared" si="201"/>
        <v>18574</v>
      </c>
      <c r="V320" s="25" t="str">
        <f t="shared" si="201"/>
        <v>…</v>
      </c>
      <c r="W320" s="25" t="str">
        <f t="shared" si="201"/>
        <v>…</v>
      </c>
      <c r="X320" s="25" t="str">
        <f t="shared" si="201"/>
        <v>…</v>
      </c>
      <c r="Y320" s="25" t="str">
        <f t="shared" si="201"/>
        <v>…</v>
      </c>
      <c r="Z320" s="25"/>
      <c r="AA320" s="25"/>
      <c r="AB320" s="25"/>
      <c r="AC320" s="2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25"/>
      <c r="AZ320" s="5"/>
      <c r="BJ320" s="24"/>
      <c r="BK320" s="22"/>
      <c r="BL320" s="23"/>
      <c r="BM320" s="22"/>
      <c r="BN320" s="22"/>
      <c r="BO320" s="22"/>
      <c r="BP320" s="22"/>
      <c r="BQ320" s="22"/>
      <c r="BR320" s="24"/>
      <c r="BT320" s="33"/>
    </row>
    <row r="321" spans="2:70" hidden="1" outlineLevel="1">
      <c r="B321" s="5" t="s">
        <v>6</v>
      </c>
      <c r="C321" s="5" t="s">
        <v>6</v>
      </c>
      <c r="D321" s="16">
        <v>1698</v>
      </c>
      <c r="E321" s="16">
        <v>2425</v>
      </c>
      <c r="F321" s="16">
        <v>3472</v>
      </c>
      <c r="G321" s="16">
        <v>6938</v>
      </c>
      <c r="H321" s="16">
        <v>6333</v>
      </c>
      <c r="I321" s="16">
        <v>1855</v>
      </c>
      <c r="J321" s="16">
        <v>7141</v>
      </c>
      <c r="K321" s="16">
        <v>11271</v>
      </c>
      <c r="L321" s="16">
        <v>11498</v>
      </c>
      <c r="M321" s="16">
        <v>11671</v>
      </c>
      <c r="N321" s="16">
        <v>12697</v>
      </c>
      <c r="O321" s="16">
        <v>-4069</v>
      </c>
      <c r="P321" s="16">
        <v>7103</v>
      </c>
      <c r="Q321" s="16">
        <v>13818</v>
      </c>
      <c r="R321" s="16">
        <v>13920</v>
      </c>
      <c r="S321" s="16">
        <v>14614</v>
      </c>
      <c r="T321" s="16">
        <v>10210</v>
      </c>
      <c r="U321" s="16">
        <v>18574</v>
      </c>
      <c r="V321" s="16" t="s">
        <v>289</v>
      </c>
      <c r="W321" s="16"/>
      <c r="X321" s="16"/>
      <c r="Y321" s="16"/>
      <c r="Z321" s="16"/>
      <c r="AA321" s="16"/>
      <c r="AB321" s="25"/>
      <c r="AC321" s="2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16"/>
      <c r="AZ321" s="5"/>
      <c r="BJ321" s="24"/>
      <c r="BK321" s="22"/>
      <c r="BL321" s="23"/>
      <c r="BM321" s="22"/>
      <c r="BN321" s="22"/>
      <c r="BO321" s="22"/>
      <c r="BP321" s="22"/>
      <c r="BQ321" s="22"/>
      <c r="BR321" s="24"/>
    </row>
    <row r="322" spans="2:70" hidden="1" outlineLevel="1">
      <c r="B322" s="5" t="s">
        <v>149</v>
      </c>
      <c r="C322" s="5" t="s">
        <v>150</v>
      </c>
      <c r="D322" s="16">
        <v>1698</v>
      </c>
      <c r="E322" s="16">
        <v>2425</v>
      </c>
      <c r="F322" s="16">
        <v>3472</v>
      </c>
      <c r="G322" s="16">
        <v>6938</v>
      </c>
      <c r="H322" s="16">
        <v>6333</v>
      </c>
      <c r="I322" s="16">
        <v>1855</v>
      </c>
      <c r="J322" s="16">
        <v>7141</v>
      </c>
      <c r="K322" s="16">
        <v>11271</v>
      </c>
      <c r="L322" s="16">
        <v>11498</v>
      </c>
      <c r="M322" s="16">
        <v>11671</v>
      </c>
      <c r="N322" s="16">
        <v>12697</v>
      </c>
      <c r="O322" s="16">
        <v>-4069</v>
      </c>
      <c r="P322" s="16">
        <v>7103</v>
      </c>
      <c r="Q322" s="16">
        <v>13818</v>
      </c>
      <c r="R322" s="16">
        <v>13920</v>
      </c>
      <c r="S322" s="16">
        <v>14614</v>
      </c>
      <c r="T322" s="16">
        <v>10210</v>
      </c>
      <c r="U322" s="16">
        <v>18574</v>
      </c>
      <c r="V322" s="16" t="s">
        <v>289</v>
      </c>
      <c r="W322" s="16"/>
      <c r="X322" s="16"/>
      <c r="Y322" s="16"/>
      <c r="Z322" s="16"/>
      <c r="AA322" s="16"/>
      <c r="AB322" s="25"/>
      <c r="AC322" s="25"/>
      <c r="AD322" s="24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16"/>
      <c r="AZ322" s="5"/>
      <c r="BJ322" s="24"/>
      <c r="BK322" s="22"/>
      <c r="BL322" s="23"/>
      <c r="BM322" s="22"/>
      <c r="BN322" s="22"/>
      <c r="BO322" s="22"/>
      <c r="BP322" s="22"/>
      <c r="BQ322" s="22"/>
      <c r="BR322" s="24"/>
    </row>
    <row r="323" spans="2:70" hidden="1" outlineLevel="1">
      <c r="C323" s="5" t="s">
        <v>300</v>
      </c>
      <c r="D323" s="25" t="s">
        <v>127</v>
      </c>
      <c r="E323" s="25" t="s">
        <v>127</v>
      </c>
      <c r="F323" s="25" t="s">
        <v>127</v>
      </c>
      <c r="G323" s="25" t="s">
        <v>127</v>
      </c>
      <c r="H323" s="25" t="s">
        <v>127</v>
      </c>
      <c r="I323" s="25" t="s">
        <v>127</v>
      </c>
      <c r="J323" s="25" t="s">
        <v>127</v>
      </c>
      <c r="K323" s="25" t="s">
        <v>127</v>
      </c>
      <c r="L323" s="25" t="s">
        <v>127</v>
      </c>
      <c r="M323" s="25" t="s">
        <v>127</v>
      </c>
      <c r="N323" s="25" t="s">
        <v>127</v>
      </c>
      <c r="O323" s="25" t="s">
        <v>127</v>
      </c>
      <c r="P323" s="25"/>
      <c r="Q323" s="25"/>
      <c r="R323" s="25"/>
      <c r="S323" s="25"/>
      <c r="T323" s="25"/>
      <c r="U323" s="25"/>
      <c r="V323" s="25"/>
      <c r="W323" s="25"/>
      <c r="X323" s="25"/>
      <c r="Y323" s="25"/>
      <c r="Z323" s="25"/>
      <c r="AA323" s="25"/>
      <c r="AB323" s="25"/>
      <c r="AC323" s="25"/>
      <c r="AD323" s="24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25"/>
      <c r="AZ323" s="5"/>
      <c r="BK323" s="22"/>
      <c r="BL323" s="23"/>
      <c r="BM323" s="22"/>
      <c r="BN323" s="22"/>
      <c r="BO323" s="22"/>
      <c r="BP323" s="22"/>
      <c r="BQ323" s="22"/>
      <c r="BR323" s="24"/>
    </row>
    <row r="324" spans="2:70" ht="13.15" hidden="1" outlineLevel="1">
      <c r="C324" s="9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4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25"/>
      <c r="AZ324" s="5"/>
      <c r="BK324" s="22"/>
      <c r="BL324" s="23"/>
      <c r="BM324" s="22"/>
      <c r="BN324" s="22"/>
      <c r="BO324" s="22"/>
      <c r="BP324" s="22"/>
      <c r="BQ324" s="22"/>
      <c r="BR324" s="24"/>
    </row>
    <row r="325" spans="2:70" ht="13.15" collapsed="1">
      <c r="C325" s="9" t="s">
        <v>293</v>
      </c>
      <c r="D325" s="14">
        <f t="shared" ref="D325:V325" si="202">IF(ISNUMBER(D326),D326,IF(ISNUMBER(D328),D328,"…"))</f>
        <v>10000</v>
      </c>
      <c r="E325" s="14">
        <f t="shared" si="202"/>
        <v>11073</v>
      </c>
      <c r="F325" s="14">
        <f t="shared" si="202"/>
        <v>11848</v>
      </c>
      <c r="G325" s="14">
        <f t="shared" si="202"/>
        <v>15996</v>
      </c>
      <c r="H325" s="14">
        <f t="shared" si="202"/>
        <v>14739</v>
      </c>
      <c r="I325" s="14">
        <f t="shared" si="202"/>
        <v>10716</v>
      </c>
      <c r="J325" s="14">
        <f t="shared" si="202"/>
        <v>17230</v>
      </c>
      <c r="K325" s="14">
        <f t="shared" si="202"/>
        <v>21604</v>
      </c>
      <c r="L325" s="14">
        <f t="shared" si="202"/>
        <v>24612</v>
      </c>
      <c r="M325" s="14">
        <f t="shared" si="202"/>
        <v>26321</v>
      </c>
      <c r="N325" s="14">
        <f t="shared" si="202"/>
        <v>29488</v>
      </c>
      <c r="O325" s="14">
        <f t="shared" si="202"/>
        <v>15587</v>
      </c>
      <c r="P325" s="14">
        <f t="shared" si="202"/>
        <v>27896</v>
      </c>
      <c r="Q325" s="14">
        <f t="shared" si="202"/>
        <v>35848</v>
      </c>
      <c r="R325" s="14">
        <f t="shared" si="202"/>
        <v>36311</v>
      </c>
      <c r="S325" s="14">
        <f t="shared" si="202"/>
        <v>39020</v>
      </c>
      <c r="T325" s="14">
        <f t="shared" si="202"/>
        <v>35959</v>
      </c>
      <c r="U325" s="14">
        <f t="shared" si="202"/>
        <v>45855</v>
      </c>
      <c r="V325" s="14" t="str">
        <f t="shared" si="202"/>
        <v>…</v>
      </c>
      <c r="W325" s="14">
        <f>IF(ISNUMBER(W326),W326,IF(ISNUMBER(W328),W328,"…"))</f>
        <v>3607</v>
      </c>
      <c r="X325" s="14">
        <f>IF(ISNUMBER(X326),X326,IF(ISNUMBER(X328),X328,"…"))</f>
        <v>3607</v>
      </c>
      <c r="Y325" s="14">
        <f>IF(ISNUMBER(Y326),Y326,IF(ISNUMBER(Y328),Y328,"…"))</f>
        <v>3607</v>
      </c>
      <c r="Z325" s="14"/>
      <c r="AA325" s="14"/>
      <c r="AB325" s="25"/>
      <c r="AC325" s="25"/>
      <c r="AD325" s="24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14"/>
      <c r="AZ325" s="5"/>
      <c r="BK325" s="22"/>
      <c r="BL325" s="23"/>
      <c r="BM325" s="22"/>
      <c r="BN325" s="22"/>
      <c r="BO325" s="22"/>
      <c r="BP325" s="22"/>
      <c r="BQ325" s="22"/>
      <c r="BR325" s="24"/>
    </row>
    <row r="326" spans="2:70" hidden="1" outlineLevel="1">
      <c r="C326" s="5" t="s">
        <v>153</v>
      </c>
      <c r="D326" s="25">
        <f t="shared" ref="D326:Y326" si="203">IFERROR(D327/1,"…")</f>
        <v>10000</v>
      </c>
      <c r="E326" s="25">
        <f t="shared" si="203"/>
        <v>11073</v>
      </c>
      <c r="F326" s="25">
        <f t="shared" si="203"/>
        <v>11848</v>
      </c>
      <c r="G326" s="25">
        <f t="shared" si="203"/>
        <v>15996</v>
      </c>
      <c r="H326" s="25">
        <f t="shared" si="203"/>
        <v>14739</v>
      </c>
      <c r="I326" s="25">
        <f t="shared" si="203"/>
        <v>10716</v>
      </c>
      <c r="J326" s="25">
        <f t="shared" si="203"/>
        <v>17230</v>
      </c>
      <c r="K326" s="25">
        <f t="shared" si="203"/>
        <v>21604</v>
      </c>
      <c r="L326" s="25">
        <f t="shared" si="203"/>
        <v>24612</v>
      </c>
      <c r="M326" s="25">
        <f t="shared" si="203"/>
        <v>26321</v>
      </c>
      <c r="N326" s="25">
        <f t="shared" si="203"/>
        <v>29488</v>
      </c>
      <c r="O326" s="25">
        <f t="shared" si="203"/>
        <v>15587</v>
      </c>
      <c r="P326" s="25">
        <f t="shared" si="203"/>
        <v>27896</v>
      </c>
      <c r="Q326" s="25">
        <f t="shared" si="203"/>
        <v>35848</v>
      </c>
      <c r="R326" s="25">
        <f t="shared" si="203"/>
        <v>36311</v>
      </c>
      <c r="S326" s="25">
        <f t="shared" si="203"/>
        <v>39020</v>
      </c>
      <c r="T326" s="25">
        <f t="shared" si="203"/>
        <v>35959</v>
      </c>
      <c r="U326" s="25">
        <f t="shared" si="203"/>
        <v>45855</v>
      </c>
      <c r="V326" s="25" t="str">
        <f t="shared" si="203"/>
        <v>…</v>
      </c>
      <c r="W326" s="25">
        <f t="shared" si="203"/>
        <v>3607</v>
      </c>
      <c r="X326" s="25">
        <f t="shared" si="203"/>
        <v>3607</v>
      </c>
      <c r="Y326" s="25">
        <f t="shared" si="203"/>
        <v>3607</v>
      </c>
      <c r="Z326" s="25"/>
      <c r="AA326" s="25"/>
      <c r="AB326" s="25"/>
      <c r="AC326" s="25"/>
      <c r="AD326" s="24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25"/>
      <c r="AZ326" s="5"/>
      <c r="BK326" s="22"/>
      <c r="BL326" s="23"/>
      <c r="BM326" s="22"/>
      <c r="BN326" s="22"/>
      <c r="BO326" s="22"/>
      <c r="BP326" s="22"/>
      <c r="BQ326" s="22"/>
      <c r="BR326" s="24"/>
    </row>
    <row r="327" spans="2:70" hidden="1" outlineLevel="1">
      <c r="B327" s="5" t="s">
        <v>7</v>
      </c>
      <c r="C327" s="38" t="s">
        <v>154</v>
      </c>
      <c r="D327" s="16">
        <v>10000</v>
      </c>
      <c r="E327" s="16">
        <v>11073</v>
      </c>
      <c r="F327" s="16">
        <v>11848</v>
      </c>
      <c r="G327" s="16">
        <v>15996</v>
      </c>
      <c r="H327" s="16">
        <v>14739</v>
      </c>
      <c r="I327" s="16">
        <v>10716</v>
      </c>
      <c r="J327" s="16">
        <v>17230</v>
      </c>
      <c r="K327" s="16">
        <v>21604</v>
      </c>
      <c r="L327" s="16">
        <v>24612</v>
      </c>
      <c r="M327" s="16">
        <v>26321</v>
      </c>
      <c r="N327" s="16">
        <v>29488</v>
      </c>
      <c r="O327" s="16">
        <v>15587</v>
      </c>
      <c r="P327" s="16">
        <v>27896</v>
      </c>
      <c r="Q327" s="16">
        <v>35848</v>
      </c>
      <c r="R327" s="16">
        <v>36311</v>
      </c>
      <c r="S327" s="16">
        <v>39020</v>
      </c>
      <c r="T327" s="16">
        <v>35959</v>
      </c>
      <c r="U327" s="16">
        <v>45855</v>
      </c>
      <c r="V327" s="16" t="s">
        <v>289</v>
      </c>
      <c r="W327" s="16">
        <v>3607</v>
      </c>
      <c r="X327" s="16">
        <v>3607</v>
      </c>
      <c r="Y327" s="16">
        <v>3607</v>
      </c>
      <c r="Z327" s="16"/>
      <c r="AA327" s="16"/>
      <c r="AB327" s="25"/>
      <c r="AC327" s="25"/>
      <c r="AD327" s="24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16"/>
      <c r="AZ327" s="5"/>
      <c r="BK327" s="22"/>
      <c r="BL327" s="23"/>
      <c r="BM327" s="22"/>
      <c r="BN327" s="22"/>
      <c r="BO327" s="22"/>
      <c r="BP327" s="22"/>
      <c r="BQ327" s="22"/>
      <c r="BR327" s="24"/>
    </row>
    <row r="328" spans="2:70" hidden="1" outlineLevel="1">
      <c r="C328" s="5" t="s">
        <v>155</v>
      </c>
      <c r="D328" s="25" t="str">
        <f t="shared" ref="D328:Y328" si="204">IFERROR(D329/1,"…")</f>
        <v>…</v>
      </c>
      <c r="E328" s="25" t="str">
        <f t="shared" si="204"/>
        <v>…</v>
      </c>
      <c r="F328" s="25" t="str">
        <f t="shared" si="204"/>
        <v>…</v>
      </c>
      <c r="G328" s="25" t="str">
        <f t="shared" si="204"/>
        <v>…</v>
      </c>
      <c r="H328" s="25" t="str">
        <f t="shared" si="204"/>
        <v>…</v>
      </c>
      <c r="I328" s="25">
        <f t="shared" si="204"/>
        <v>11269</v>
      </c>
      <c r="J328" s="25">
        <f t="shared" si="204"/>
        <v>18521</v>
      </c>
      <c r="K328" s="25">
        <f t="shared" si="204"/>
        <v>22285</v>
      </c>
      <c r="L328" s="25">
        <f t="shared" si="204"/>
        <v>24729</v>
      </c>
      <c r="M328" s="25">
        <f t="shared" si="204"/>
        <v>26585</v>
      </c>
      <c r="N328" s="25">
        <f t="shared" si="204"/>
        <v>29836</v>
      </c>
      <c r="O328" s="25">
        <f t="shared" si="204"/>
        <v>33485</v>
      </c>
      <c r="P328" s="25">
        <f t="shared" si="204"/>
        <v>36721</v>
      </c>
      <c r="Q328" s="25">
        <f t="shared" si="204"/>
        <v>40221</v>
      </c>
      <c r="R328" s="25">
        <f t="shared" si="204"/>
        <v>40474</v>
      </c>
      <c r="S328" s="25">
        <f t="shared" si="204"/>
        <v>39322</v>
      </c>
      <c r="T328" s="25">
        <f t="shared" si="204"/>
        <v>37989</v>
      </c>
      <c r="U328" s="25">
        <f t="shared" si="204"/>
        <v>47194</v>
      </c>
      <c r="V328" s="25" t="str">
        <f t="shared" si="204"/>
        <v>…</v>
      </c>
      <c r="W328" s="25">
        <f t="shared" si="204"/>
        <v>3957</v>
      </c>
      <c r="X328" s="25">
        <f t="shared" si="204"/>
        <v>3957</v>
      </c>
      <c r="Y328" s="25">
        <f t="shared" si="204"/>
        <v>3957</v>
      </c>
      <c r="Z328" s="25"/>
      <c r="AA328" s="25"/>
      <c r="AB328" s="25"/>
      <c r="AC328" s="25"/>
      <c r="AD328" s="24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25"/>
      <c r="AZ328" s="5"/>
      <c r="BK328" s="22"/>
      <c r="BL328" s="23"/>
      <c r="BM328" s="22"/>
      <c r="BN328" s="22"/>
      <c r="BO328" s="22"/>
      <c r="BP328" s="22"/>
      <c r="BQ328" s="22"/>
      <c r="BR328" s="24"/>
    </row>
    <row r="329" spans="2:70" hidden="1" outlineLevel="1">
      <c r="B329" s="5" t="s">
        <v>2190</v>
      </c>
      <c r="C329" s="38" t="s">
        <v>161</v>
      </c>
      <c r="D329" s="25" t="s">
        <v>289</v>
      </c>
      <c r="E329" s="25" t="s">
        <v>289</v>
      </c>
      <c r="F329" s="25" t="s">
        <v>289</v>
      </c>
      <c r="G329" s="25" t="s">
        <v>289</v>
      </c>
      <c r="H329" s="25" t="s">
        <v>289</v>
      </c>
      <c r="I329" s="25">
        <v>11269</v>
      </c>
      <c r="J329" s="25">
        <v>18521</v>
      </c>
      <c r="K329" s="25">
        <v>22285</v>
      </c>
      <c r="L329" s="25">
        <v>24729</v>
      </c>
      <c r="M329" s="25">
        <v>26585</v>
      </c>
      <c r="N329" s="25">
        <v>29836</v>
      </c>
      <c r="O329" s="25">
        <v>33485</v>
      </c>
      <c r="P329" s="25">
        <v>36721</v>
      </c>
      <c r="Q329" s="25">
        <v>40221</v>
      </c>
      <c r="R329" s="25">
        <v>40474</v>
      </c>
      <c r="S329" s="25">
        <v>39322</v>
      </c>
      <c r="T329" s="25">
        <v>37989</v>
      </c>
      <c r="U329" s="25">
        <v>47194</v>
      </c>
      <c r="V329" s="25" t="s">
        <v>289</v>
      </c>
      <c r="W329" s="25">
        <v>3957</v>
      </c>
      <c r="X329" s="25">
        <v>3957</v>
      </c>
      <c r="Y329" s="25">
        <v>3957</v>
      </c>
      <c r="Z329" s="25"/>
      <c r="AA329" s="25"/>
      <c r="AB329" s="25"/>
      <c r="AC329" s="25"/>
      <c r="AD329" s="24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25"/>
      <c r="AZ329" s="5"/>
      <c r="BK329" s="22"/>
      <c r="BL329" s="23"/>
      <c r="BM329" s="22"/>
      <c r="BN329" s="22"/>
      <c r="BO329" s="22"/>
      <c r="BP329" s="22"/>
      <c r="BQ329" s="22"/>
      <c r="BR329" s="24"/>
    </row>
    <row r="330" spans="2:70" ht="13.15" hidden="1" outlineLevel="1">
      <c r="C330" s="12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4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25"/>
      <c r="AZ330" s="5"/>
      <c r="BK330" s="22"/>
      <c r="BL330" s="23"/>
      <c r="BM330" s="22"/>
      <c r="BN330" s="22"/>
      <c r="BO330" s="22"/>
      <c r="BP330" s="22"/>
      <c r="BQ330" s="22"/>
      <c r="BR330" s="24"/>
    </row>
    <row r="331" spans="2:70" ht="13.15" collapsed="1">
      <c r="B331" s="38"/>
      <c r="C331" s="9" t="s">
        <v>291</v>
      </c>
      <c r="D331" s="14">
        <f t="shared" ref="D331:Y331" si="205">IF(ISNUMBER(D332),D332,IF(ISNUMBER(D338),D338,"…"))</f>
        <v>4930</v>
      </c>
      <c r="E331" s="14">
        <f t="shared" si="205"/>
        <v>5213</v>
      </c>
      <c r="F331" s="14">
        <f t="shared" si="205"/>
        <v>4786</v>
      </c>
      <c r="G331" s="14">
        <f t="shared" si="205"/>
        <v>4830</v>
      </c>
      <c r="H331" s="14">
        <f t="shared" si="205"/>
        <v>4625</v>
      </c>
      <c r="I331" s="14">
        <f>IF(ISNUMBER(I332),I332,IF(ISNUMBER(I338),I338,"…"))</f>
        <v>4574</v>
      </c>
      <c r="J331" s="14">
        <f t="shared" si="205"/>
        <v>4731</v>
      </c>
      <c r="K331" s="14">
        <f t="shared" si="205"/>
        <v>4917</v>
      </c>
      <c r="L331" s="14">
        <f t="shared" si="205"/>
        <v>5969</v>
      </c>
      <c r="M331" s="14">
        <f t="shared" si="205"/>
        <v>6689</v>
      </c>
      <c r="N331" s="14">
        <f t="shared" si="205"/>
        <v>7509</v>
      </c>
      <c r="O331" s="14">
        <f t="shared" si="205"/>
        <v>13085</v>
      </c>
      <c r="P331" s="14">
        <f t="shared" si="205"/>
        <v>15368</v>
      </c>
      <c r="Q331" s="14">
        <f t="shared" si="205"/>
        <v>16764</v>
      </c>
      <c r="R331" s="14">
        <f t="shared" si="205"/>
        <v>17174</v>
      </c>
      <c r="S331" s="14">
        <f t="shared" si="205"/>
        <v>19676</v>
      </c>
      <c r="T331" s="14">
        <f t="shared" si="205"/>
        <v>20500</v>
      </c>
      <c r="U331" s="14">
        <f t="shared" si="205"/>
        <v>22542</v>
      </c>
      <c r="V331" s="14" t="str">
        <f t="shared" si="205"/>
        <v>…</v>
      </c>
      <c r="W331" s="14" t="str">
        <f t="shared" si="205"/>
        <v>…</v>
      </c>
      <c r="X331" s="14" t="str">
        <f t="shared" si="205"/>
        <v>…</v>
      </c>
      <c r="Y331" s="14" t="str">
        <f t="shared" si="205"/>
        <v>…</v>
      </c>
      <c r="Z331" s="14"/>
      <c r="AA331" s="14"/>
      <c r="AB331" s="14"/>
      <c r="AC331" s="14"/>
      <c r="AD331" s="24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14"/>
      <c r="AZ331" s="5"/>
      <c r="BK331" s="22"/>
      <c r="BL331" s="23"/>
      <c r="BM331" s="22"/>
      <c r="BN331" s="22"/>
      <c r="BO331" s="22"/>
      <c r="BP331" s="22"/>
      <c r="BQ331" s="22"/>
      <c r="BR331" s="24"/>
    </row>
    <row r="332" spans="2:70" hidden="1" outlineLevel="1">
      <c r="B332" s="38"/>
      <c r="C332" s="5" t="s">
        <v>158</v>
      </c>
      <c r="D332" s="25">
        <f t="shared" ref="D332:Y332" si="206">IF(ISNUMBER(D333),D333,IF(ISNUMBER(D334),D334,IF(ISNUMBER(D335),D335,IF(ISNUMBER(D336),D336,"…"))))</f>
        <v>4930</v>
      </c>
      <c r="E332" s="25">
        <f t="shared" si="206"/>
        <v>5213</v>
      </c>
      <c r="F332" s="25">
        <f t="shared" si="206"/>
        <v>4786</v>
      </c>
      <c r="G332" s="25">
        <f t="shared" si="206"/>
        <v>4830</v>
      </c>
      <c r="H332" s="25">
        <f t="shared" si="206"/>
        <v>4625</v>
      </c>
      <c r="I332" s="25">
        <f t="shared" si="206"/>
        <v>4574</v>
      </c>
      <c r="J332" s="25">
        <f t="shared" si="206"/>
        <v>4731</v>
      </c>
      <c r="K332" s="25">
        <f t="shared" si="206"/>
        <v>4917</v>
      </c>
      <c r="L332" s="25">
        <f t="shared" si="206"/>
        <v>5969</v>
      </c>
      <c r="M332" s="25">
        <f t="shared" si="206"/>
        <v>6689</v>
      </c>
      <c r="N332" s="25">
        <f t="shared" si="206"/>
        <v>7509</v>
      </c>
      <c r="O332" s="25">
        <f t="shared" si="206"/>
        <v>13085</v>
      </c>
      <c r="P332" s="25">
        <f t="shared" si="206"/>
        <v>15368</v>
      </c>
      <c r="Q332" s="25">
        <f t="shared" si="206"/>
        <v>16764</v>
      </c>
      <c r="R332" s="25">
        <f t="shared" si="206"/>
        <v>17174</v>
      </c>
      <c r="S332" s="25">
        <f t="shared" si="206"/>
        <v>19676</v>
      </c>
      <c r="T332" s="25">
        <f t="shared" si="206"/>
        <v>20500</v>
      </c>
      <c r="U332" s="25">
        <f t="shared" si="206"/>
        <v>22542</v>
      </c>
      <c r="V332" s="25" t="str">
        <f t="shared" si="206"/>
        <v>…</v>
      </c>
      <c r="W332" s="25" t="str">
        <f t="shared" si="206"/>
        <v>…</v>
      </c>
      <c r="X332" s="25" t="str">
        <f t="shared" si="206"/>
        <v>…</v>
      </c>
      <c r="Y332" s="25" t="str">
        <f t="shared" si="206"/>
        <v>…</v>
      </c>
      <c r="Z332" s="25"/>
      <c r="AA332" s="25"/>
      <c r="AB332" s="25"/>
      <c r="AC332" s="25"/>
      <c r="AD332" s="24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25"/>
      <c r="AZ332" s="5"/>
      <c r="BK332" s="22"/>
      <c r="BL332" s="23"/>
      <c r="BM332" s="22"/>
      <c r="BN332" s="22"/>
      <c r="BO332" s="22"/>
      <c r="BP332" s="22"/>
      <c r="BQ332" s="22"/>
      <c r="BR332" s="24"/>
    </row>
    <row r="333" spans="2:70" hidden="1" outlineLevel="1">
      <c r="B333" s="38" t="s">
        <v>1577</v>
      </c>
      <c r="C333" s="38" t="s">
        <v>1577</v>
      </c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25" t="s">
        <v>289</v>
      </c>
      <c r="Q333" s="25" t="s">
        <v>289</v>
      </c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4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25"/>
      <c r="AZ333" s="5"/>
      <c r="BK333" s="22"/>
      <c r="BL333" s="23"/>
      <c r="BM333" s="22"/>
      <c r="BN333" s="22"/>
      <c r="BO333" s="22"/>
      <c r="BP333" s="22"/>
      <c r="BQ333" s="22"/>
      <c r="BR333" s="24"/>
    </row>
    <row r="334" spans="2:70" hidden="1" outlineLevel="1">
      <c r="B334" s="5" t="s">
        <v>159</v>
      </c>
      <c r="C334" s="38" t="s">
        <v>154</v>
      </c>
      <c r="D334" s="16">
        <v>4930</v>
      </c>
      <c r="E334" s="16">
        <v>5213</v>
      </c>
      <c r="F334" s="16">
        <v>4786</v>
      </c>
      <c r="G334" s="16">
        <v>4830</v>
      </c>
      <c r="H334" s="16">
        <v>4625</v>
      </c>
      <c r="I334" s="16">
        <v>4574</v>
      </c>
      <c r="J334" s="16">
        <v>4731</v>
      </c>
      <c r="K334" s="16">
        <v>4917</v>
      </c>
      <c r="L334" s="16">
        <v>5969</v>
      </c>
      <c r="M334" s="16">
        <v>6689</v>
      </c>
      <c r="N334" s="16">
        <v>7509</v>
      </c>
      <c r="O334" s="16">
        <v>13085</v>
      </c>
      <c r="P334" s="16">
        <v>15368</v>
      </c>
      <c r="Q334" s="16">
        <v>16764</v>
      </c>
      <c r="R334" s="16">
        <v>17174</v>
      </c>
      <c r="S334" s="16">
        <v>19676</v>
      </c>
      <c r="T334" s="16">
        <v>20500</v>
      </c>
      <c r="U334" s="16">
        <v>22542</v>
      </c>
      <c r="V334" s="16" t="s">
        <v>289</v>
      </c>
      <c r="W334" s="16"/>
      <c r="X334" s="16"/>
      <c r="Y334" s="16"/>
      <c r="Z334" s="16"/>
      <c r="AA334" s="16"/>
      <c r="AB334" s="25"/>
      <c r="AC334" s="25"/>
      <c r="AD334" s="24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16"/>
      <c r="AZ334" s="5"/>
      <c r="BK334" s="22"/>
      <c r="BL334" s="23"/>
      <c r="BM334" s="22"/>
      <c r="BN334" s="22"/>
      <c r="BO334" s="22"/>
      <c r="BP334" s="22"/>
      <c r="BQ334" s="22"/>
      <c r="BR334" s="24"/>
    </row>
    <row r="335" spans="2:70" hidden="1" outlineLevel="1">
      <c r="B335" s="5" t="s">
        <v>160</v>
      </c>
      <c r="C335" s="38" t="s">
        <v>161</v>
      </c>
      <c r="D335" s="16" t="s">
        <v>289</v>
      </c>
      <c r="E335" s="16" t="s">
        <v>289</v>
      </c>
      <c r="F335" s="16" t="s">
        <v>289</v>
      </c>
      <c r="G335" s="16" t="s">
        <v>289</v>
      </c>
      <c r="H335" s="16" t="s">
        <v>289</v>
      </c>
      <c r="I335" s="16" t="s">
        <v>289</v>
      </c>
      <c r="J335" s="16" t="s">
        <v>289</v>
      </c>
      <c r="K335" s="16" t="s">
        <v>289</v>
      </c>
      <c r="L335" s="16" t="s">
        <v>289</v>
      </c>
      <c r="M335" s="16" t="s">
        <v>289</v>
      </c>
      <c r="N335" s="16" t="s">
        <v>289</v>
      </c>
      <c r="O335" s="16" t="s">
        <v>289</v>
      </c>
      <c r="P335" s="16" t="s">
        <v>289</v>
      </c>
      <c r="Q335" s="16" t="s">
        <v>289</v>
      </c>
      <c r="R335" s="16" t="s">
        <v>289</v>
      </c>
      <c r="S335" s="16" t="s">
        <v>289</v>
      </c>
      <c r="T335" s="16" t="s">
        <v>289</v>
      </c>
      <c r="U335" s="16" t="s">
        <v>289</v>
      </c>
      <c r="V335" s="16" t="s">
        <v>289</v>
      </c>
      <c r="W335" s="16"/>
      <c r="X335" s="16"/>
      <c r="Y335" s="16"/>
      <c r="Z335" s="16"/>
      <c r="AA335" s="16"/>
      <c r="AB335" s="25"/>
      <c r="AC335" s="25"/>
      <c r="AD335" s="24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16"/>
      <c r="AZ335" s="5"/>
      <c r="BK335" s="25"/>
      <c r="BL335" s="25"/>
      <c r="BM335" s="25"/>
      <c r="BN335" s="25"/>
      <c r="BO335" s="25"/>
      <c r="BP335" s="25"/>
      <c r="BQ335" s="25"/>
      <c r="BR335" s="27"/>
    </row>
    <row r="336" spans="2:70" hidden="1" outlineLevel="1">
      <c r="B336" s="5" t="s">
        <v>162</v>
      </c>
      <c r="C336" s="38" t="s">
        <v>163</v>
      </c>
      <c r="D336" s="16" t="s">
        <v>289</v>
      </c>
      <c r="E336" s="16" t="s">
        <v>289</v>
      </c>
      <c r="F336" s="16" t="s">
        <v>289</v>
      </c>
      <c r="G336" s="16" t="s">
        <v>289</v>
      </c>
      <c r="H336" s="16" t="s">
        <v>289</v>
      </c>
      <c r="I336" s="16" t="s">
        <v>289</v>
      </c>
      <c r="J336" s="16" t="s">
        <v>289</v>
      </c>
      <c r="K336" s="16" t="s">
        <v>289</v>
      </c>
      <c r="L336" s="16" t="s">
        <v>289</v>
      </c>
      <c r="M336" s="16" t="s">
        <v>289</v>
      </c>
      <c r="N336" s="16" t="s">
        <v>289</v>
      </c>
      <c r="O336" s="16" t="s">
        <v>289</v>
      </c>
      <c r="P336" s="16" t="s">
        <v>289</v>
      </c>
      <c r="Q336" s="16" t="s">
        <v>289</v>
      </c>
      <c r="R336" s="16" t="s">
        <v>289</v>
      </c>
      <c r="S336" s="16" t="s">
        <v>289</v>
      </c>
      <c r="T336" s="16" t="s">
        <v>289</v>
      </c>
      <c r="U336" s="16" t="s">
        <v>289</v>
      </c>
      <c r="V336" s="16" t="s">
        <v>289</v>
      </c>
      <c r="W336" s="16"/>
      <c r="X336" s="16"/>
      <c r="Y336" s="16"/>
      <c r="Z336" s="16"/>
      <c r="AA336" s="16"/>
      <c r="AB336" s="25"/>
      <c r="AC336" s="2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16"/>
      <c r="AZ336" s="5"/>
      <c r="BK336" s="25"/>
      <c r="BL336" s="25"/>
      <c r="BM336" s="25"/>
      <c r="BN336" s="25"/>
      <c r="BO336" s="25"/>
      <c r="BP336" s="25"/>
      <c r="BQ336" s="25"/>
      <c r="BR336" s="27"/>
    </row>
    <row r="337" spans="1:72" s="33" customFormat="1" hidden="1" outlineLevel="1">
      <c r="A337" s="5"/>
      <c r="B337" s="5" t="s">
        <v>164</v>
      </c>
      <c r="C337" s="38" t="s">
        <v>165</v>
      </c>
      <c r="D337" s="16" t="s">
        <v>289</v>
      </c>
      <c r="E337" s="16" t="s">
        <v>289</v>
      </c>
      <c r="F337" s="16" t="s">
        <v>289</v>
      </c>
      <c r="G337" s="16" t="s">
        <v>289</v>
      </c>
      <c r="H337" s="16" t="s">
        <v>289</v>
      </c>
      <c r="I337" s="16" t="s">
        <v>289</v>
      </c>
      <c r="J337" s="16" t="s">
        <v>289</v>
      </c>
      <c r="K337" s="16" t="s">
        <v>289</v>
      </c>
      <c r="L337" s="16" t="s">
        <v>289</v>
      </c>
      <c r="M337" s="16" t="s">
        <v>289</v>
      </c>
      <c r="N337" s="16" t="s">
        <v>289</v>
      </c>
      <c r="O337" s="16" t="s">
        <v>289</v>
      </c>
      <c r="P337" s="16" t="s">
        <v>289</v>
      </c>
      <c r="Q337" s="16" t="s">
        <v>289</v>
      </c>
      <c r="R337" s="16" t="s">
        <v>289</v>
      </c>
      <c r="S337" s="16" t="s">
        <v>289</v>
      </c>
      <c r="T337" s="16" t="s">
        <v>289</v>
      </c>
      <c r="U337" s="16" t="s">
        <v>289</v>
      </c>
      <c r="V337" s="16" t="s">
        <v>289</v>
      </c>
      <c r="W337" s="16"/>
      <c r="X337" s="16"/>
      <c r="Y337" s="16"/>
      <c r="Z337" s="16"/>
      <c r="AA337" s="16"/>
      <c r="AB337" s="25"/>
      <c r="AC337" s="2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16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25"/>
      <c r="BL337" s="25"/>
      <c r="BM337" s="25"/>
      <c r="BN337" s="25"/>
      <c r="BO337" s="25"/>
      <c r="BP337" s="25"/>
      <c r="BQ337" s="25"/>
      <c r="BR337" s="27"/>
      <c r="BS337" s="5"/>
      <c r="BT337" s="5"/>
    </row>
    <row r="338" spans="1:72" s="33" customFormat="1" hidden="1" outlineLevel="1">
      <c r="A338" s="5"/>
      <c r="B338" s="5"/>
      <c r="C338" s="5" t="s">
        <v>166</v>
      </c>
      <c r="D338" s="25">
        <f t="shared" ref="D338:Y338" si="207">IF(D11="no","…",IFERROR(D339-D211,"…"))</f>
        <v>8269</v>
      </c>
      <c r="E338" s="25">
        <f t="shared" si="207"/>
        <v>7160</v>
      </c>
      <c r="F338" s="25">
        <f t="shared" si="207"/>
        <v>6834</v>
      </c>
      <c r="G338" s="25">
        <f t="shared" si="207"/>
        <v>7469</v>
      </c>
      <c r="H338" s="25">
        <f t="shared" si="207"/>
        <v>6817</v>
      </c>
      <c r="I338" s="25">
        <f t="shared" si="207"/>
        <v>7121</v>
      </c>
      <c r="J338" s="25">
        <f t="shared" si="207"/>
        <v>8190</v>
      </c>
      <c r="K338" s="25">
        <f t="shared" si="207"/>
        <v>8169</v>
      </c>
      <c r="L338" s="25">
        <f t="shared" si="207"/>
        <v>9597</v>
      </c>
      <c r="M338" s="25">
        <f t="shared" si="207"/>
        <v>11061</v>
      </c>
      <c r="N338" s="25">
        <f t="shared" si="207"/>
        <v>12782</v>
      </c>
      <c r="O338" s="25">
        <f t="shared" si="207"/>
        <v>15565</v>
      </c>
      <c r="P338" s="25">
        <f t="shared" si="207"/>
        <v>16606</v>
      </c>
      <c r="Q338" s="25">
        <f t="shared" si="207"/>
        <v>17852</v>
      </c>
      <c r="R338" s="25">
        <f t="shared" si="207"/>
        <v>18054</v>
      </c>
      <c r="S338" s="25">
        <f t="shared" si="207"/>
        <v>19675</v>
      </c>
      <c r="T338" s="25">
        <f t="shared" si="207"/>
        <v>20500</v>
      </c>
      <c r="U338" s="25">
        <f t="shared" si="207"/>
        <v>21452</v>
      </c>
      <c r="V338" s="25" t="str">
        <f t="shared" si="207"/>
        <v>…</v>
      </c>
      <c r="W338" s="25" t="str">
        <f t="shared" si="207"/>
        <v>…</v>
      </c>
      <c r="X338" s="25" t="str">
        <f t="shared" si="207"/>
        <v>…</v>
      </c>
      <c r="Y338" s="25" t="str">
        <f t="shared" si="207"/>
        <v>…</v>
      </c>
      <c r="Z338" s="25"/>
      <c r="AA338" s="25"/>
      <c r="AB338" s="25"/>
      <c r="AC338" s="2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2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22"/>
      <c r="BL338" s="23"/>
      <c r="BM338" s="22"/>
      <c r="BN338" s="22"/>
      <c r="BO338" s="22"/>
      <c r="BP338" s="22"/>
      <c r="BQ338" s="22"/>
      <c r="BR338" s="24"/>
      <c r="BS338" s="5"/>
      <c r="BT338" s="5"/>
    </row>
    <row r="339" spans="1:72" s="33" customFormat="1" ht="13.15" hidden="1" outlineLevel="1">
      <c r="A339" s="5"/>
      <c r="B339" s="5"/>
      <c r="C339" s="5" t="s">
        <v>167</v>
      </c>
      <c r="D339" s="25">
        <f t="shared" ref="D339:T339" si="208">IF(ISNUMBER(D340),D340,IF(ISNUMBER(D341),D341,IF(ISNUMBER(D342),D342,"…")))</f>
        <v>8302</v>
      </c>
      <c r="E339" s="25">
        <f t="shared" si="208"/>
        <v>8648</v>
      </c>
      <c r="F339" s="25">
        <f t="shared" si="208"/>
        <v>8376</v>
      </c>
      <c r="G339" s="25">
        <f t="shared" si="208"/>
        <v>9058</v>
      </c>
      <c r="H339" s="25">
        <f t="shared" si="208"/>
        <v>8406</v>
      </c>
      <c r="I339" s="25">
        <f t="shared" si="208"/>
        <v>8861</v>
      </c>
      <c r="J339" s="25">
        <f t="shared" si="208"/>
        <v>10089</v>
      </c>
      <c r="K339" s="25">
        <f t="shared" si="208"/>
        <v>10333</v>
      </c>
      <c r="L339" s="25">
        <f t="shared" si="208"/>
        <v>13114</v>
      </c>
      <c r="M339" s="25">
        <f t="shared" si="208"/>
        <v>14650</v>
      </c>
      <c r="N339" s="25">
        <f t="shared" si="208"/>
        <v>16791</v>
      </c>
      <c r="O339" s="25">
        <f t="shared" si="208"/>
        <v>19656</v>
      </c>
      <c r="P339" s="25">
        <f t="shared" si="208"/>
        <v>20793</v>
      </c>
      <c r="Q339" s="25">
        <f t="shared" si="208"/>
        <v>22030</v>
      </c>
      <c r="R339" s="25">
        <f t="shared" si="208"/>
        <v>22391</v>
      </c>
      <c r="S339" s="25">
        <f t="shared" si="208"/>
        <v>24406</v>
      </c>
      <c r="T339" s="25">
        <f t="shared" si="208"/>
        <v>25749</v>
      </c>
      <c r="U339" s="25">
        <f>IF(ISNUMBER(U340),U340,IF(ISNUMBER(U341),U341,IF(ISNUMBER(U342),U342,"…")))</f>
        <v>27281</v>
      </c>
      <c r="V339" s="25" t="str">
        <f>IF(ISNUMBER(V340),V340,IF(ISNUMBER(V341),V341,IF(ISNUMBER(V342),V342,"…")))</f>
        <v>…</v>
      </c>
      <c r="W339" s="25" t="str">
        <f>IF(ISNUMBER(W340),W340,IF(ISNUMBER(W341),W341,IF(ISNUMBER(W342),W342,"…")))</f>
        <v>…</v>
      </c>
      <c r="X339" s="25" t="str">
        <f>IF(ISNUMBER(X340),X340,IF(ISNUMBER(X341),X341,IF(ISNUMBER(X342),X342,"…")))</f>
        <v>…</v>
      </c>
      <c r="Y339" s="25" t="str">
        <f>IF(ISNUMBER(Y340),Y340,IF(ISNUMBER(Y341),Y341,IF(ISNUMBER(Y342),Y342,"…")))</f>
        <v>…</v>
      </c>
      <c r="Z339" s="25"/>
      <c r="AA339" s="25"/>
      <c r="AB339" s="5"/>
      <c r="AC339" s="5"/>
      <c r="AD339" s="5"/>
      <c r="AE339" s="5" t="s">
        <v>1576</v>
      </c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2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14"/>
      <c r="BL339" s="14"/>
      <c r="BM339" s="14"/>
      <c r="BN339" s="14"/>
      <c r="BO339" s="14"/>
      <c r="BP339" s="14"/>
      <c r="BQ339" s="14"/>
      <c r="BR339" s="17"/>
      <c r="BS339" s="5"/>
      <c r="BT339" s="5"/>
    </row>
    <row r="340" spans="1:72" s="33" customFormat="1" hidden="1" outlineLevel="1">
      <c r="A340" s="5"/>
      <c r="B340" s="5" t="s">
        <v>168</v>
      </c>
      <c r="C340" s="38" t="s">
        <v>154</v>
      </c>
      <c r="D340" s="16" t="s">
        <v>289</v>
      </c>
      <c r="E340" s="16" t="s">
        <v>289</v>
      </c>
      <c r="F340" s="16" t="s">
        <v>289</v>
      </c>
      <c r="G340" s="16" t="s">
        <v>289</v>
      </c>
      <c r="H340" s="16" t="s">
        <v>289</v>
      </c>
      <c r="I340" s="16" t="s">
        <v>289</v>
      </c>
      <c r="J340" s="16" t="s">
        <v>289</v>
      </c>
      <c r="K340" s="16" t="s">
        <v>289</v>
      </c>
      <c r="L340" s="16" t="s">
        <v>289</v>
      </c>
      <c r="M340" s="16" t="s">
        <v>289</v>
      </c>
      <c r="N340" s="16" t="s">
        <v>289</v>
      </c>
      <c r="O340" s="16" t="s">
        <v>289</v>
      </c>
      <c r="P340" s="16" t="s">
        <v>289</v>
      </c>
      <c r="Q340" s="16" t="s">
        <v>289</v>
      </c>
      <c r="R340" s="16" t="s">
        <v>289</v>
      </c>
      <c r="S340" s="16" t="s">
        <v>289</v>
      </c>
      <c r="T340" s="16" t="s">
        <v>289</v>
      </c>
      <c r="U340" s="16" t="s">
        <v>289</v>
      </c>
      <c r="V340" s="16" t="s">
        <v>289</v>
      </c>
      <c r="W340" s="16"/>
      <c r="X340" s="16"/>
      <c r="Y340" s="16"/>
      <c r="Z340" s="16"/>
      <c r="AA340" s="16"/>
      <c r="AB340" s="25"/>
      <c r="AC340" s="2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16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22"/>
      <c r="BL340" s="23"/>
      <c r="BM340" s="22"/>
      <c r="BN340" s="22"/>
      <c r="BO340" s="22"/>
      <c r="BP340" s="22"/>
      <c r="BQ340" s="22"/>
      <c r="BR340" s="24"/>
      <c r="BS340" s="5"/>
      <c r="BT340" s="5"/>
    </row>
    <row r="341" spans="1:72" s="33" customFormat="1" hidden="1" outlineLevel="1">
      <c r="A341" s="5"/>
      <c r="B341" s="5" t="s">
        <v>170</v>
      </c>
      <c r="C341" s="38" t="s">
        <v>161</v>
      </c>
      <c r="D341" s="16">
        <v>8302</v>
      </c>
      <c r="E341" s="16">
        <v>8648</v>
      </c>
      <c r="F341" s="16">
        <v>8376</v>
      </c>
      <c r="G341" s="16">
        <v>9058</v>
      </c>
      <c r="H341" s="16">
        <v>8406</v>
      </c>
      <c r="I341" s="16">
        <v>8861</v>
      </c>
      <c r="J341" s="16">
        <v>10089</v>
      </c>
      <c r="K341" s="16">
        <v>10333</v>
      </c>
      <c r="L341" s="16">
        <v>13114</v>
      </c>
      <c r="M341" s="16">
        <v>14650</v>
      </c>
      <c r="N341" s="16">
        <v>16791</v>
      </c>
      <c r="O341" s="16">
        <v>19656</v>
      </c>
      <c r="P341" s="16">
        <v>20793</v>
      </c>
      <c r="Q341" s="16">
        <v>22030</v>
      </c>
      <c r="R341" s="16">
        <v>22391</v>
      </c>
      <c r="S341" s="16">
        <v>24406</v>
      </c>
      <c r="T341" s="16">
        <v>25749</v>
      </c>
      <c r="U341" s="16">
        <v>27281</v>
      </c>
      <c r="V341" s="16" t="s">
        <v>289</v>
      </c>
      <c r="W341" s="16"/>
      <c r="X341" s="16"/>
      <c r="Y341" s="16"/>
      <c r="Z341" s="16"/>
      <c r="AA341" s="16"/>
      <c r="AB341" s="25"/>
      <c r="AC341" s="2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16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25"/>
      <c r="BL341" s="25"/>
      <c r="BM341" s="25"/>
      <c r="BN341" s="25"/>
      <c r="BO341" s="25"/>
      <c r="BP341" s="25"/>
      <c r="BQ341" s="25"/>
      <c r="BR341" s="27"/>
      <c r="BS341" s="5"/>
      <c r="BT341" s="5"/>
    </row>
    <row r="342" spans="1:72" s="33" customFormat="1" hidden="1" outlineLevel="1">
      <c r="A342" s="5"/>
      <c r="B342" s="5" t="s">
        <v>169</v>
      </c>
      <c r="C342" s="38" t="s">
        <v>163</v>
      </c>
      <c r="D342" s="16" t="s">
        <v>289</v>
      </c>
      <c r="E342" s="16" t="s">
        <v>289</v>
      </c>
      <c r="F342" s="16" t="s">
        <v>289</v>
      </c>
      <c r="G342" s="16" t="s">
        <v>289</v>
      </c>
      <c r="H342" s="16" t="s">
        <v>289</v>
      </c>
      <c r="I342" s="16" t="s">
        <v>289</v>
      </c>
      <c r="J342" s="16" t="s">
        <v>289</v>
      </c>
      <c r="K342" s="16" t="s">
        <v>289</v>
      </c>
      <c r="L342" s="16" t="s">
        <v>289</v>
      </c>
      <c r="M342" s="16" t="s">
        <v>289</v>
      </c>
      <c r="N342" s="16" t="s">
        <v>289</v>
      </c>
      <c r="O342" s="16" t="s">
        <v>289</v>
      </c>
      <c r="P342" s="16" t="s">
        <v>289</v>
      </c>
      <c r="Q342" s="16" t="s">
        <v>289</v>
      </c>
      <c r="R342" s="16" t="s">
        <v>289</v>
      </c>
      <c r="S342" s="16" t="s">
        <v>289</v>
      </c>
      <c r="T342" s="16" t="s">
        <v>289</v>
      </c>
      <c r="U342" s="16" t="s">
        <v>289</v>
      </c>
      <c r="V342" s="16" t="s">
        <v>289</v>
      </c>
      <c r="W342" s="16"/>
      <c r="X342" s="16"/>
      <c r="Y342" s="16"/>
      <c r="Z342" s="16"/>
      <c r="AA342" s="16"/>
      <c r="AB342" s="25"/>
      <c r="AC342" s="2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16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25"/>
      <c r="BL342" s="25"/>
      <c r="BM342" s="25"/>
      <c r="BN342" s="25"/>
      <c r="BO342" s="25"/>
      <c r="BP342" s="25"/>
      <c r="BQ342" s="25"/>
      <c r="BR342" s="27"/>
      <c r="BS342" s="5"/>
      <c r="BT342" s="5"/>
    </row>
    <row r="343" spans="1:72" s="33" customFormat="1" hidden="1" outlineLevel="1">
      <c r="A343" s="5"/>
      <c r="B343" s="5"/>
      <c r="C343" s="38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2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25"/>
      <c r="BL343" s="25"/>
      <c r="BM343" s="25"/>
      <c r="BN343" s="25"/>
      <c r="BO343" s="25"/>
      <c r="BP343" s="25"/>
      <c r="BQ343" s="25"/>
      <c r="BR343" s="27"/>
      <c r="BS343" s="5"/>
      <c r="BT343" s="5"/>
    </row>
    <row r="344" spans="1:72" s="33" customFormat="1" collapsed="1">
      <c r="A344" s="5"/>
      <c r="B344" s="5"/>
      <c r="C344" s="38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25"/>
      <c r="P344" s="25"/>
      <c r="Q344" s="25"/>
      <c r="R344" s="25"/>
      <c r="S344" s="25"/>
      <c r="T344" s="25"/>
      <c r="U344" s="25"/>
      <c r="V344" s="25"/>
      <c r="W344" s="25"/>
      <c r="X344" s="25"/>
      <c r="Y344" s="25"/>
      <c r="Z344" s="25"/>
      <c r="AA344" s="25"/>
      <c r="AB344" s="25"/>
      <c r="AC344" s="2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2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25"/>
      <c r="BL344" s="25"/>
      <c r="BM344" s="25"/>
      <c r="BN344" s="25"/>
      <c r="BO344" s="25"/>
      <c r="BP344" s="25"/>
      <c r="BQ344" s="25"/>
      <c r="BR344" s="27"/>
      <c r="BS344" s="5"/>
      <c r="BT344" s="5"/>
    </row>
    <row r="345" spans="1:72" s="33" customFormat="1">
      <c r="A345" s="5"/>
      <c r="B345" s="5"/>
      <c r="C345" s="38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25"/>
      <c r="P345" s="25"/>
      <c r="Q345" s="25"/>
      <c r="R345" s="25"/>
      <c r="S345" s="25"/>
      <c r="T345" s="25"/>
      <c r="U345" s="25"/>
      <c r="V345" s="25"/>
      <c r="W345" s="25"/>
      <c r="X345" s="25"/>
      <c r="Y345" s="25"/>
      <c r="Z345" s="25"/>
      <c r="AA345" s="25"/>
      <c r="AB345" s="25"/>
      <c r="AC345" s="2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2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25"/>
      <c r="BL345" s="25"/>
      <c r="BM345" s="25"/>
      <c r="BN345" s="25"/>
      <c r="BO345" s="25"/>
      <c r="BP345" s="25"/>
      <c r="BQ345" s="25"/>
      <c r="BR345" s="27"/>
      <c r="BS345" s="5"/>
      <c r="BT345" s="5"/>
    </row>
    <row r="346" spans="1:72" s="33" customFormat="1" ht="13.15">
      <c r="A346" s="5"/>
      <c r="B346" s="5"/>
      <c r="C346" s="12" t="s">
        <v>2489</v>
      </c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2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25"/>
      <c r="BL346" s="25"/>
      <c r="BM346" s="25"/>
      <c r="BN346" s="25"/>
      <c r="BO346" s="25"/>
      <c r="BP346" s="25"/>
      <c r="BQ346" s="25"/>
      <c r="BR346" s="27"/>
      <c r="BS346" s="5"/>
      <c r="BT346" s="5"/>
    </row>
    <row r="347" spans="1:72" s="33" customFormat="1" ht="13.15">
      <c r="A347" s="5"/>
      <c r="B347" s="5"/>
      <c r="C347" s="9"/>
      <c r="D347" s="14"/>
      <c r="E347" s="14"/>
      <c r="F347" s="14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  <c r="Z347" s="14"/>
      <c r="AA347" s="14"/>
      <c r="AB347" s="14"/>
      <c r="AC347" s="14"/>
      <c r="AD347" s="24"/>
      <c r="AE347" s="5"/>
      <c r="AF347" s="5"/>
      <c r="AG347" s="5"/>
      <c r="AY347" s="14"/>
      <c r="BD347" s="5"/>
      <c r="BE347" s="5"/>
      <c r="BF347" s="5"/>
      <c r="BG347" s="5"/>
      <c r="BH347" s="5"/>
      <c r="BI347" s="5"/>
      <c r="BJ347" s="24"/>
      <c r="BK347" s="22"/>
      <c r="BL347" s="23"/>
      <c r="BM347" s="22"/>
      <c r="BN347" s="22"/>
      <c r="BO347" s="22"/>
      <c r="BP347" s="22"/>
      <c r="BQ347" s="22"/>
      <c r="BR347" s="24"/>
      <c r="BS347" s="5"/>
    </row>
    <row r="348" spans="1:72" s="33" customFormat="1" ht="13.15">
      <c r="A348" s="5"/>
      <c r="B348" s="5"/>
      <c r="C348" s="9" t="s">
        <v>212</v>
      </c>
      <c r="D348" s="14">
        <f t="shared" ref="D348:Y348" si="209">IF(ISNUMBER(D349),D349,IF(ISNUMBER(D350),D350,"…"))</f>
        <v>50757</v>
      </c>
      <c r="E348" s="14">
        <f t="shared" si="209"/>
        <v>55566</v>
      </c>
      <c r="F348" s="14">
        <f t="shared" si="209"/>
        <v>56071</v>
      </c>
      <c r="G348" s="14">
        <f t="shared" si="209"/>
        <v>58343</v>
      </c>
      <c r="H348" s="14">
        <f t="shared" si="209"/>
        <v>69679</v>
      </c>
      <c r="I348" s="14">
        <f t="shared" si="209"/>
        <v>69534</v>
      </c>
      <c r="J348" s="14">
        <f t="shared" si="209"/>
        <v>76900</v>
      </c>
      <c r="K348" s="14">
        <f t="shared" si="209"/>
        <v>101236</v>
      </c>
      <c r="L348" s="14">
        <f t="shared" si="209"/>
        <v>105526</v>
      </c>
      <c r="M348" s="14">
        <f t="shared" si="209"/>
        <v>118625</v>
      </c>
      <c r="N348" s="14">
        <f t="shared" si="209"/>
        <v>130706</v>
      </c>
      <c r="O348" s="14">
        <f t="shared" si="209"/>
        <v>148489</v>
      </c>
      <c r="P348" s="14">
        <f t="shared" si="209"/>
        <v>177515</v>
      </c>
      <c r="Q348" s="14">
        <f t="shared" si="209"/>
        <v>160389</v>
      </c>
      <c r="R348" s="14">
        <f t="shared" si="209"/>
        <v>167968</v>
      </c>
      <c r="S348" s="14">
        <f t="shared" si="209"/>
        <v>167924</v>
      </c>
      <c r="T348" s="14">
        <f t="shared" si="209"/>
        <v>165410</v>
      </c>
      <c r="U348" s="14">
        <f t="shared" si="209"/>
        <v>164393</v>
      </c>
      <c r="V348" s="14" t="str">
        <f t="shared" si="209"/>
        <v>…</v>
      </c>
      <c r="W348" s="14" t="str">
        <f t="shared" si="209"/>
        <v>…</v>
      </c>
      <c r="X348" s="14" t="str">
        <f t="shared" si="209"/>
        <v>…</v>
      </c>
      <c r="Y348" s="14" t="str">
        <f t="shared" si="209"/>
        <v>…</v>
      </c>
      <c r="Z348" s="14"/>
      <c r="AA348" s="14"/>
      <c r="AB348" s="14"/>
      <c r="AC348" s="14"/>
      <c r="AD348" s="5"/>
      <c r="AE348" s="5"/>
      <c r="AF348" s="5"/>
      <c r="AG348" s="5"/>
      <c r="AY348" s="14"/>
      <c r="BD348" s="5"/>
      <c r="BE348" s="5"/>
      <c r="BF348" s="5"/>
      <c r="BG348" s="5"/>
      <c r="BH348" s="5"/>
      <c r="BI348" s="5"/>
      <c r="BJ348" s="24"/>
      <c r="BK348" s="22"/>
      <c r="BL348" s="23"/>
      <c r="BM348" s="22"/>
      <c r="BN348" s="22"/>
      <c r="BO348" s="22"/>
      <c r="BP348" s="22"/>
      <c r="BQ348" s="22"/>
      <c r="BR348" s="24"/>
      <c r="BS348" s="5"/>
    </row>
    <row r="349" spans="1:72" s="33" customFormat="1" hidden="1" outlineLevel="1">
      <c r="A349" s="5"/>
      <c r="B349" s="5" t="s">
        <v>213</v>
      </c>
      <c r="C349" s="38" t="s">
        <v>154</v>
      </c>
      <c r="D349" s="16">
        <v>50757</v>
      </c>
      <c r="E349" s="16">
        <v>55566</v>
      </c>
      <c r="F349" s="16">
        <v>56071</v>
      </c>
      <c r="G349" s="16">
        <v>58343</v>
      </c>
      <c r="H349" s="16">
        <v>69679</v>
      </c>
      <c r="I349" s="16">
        <v>69534</v>
      </c>
      <c r="J349" s="16">
        <v>76900</v>
      </c>
      <c r="K349" s="16">
        <v>101236</v>
      </c>
      <c r="L349" s="16">
        <v>105526</v>
      </c>
      <c r="M349" s="16">
        <v>118625</v>
      </c>
      <c r="N349" s="16">
        <v>130706</v>
      </c>
      <c r="O349" s="16">
        <v>148489</v>
      </c>
      <c r="P349" s="16">
        <v>177515</v>
      </c>
      <c r="Q349" s="16">
        <v>160389</v>
      </c>
      <c r="R349" s="16">
        <v>167968</v>
      </c>
      <c r="S349" s="16">
        <v>167924</v>
      </c>
      <c r="T349" s="16">
        <v>165410</v>
      </c>
      <c r="U349" s="16">
        <v>164393</v>
      </c>
      <c r="V349" s="16" t="s">
        <v>289</v>
      </c>
      <c r="W349" s="16"/>
      <c r="X349" s="16"/>
      <c r="Y349" s="16"/>
      <c r="Z349" s="16"/>
      <c r="AA349" s="16"/>
      <c r="AB349" s="25"/>
      <c r="AC349" s="25"/>
      <c r="AD349" s="5"/>
      <c r="AE349" s="5"/>
      <c r="AF349" s="5"/>
      <c r="AG349" s="5"/>
      <c r="AY349" s="16"/>
      <c r="BD349" s="5"/>
      <c r="BE349" s="5"/>
      <c r="BF349" s="5"/>
      <c r="BG349" s="5"/>
      <c r="BH349" s="5"/>
      <c r="BI349" s="5"/>
      <c r="BJ349" s="24"/>
      <c r="BK349" s="22"/>
      <c r="BL349" s="23"/>
      <c r="BM349" s="22"/>
      <c r="BN349" s="22"/>
      <c r="BO349" s="22"/>
      <c r="BP349" s="22"/>
      <c r="BQ349" s="22"/>
      <c r="BR349" s="24"/>
      <c r="BS349" s="5"/>
    </row>
    <row r="350" spans="1:72" s="33" customFormat="1" hidden="1" outlineLevel="1">
      <c r="A350" s="5"/>
      <c r="B350" s="5" t="s">
        <v>214</v>
      </c>
      <c r="C350" s="38" t="s">
        <v>161</v>
      </c>
      <c r="D350" s="16">
        <v>48692</v>
      </c>
      <c r="E350" s="16">
        <v>53309</v>
      </c>
      <c r="F350" s="16">
        <v>53485</v>
      </c>
      <c r="G350" s="16">
        <v>56068</v>
      </c>
      <c r="H350" s="16">
        <v>64802</v>
      </c>
      <c r="I350" s="16">
        <v>69534</v>
      </c>
      <c r="J350" s="16">
        <v>76900</v>
      </c>
      <c r="K350" s="16">
        <v>101236</v>
      </c>
      <c r="L350" s="16">
        <v>105526</v>
      </c>
      <c r="M350" s="16">
        <v>118625</v>
      </c>
      <c r="N350" s="16">
        <v>130706</v>
      </c>
      <c r="O350" s="16">
        <v>148489</v>
      </c>
      <c r="P350" s="16">
        <v>177515</v>
      </c>
      <c r="Q350" s="16">
        <v>160389</v>
      </c>
      <c r="R350" s="16">
        <v>167968</v>
      </c>
      <c r="S350" s="16">
        <v>167924</v>
      </c>
      <c r="T350" s="16">
        <v>165410</v>
      </c>
      <c r="U350" s="16">
        <v>164393</v>
      </c>
      <c r="V350" s="16" t="s">
        <v>289</v>
      </c>
      <c r="W350" s="16"/>
      <c r="X350" s="16"/>
      <c r="Y350" s="16"/>
      <c r="Z350" s="16"/>
      <c r="AA350" s="16"/>
      <c r="AB350" s="25"/>
      <c r="AC350" s="25"/>
      <c r="AD350" s="5"/>
      <c r="AE350" s="5"/>
      <c r="AF350" s="5"/>
      <c r="AG350" s="5"/>
      <c r="AY350" s="16"/>
      <c r="BD350" s="5"/>
      <c r="BE350" s="5"/>
      <c r="BF350" s="5"/>
      <c r="BG350" s="5"/>
      <c r="BH350" s="5"/>
      <c r="BI350" s="5"/>
      <c r="BJ350" s="24"/>
      <c r="BK350" s="22"/>
      <c r="BL350" s="23"/>
      <c r="BM350" s="22"/>
      <c r="BN350" s="22"/>
      <c r="BO350" s="22"/>
      <c r="BP350" s="22"/>
      <c r="BQ350" s="22"/>
      <c r="BR350" s="24"/>
      <c r="BS350" s="5"/>
    </row>
    <row r="351" spans="1:72" s="33" customFormat="1" ht="13.15" collapsed="1">
      <c r="A351" s="5"/>
      <c r="B351" s="5"/>
      <c r="C351" s="9" t="s">
        <v>215</v>
      </c>
      <c r="D351" s="14">
        <f t="shared" ref="D351:Y351" si="210">IF(ISNUMBER(D352),D352,IF(ISNUMBER(D354/D353),D354+D353,"…"))</f>
        <v>28885</v>
      </c>
      <c r="E351" s="14">
        <f t="shared" si="210"/>
        <v>30992</v>
      </c>
      <c r="F351" s="14">
        <f t="shared" si="210"/>
        <v>30023</v>
      </c>
      <c r="G351" s="14">
        <f t="shared" si="210"/>
        <v>28677</v>
      </c>
      <c r="H351" s="14">
        <f t="shared" si="210"/>
        <v>41000</v>
      </c>
      <c r="I351" s="14">
        <f t="shared" si="210"/>
        <v>40606</v>
      </c>
      <c r="J351" s="14">
        <f t="shared" si="210"/>
        <v>39853</v>
      </c>
      <c r="K351" s="14">
        <f t="shared" si="210"/>
        <v>49090</v>
      </c>
      <c r="L351" s="14">
        <f t="shared" si="210"/>
        <v>54061</v>
      </c>
      <c r="M351" s="14">
        <f t="shared" si="210"/>
        <v>59986</v>
      </c>
      <c r="N351" s="14">
        <f t="shared" si="210"/>
        <v>65564</v>
      </c>
      <c r="O351" s="14">
        <f t="shared" si="210"/>
        <v>72312</v>
      </c>
      <c r="P351" s="14">
        <f t="shared" si="210"/>
        <v>88462</v>
      </c>
      <c r="Q351" s="14">
        <f t="shared" si="210"/>
        <v>81844</v>
      </c>
      <c r="R351" s="14">
        <f t="shared" si="210"/>
        <v>89757</v>
      </c>
      <c r="S351" s="14">
        <f t="shared" si="210"/>
        <v>87912</v>
      </c>
      <c r="T351" s="14">
        <f t="shared" si="210"/>
        <v>88649</v>
      </c>
      <c r="U351" s="14">
        <f t="shared" si="210"/>
        <v>78584</v>
      </c>
      <c r="V351" s="14" t="str">
        <f t="shared" si="210"/>
        <v>…</v>
      </c>
      <c r="W351" s="14" t="str">
        <f t="shared" si="210"/>
        <v>…</v>
      </c>
      <c r="X351" s="14" t="str">
        <f t="shared" si="210"/>
        <v>…</v>
      </c>
      <c r="Y351" s="14" t="str">
        <f t="shared" si="210"/>
        <v>…</v>
      </c>
      <c r="Z351" s="14"/>
      <c r="AA351" s="14"/>
      <c r="AB351" s="14"/>
      <c r="AC351" s="14"/>
      <c r="AD351" s="5"/>
      <c r="AE351" s="5"/>
      <c r="AF351" s="5"/>
      <c r="AG351" s="5"/>
      <c r="AY351" s="14"/>
      <c r="BD351" s="5"/>
      <c r="BE351" s="5"/>
      <c r="BF351" s="5"/>
      <c r="BG351" s="5"/>
      <c r="BH351" s="5"/>
      <c r="BI351" s="5"/>
      <c r="BJ351" s="24"/>
      <c r="BK351" s="22"/>
      <c r="BL351" s="23"/>
      <c r="BM351" s="22"/>
      <c r="BN351" s="22"/>
      <c r="BO351" s="22"/>
      <c r="BP351" s="22"/>
      <c r="BQ351" s="22"/>
      <c r="BR351" s="24"/>
      <c r="BS351" s="5"/>
    </row>
    <row r="352" spans="1:72" s="33" customFormat="1" hidden="1" outlineLevel="1">
      <c r="A352" s="5"/>
      <c r="B352" s="5" t="s">
        <v>216</v>
      </c>
      <c r="C352" s="38" t="s">
        <v>154</v>
      </c>
      <c r="D352" s="16">
        <v>28885</v>
      </c>
      <c r="E352" s="16">
        <v>30992</v>
      </c>
      <c r="F352" s="16">
        <v>30023</v>
      </c>
      <c r="G352" s="16">
        <v>28677</v>
      </c>
      <c r="H352" s="16">
        <v>41000</v>
      </c>
      <c r="I352" s="16">
        <v>40606</v>
      </c>
      <c r="J352" s="16">
        <v>39853</v>
      </c>
      <c r="K352" s="16">
        <v>49090</v>
      </c>
      <c r="L352" s="16">
        <v>54061</v>
      </c>
      <c r="M352" s="16">
        <v>59986</v>
      </c>
      <c r="N352" s="16">
        <v>65564</v>
      </c>
      <c r="O352" s="16">
        <v>72312</v>
      </c>
      <c r="P352" s="16">
        <v>88462</v>
      </c>
      <c r="Q352" s="16">
        <v>81844</v>
      </c>
      <c r="R352" s="16">
        <v>89757</v>
      </c>
      <c r="S352" s="16">
        <v>87912</v>
      </c>
      <c r="T352" s="16">
        <v>88649</v>
      </c>
      <c r="U352" s="16">
        <v>78584</v>
      </c>
      <c r="V352" s="16" t="s">
        <v>289</v>
      </c>
      <c r="W352" s="16"/>
      <c r="X352" s="16"/>
      <c r="Y352" s="16"/>
      <c r="Z352" s="16"/>
      <c r="AA352" s="16"/>
      <c r="AB352" s="25"/>
      <c r="AC352" s="25"/>
      <c r="AD352" s="5"/>
      <c r="AE352" s="5"/>
      <c r="AF352" s="5"/>
      <c r="AG352" s="5"/>
      <c r="AY352" s="16"/>
      <c r="BD352" s="5"/>
      <c r="BE352" s="5"/>
      <c r="BF352" s="5"/>
      <c r="BG352" s="5"/>
      <c r="BH352" s="5"/>
      <c r="BI352" s="5"/>
      <c r="BJ352" s="24"/>
      <c r="BK352" s="22"/>
      <c r="BL352" s="23"/>
      <c r="BM352" s="22"/>
      <c r="BN352" s="22"/>
      <c r="BO352" s="22"/>
      <c r="BP352" s="22"/>
      <c r="BQ352" s="22"/>
      <c r="BR352" s="24"/>
      <c r="BS352" s="5"/>
    </row>
    <row r="353" spans="1:71" s="33" customFormat="1" hidden="1" outlineLevel="1">
      <c r="A353" s="5"/>
      <c r="B353" s="5" t="s">
        <v>217</v>
      </c>
      <c r="C353" s="38" t="s">
        <v>161</v>
      </c>
      <c r="D353" s="16" t="s">
        <v>289</v>
      </c>
      <c r="E353" s="16" t="s">
        <v>289</v>
      </c>
      <c r="F353" s="16" t="s">
        <v>289</v>
      </c>
      <c r="G353" s="16" t="s">
        <v>289</v>
      </c>
      <c r="H353" s="16" t="s">
        <v>289</v>
      </c>
      <c r="I353" s="16" t="s">
        <v>289</v>
      </c>
      <c r="J353" s="16" t="s">
        <v>289</v>
      </c>
      <c r="K353" s="16" t="s">
        <v>289</v>
      </c>
      <c r="L353" s="16" t="s">
        <v>289</v>
      </c>
      <c r="M353" s="16" t="s">
        <v>289</v>
      </c>
      <c r="N353" s="16" t="s">
        <v>289</v>
      </c>
      <c r="O353" s="16" t="s">
        <v>289</v>
      </c>
      <c r="P353" s="16" t="s">
        <v>289</v>
      </c>
      <c r="Q353" s="16" t="s">
        <v>289</v>
      </c>
      <c r="R353" s="16" t="s">
        <v>289</v>
      </c>
      <c r="S353" s="16" t="s">
        <v>289</v>
      </c>
      <c r="T353" s="16" t="s">
        <v>289</v>
      </c>
      <c r="U353" s="16" t="s">
        <v>289</v>
      </c>
      <c r="V353" s="16" t="s">
        <v>289</v>
      </c>
      <c r="W353" s="16"/>
      <c r="X353" s="16"/>
      <c r="Y353" s="16"/>
      <c r="Z353" s="16"/>
      <c r="AA353" s="16"/>
      <c r="AB353" s="25"/>
      <c r="AC353" s="25"/>
      <c r="AD353" s="5"/>
      <c r="AE353" s="5"/>
      <c r="AF353" s="5"/>
      <c r="AG353" s="5"/>
      <c r="AY353" s="16"/>
      <c r="BD353" s="5"/>
      <c r="BE353" s="5"/>
      <c r="BF353" s="5"/>
      <c r="BG353" s="5"/>
      <c r="BH353" s="5"/>
      <c r="BI353" s="5"/>
      <c r="BJ353" s="24"/>
      <c r="BK353" s="22"/>
      <c r="BL353" s="23"/>
      <c r="BM353" s="22"/>
      <c r="BN353" s="22"/>
      <c r="BO353" s="22"/>
      <c r="BP353" s="22"/>
      <c r="BQ353" s="22"/>
      <c r="BR353" s="24"/>
      <c r="BS353" s="5"/>
    </row>
    <row r="354" spans="1:71" s="33" customFormat="1" hidden="1" outlineLevel="1">
      <c r="A354" s="5"/>
      <c r="B354" s="5" t="s">
        <v>218</v>
      </c>
      <c r="C354" s="38" t="s">
        <v>161</v>
      </c>
      <c r="D354" s="16">
        <v>28885</v>
      </c>
      <c r="E354" s="16">
        <v>30992</v>
      </c>
      <c r="F354" s="16">
        <v>30023</v>
      </c>
      <c r="G354" s="16">
        <v>28677</v>
      </c>
      <c r="H354" s="16">
        <v>36123</v>
      </c>
      <c r="I354" s="16">
        <v>40606</v>
      </c>
      <c r="J354" s="16">
        <v>39852</v>
      </c>
      <c r="K354" s="16">
        <v>49090</v>
      </c>
      <c r="L354" s="16">
        <v>54060</v>
      </c>
      <c r="M354" s="16">
        <v>59987</v>
      </c>
      <c r="N354" s="16">
        <v>65564</v>
      </c>
      <c r="O354" s="16">
        <v>72313</v>
      </c>
      <c r="P354" s="16">
        <v>88461</v>
      </c>
      <c r="Q354" s="16">
        <v>81844</v>
      </c>
      <c r="R354" s="16">
        <v>89757</v>
      </c>
      <c r="S354" s="16">
        <v>87912</v>
      </c>
      <c r="T354" s="16">
        <v>88648</v>
      </c>
      <c r="U354" s="16">
        <v>78584</v>
      </c>
      <c r="V354" s="16" t="s">
        <v>289</v>
      </c>
      <c r="W354" s="16"/>
      <c r="X354" s="16"/>
      <c r="Y354" s="16"/>
      <c r="Z354" s="16"/>
      <c r="AA354" s="16"/>
      <c r="AB354" s="25"/>
      <c r="AC354" s="25"/>
      <c r="AD354" s="24"/>
      <c r="AE354" s="5"/>
      <c r="AF354" s="5"/>
      <c r="AG354" s="5"/>
      <c r="AY354" s="16"/>
      <c r="BD354" s="5"/>
      <c r="BE354" s="5"/>
      <c r="BF354" s="5"/>
      <c r="BG354" s="5"/>
      <c r="BH354" s="5"/>
      <c r="BI354" s="5"/>
      <c r="BJ354" s="24"/>
      <c r="BK354" s="22"/>
      <c r="BL354" s="23"/>
      <c r="BM354" s="22"/>
      <c r="BN354" s="22"/>
      <c r="BO354" s="22"/>
      <c r="BP354" s="22"/>
      <c r="BQ354" s="22"/>
      <c r="BR354" s="24"/>
      <c r="BS354" s="5"/>
    </row>
    <row r="355" spans="1:71" s="33" customFormat="1" hidden="1" outlineLevel="1">
      <c r="A355" s="5"/>
      <c r="B355" s="5" t="s">
        <v>219</v>
      </c>
      <c r="C355" s="38" t="s">
        <v>163</v>
      </c>
      <c r="D355" s="16" t="s">
        <v>289</v>
      </c>
      <c r="E355" s="16" t="s">
        <v>289</v>
      </c>
      <c r="F355" s="16" t="s">
        <v>289</v>
      </c>
      <c r="G355" s="16" t="s">
        <v>289</v>
      </c>
      <c r="H355" s="16" t="s">
        <v>289</v>
      </c>
      <c r="I355" s="16">
        <v>40583</v>
      </c>
      <c r="J355" s="16">
        <v>39827</v>
      </c>
      <c r="K355" s="16">
        <v>49046</v>
      </c>
      <c r="L355" s="16">
        <v>54028</v>
      </c>
      <c r="M355" s="16">
        <v>59936</v>
      </c>
      <c r="N355" s="16">
        <v>65530</v>
      </c>
      <c r="O355" s="16">
        <v>72272</v>
      </c>
      <c r="P355" s="16">
        <v>88409</v>
      </c>
      <c r="Q355" s="16">
        <v>81793</v>
      </c>
      <c r="R355" s="16">
        <v>89707</v>
      </c>
      <c r="S355" s="16">
        <v>86910</v>
      </c>
      <c r="T355" s="16">
        <v>87644</v>
      </c>
      <c r="U355" s="16">
        <v>77476</v>
      </c>
      <c r="V355" s="16" t="s">
        <v>289</v>
      </c>
      <c r="W355" s="16"/>
      <c r="X355" s="16"/>
      <c r="Y355" s="16"/>
      <c r="Z355" s="16"/>
      <c r="AA355" s="16"/>
      <c r="AB355" s="25"/>
      <c r="AC355" s="25"/>
      <c r="AD355" s="24"/>
      <c r="AE355" s="5"/>
      <c r="AF355" s="5"/>
      <c r="AG355" s="5"/>
      <c r="AY355" s="16"/>
      <c r="BD355" s="5"/>
      <c r="BE355" s="5"/>
      <c r="BF355" s="5"/>
      <c r="BG355" s="5"/>
      <c r="BH355" s="5"/>
      <c r="BI355" s="5"/>
      <c r="BJ355" s="24"/>
      <c r="BK355" s="22"/>
      <c r="BL355" s="23"/>
      <c r="BM355" s="22"/>
      <c r="BN355" s="22"/>
      <c r="BO355" s="22"/>
      <c r="BP355" s="22"/>
      <c r="BQ355" s="22"/>
      <c r="BR355" s="24"/>
      <c r="BS355" s="5"/>
    </row>
    <row r="356" spans="1:71" s="33" customFormat="1" hidden="1" outlineLevel="1">
      <c r="A356" s="5"/>
      <c r="B356" s="5"/>
      <c r="C356" s="38" t="s">
        <v>127</v>
      </c>
      <c r="D356" s="25" t="s">
        <v>127</v>
      </c>
      <c r="E356" s="25" t="s">
        <v>127</v>
      </c>
      <c r="F356" s="25" t="s">
        <v>127</v>
      </c>
      <c r="G356" s="25" t="s">
        <v>127</v>
      </c>
      <c r="H356" s="25" t="s">
        <v>127</v>
      </c>
      <c r="I356" s="25" t="s">
        <v>127</v>
      </c>
      <c r="J356" s="25" t="s">
        <v>127</v>
      </c>
      <c r="K356" s="25" t="s">
        <v>127</v>
      </c>
      <c r="L356" s="25" t="s">
        <v>127</v>
      </c>
      <c r="M356" s="25" t="s">
        <v>127</v>
      </c>
      <c r="N356" s="25" t="s">
        <v>127</v>
      </c>
      <c r="O356" s="25" t="s">
        <v>127</v>
      </c>
      <c r="P356" s="25"/>
      <c r="Q356" s="25"/>
      <c r="R356" s="25"/>
      <c r="S356" s="25"/>
      <c r="T356" s="25"/>
      <c r="U356" s="25"/>
      <c r="V356" s="25"/>
      <c r="W356" s="25"/>
      <c r="X356" s="25"/>
      <c r="Y356" s="25"/>
      <c r="Z356" s="25"/>
      <c r="AA356" s="25"/>
      <c r="AB356" s="25"/>
      <c r="AC356" s="25"/>
      <c r="AD356" s="24"/>
      <c r="AE356" s="5"/>
      <c r="AF356" s="5"/>
      <c r="AG356" s="5"/>
      <c r="AY356" s="25"/>
      <c r="BD356" s="5"/>
      <c r="BE356" s="5"/>
      <c r="BF356" s="5"/>
      <c r="BG356" s="5"/>
      <c r="BH356" s="5"/>
      <c r="BI356" s="5"/>
      <c r="BJ356" s="24"/>
      <c r="BK356" s="22"/>
      <c r="BL356" s="23"/>
      <c r="BM356" s="22"/>
      <c r="BN356" s="22"/>
      <c r="BO356" s="22"/>
      <c r="BP356" s="22"/>
      <c r="BQ356" s="22"/>
      <c r="BR356" s="24"/>
      <c r="BS356" s="5"/>
    </row>
    <row r="357" spans="1:71" s="33" customFormat="1" ht="13.15" collapsed="1">
      <c r="A357" s="5"/>
      <c r="B357" s="5"/>
      <c r="C357" s="9" t="s">
        <v>205</v>
      </c>
      <c r="D357" s="14">
        <f>IFERROR(SUM(D348)-SUM(D351),"…")</f>
        <v>21872</v>
      </c>
      <c r="E357" s="14">
        <f t="shared" ref="E357:Q357" si="211">IFERROR(SUM(E348)-SUM(E351),"…")</f>
        <v>24574</v>
      </c>
      <c r="F357" s="14">
        <f t="shared" si="211"/>
        <v>26048</v>
      </c>
      <c r="G357" s="14">
        <f t="shared" si="211"/>
        <v>29666</v>
      </c>
      <c r="H357" s="14">
        <f t="shared" si="211"/>
        <v>28679</v>
      </c>
      <c r="I357" s="14">
        <f t="shared" si="211"/>
        <v>28928</v>
      </c>
      <c r="J357" s="14">
        <f t="shared" si="211"/>
        <v>37047</v>
      </c>
      <c r="K357" s="14">
        <f t="shared" si="211"/>
        <v>52146</v>
      </c>
      <c r="L357" s="14">
        <f t="shared" si="211"/>
        <v>51465</v>
      </c>
      <c r="M357" s="14">
        <f t="shared" si="211"/>
        <v>58639</v>
      </c>
      <c r="N357" s="14">
        <f t="shared" si="211"/>
        <v>65142</v>
      </c>
      <c r="O357" s="14">
        <f t="shared" si="211"/>
        <v>76177</v>
      </c>
      <c r="P357" s="14">
        <f t="shared" si="211"/>
        <v>89053</v>
      </c>
      <c r="Q357" s="14">
        <f t="shared" si="211"/>
        <v>78545</v>
      </c>
      <c r="R357" s="14">
        <f t="shared" ref="R357:Y357" si="212">IFERROR(SUM(R348)-SUM(R351),"…")</f>
        <v>78211</v>
      </c>
      <c r="S357" s="14">
        <f t="shared" si="212"/>
        <v>80012</v>
      </c>
      <c r="T357" s="14">
        <f t="shared" si="212"/>
        <v>76761</v>
      </c>
      <c r="U357" s="14">
        <f t="shared" si="212"/>
        <v>85809</v>
      </c>
      <c r="V357" s="14">
        <f t="shared" si="212"/>
        <v>0</v>
      </c>
      <c r="W357" s="14">
        <f t="shared" si="212"/>
        <v>0</v>
      </c>
      <c r="X357" s="14">
        <f t="shared" si="212"/>
        <v>0</v>
      </c>
      <c r="Y357" s="14">
        <f t="shared" si="212"/>
        <v>0</v>
      </c>
      <c r="Z357" s="14"/>
      <c r="AA357" s="14"/>
      <c r="AB357" s="14"/>
      <c r="AC357" s="14"/>
      <c r="AD357" s="24"/>
      <c r="AE357" s="5"/>
      <c r="AF357" s="5"/>
      <c r="AG357" s="5"/>
      <c r="AY357" s="14"/>
      <c r="BD357" s="5"/>
      <c r="BE357" s="5"/>
      <c r="BF357" s="5"/>
      <c r="BG357" s="5"/>
      <c r="BH357" s="5"/>
      <c r="BI357" s="5"/>
      <c r="BJ357" s="24"/>
      <c r="BK357" s="22"/>
      <c r="BL357" s="23"/>
      <c r="BM357" s="22"/>
      <c r="BN357" s="22"/>
      <c r="BO357" s="22"/>
      <c r="BP357" s="22"/>
      <c r="BQ357" s="22"/>
      <c r="BR357" s="24"/>
      <c r="BS357" s="5"/>
    </row>
    <row r="358" spans="1:71" s="33" customFormat="1" ht="13.15">
      <c r="A358" s="5"/>
      <c r="B358" s="5"/>
      <c r="C358" s="9" t="s">
        <v>220</v>
      </c>
      <c r="D358" s="14">
        <f t="shared" ref="D358:Y358" si="213">IF(ISNUMBER(D359),D359,IF(ISNUMBER(D360),D360,"…"))</f>
        <v>127603</v>
      </c>
      <c r="E358" s="14">
        <f t="shared" si="213"/>
        <v>133081</v>
      </c>
      <c r="F358" s="14">
        <f t="shared" si="213"/>
        <v>136603</v>
      </c>
      <c r="G358" s="14">
        <f t="shared" si="213"/>
        <v>145357</v>
      </c>
      <c r="H358" s="14">
        <f t="shared" si="213"/>
        <v>167919</v>
      </c>
      <c r="I358" s="14">
        <f t="shared" si="213"/>
        <v>177179</v>
      </c>
      <c r="J358" s="14">
        <f t="shared" si="213"/>
        <v>199393</v>
      </c>
      <c r="K358" s="14">
        <f t="shared" si="213"/>
        <v>253769</v>
      </c>
      <c r="L358" s="14">
        <f t="shared" si="213"/>
        <v>309518</v>
      </c>
      <c r="M358" s="14">
        <f t="shared" si="213"/>
        <v>324333</v>
      </c>
      <c r="N358" s="14">
        <f t="shared" si="213"/>
        <v>351209</v>
      </c>
      <c r="O358" s="14">
        <f t="shared" si="213"/>
        <v>381935</v>
      </c>
      <c r="P358" s="14">
        <f t="shared" si="213"/>
        <v>409732</v>
      </c>
      <c r="Q358" s="14">
        <f t="shared" si="213"/>
        <v>422193</v>
      </c>
      <c r="R358" s="14">
        <f t="shared" si="213"/>
        <v>458156</v>
      </c>
      <c r="S358" s="14">
        <f t="shared" si="213"/>
        <v>488071</v>
      </c>
      <c r="T358" s="14">
        <f t="shared" si="213"/>
        <v>497114</v>
      </c>
      <c r="U358" s="14">
        <f t="shared" si="213"/>
        <v>528609</v>
      </c>
      <c r="V358" s="14" t="str">
        <f t="shared" si="213"/>
        <v>…</v>
      </c>
      <c r="W358" s="14" t="str">
        <f t="shared" si="213"/>
        <v>…</v>
      </c>
      <c r="X358" s="14" t="str">
        <f t="shared" si="213"/>
        <v>…</v>
      </c>
      <c r="Y358" s="14" t="str">
        <f t="shared" si="213"/>
        <v>…</v>
      </c>
      <c r="Z358" s="14"/>
      <c r="AA358" s="14"/>
      <c r="AB358" s="14"/>
      <c r="AC358" s="14"/>
      <c r="AD358" s="5"/>
      <c r="AE358" s="5"/>
      <c r="AF358" s="5"/>
      <c r="AG358" s="5"/>
      <c r="AY358" s="14"/>
      <c r="BD358" s="5"/>
      <c r="BE358" s="5"/>
      <c r="BF358" s="5"/>
      <c r="BG358" s="5"/>
      <c r="BH358" s="5"/>
      <c r="BI358" s="5"/>
      <c r="BJ358" s="24"/>
      <c r="BK358" s="22"/>
      <c r="BL358" s="23"/>
      <c r="BM358" s="22"/>
      <c r="BN358" s="22"/>
      <c r="BO358" s="22"/>
      <c r="BP358" s="22"/>
      <c r="BQ358" s="22"/>
      <c r="BR358" s="24"/>
      <c r="BS358" s="5"/>
    </row>
    <row r="359" spans="1:71" s="33" customFormat="1" hidden="1" outlineLevel="1">
      <c r="A359" s="5"/>
      <c r="B359" s="5" t="s">
        <v>221</v>
      </c>
      <c r="C359" s="38" t="s">
        <v>154</v>
      </c>
      <c r="D359" s="16">
        <v>127603</v>
      </c>
      <c r="E359" s="16">
        <v>133081</v>
      </c>
      <c r="F359" s="16">
        <v>136603</v>
      </c>
      <c r="G359" s="16">
        <v>145357</v>
      </c>
      <c r="H359" s="16">
        <v>167919</v>
      </c>
      <c r="I359" s="16">
        <v>177179</v>
      </c>
      <c r="J359" s="16">
        <v>199393</v>
      </c>
      <c r="K359" s="16">
        <v>253769</v>
      </c>
      <c r="L359" s="16">
        <v>309518</v>
      </c>
      <c r="M359" s="16">
        <v>324333</v>
      </c>
      <c r="N359" s="16">
        <v>351209</v>
      </c>
      <c r="O359" s="16">
        <v>381935</v>
      </c>
      <c r="P359" s="16">
        <v>409732</v>
      </c>
      <c r="Q359" s="16">
        <v>422193</v>
      </c>
      <c r="R359" s="16">
        <v>458156</v>
      </c>
      <c r="S359" s="16">
        <v>488071</v>
      </c>
      <c r="T359" s="16">
        <v>497114</v>
      </c>
      <c r="U359" s="16">
        <v>528609</v>
      </c>
      <c r="V359" s="16" t="s">
        <v>289</v>
      </c>
      <c r="W359" s="16"/>
      <c r="X359" s="16"/>
      <c r="Y359" s="16"/>
      <c r="Z359" s="16"/>
      <c r="AA359" s="16"/>
      <c r="AB359" s="25"/>
      <c r="AC359" s="25"/>
      <c r="AD359" s="5"/>
      <c r="AE359" s="5"/>
      <c r="AF359" s="5"/>
      <c r="AG359" s="5"/>
      <c r="AY359" s="16"/>
      <c r="BD359" s="5"/>
      <c r="BE359" s="5"/>
      <c r="BF359" s="5"/>
      <c r="BG359" s="5"/>
      <c r="BH359" s="5"/>
      <c r="BI359" s="5"/>
      <c r="BJ359" s="24"/>
      <c r="BK359" s="22"/>
      <c r="BL359" s="23"/>
      <c r="BM359" s="22"/>
      <c r="BN359" s="22"/>
      <c r="BO359" s="22"/>
      <c r="BP359" s="22"/>
      <c r="BQ359" s="22"/>
      <c r="BR359" s="24"/>
      <c r="BS359" s="5"/>
    </row>
    <row r="360" spans="1:71" s="33" customFormat="1" hidden="1" outlineLevel="1">
      <c r="A360" s="5"/>
      <c r="B360" s="5" t="s">
        <v>222</v>
      </c>
      <c r="C360" s="38" t="s">
        <v>161</v>
      </c>
      <c r="D360" s="16">
        <v>127603</v>
      </c>
      <c r="E360" s="16">
        <v>133081</v>
      </c>
      <c r="F360" s="16">
        <v>136603</v>
      </c>
      <c r="G360" s="16">
        <v>145357</v>
      </c>
      <c r="H360" s="16">
        <v>167919</v>
      </c>
      <c r="I360" s="16">
        <v>177179</v>
      </c>
      <c r="J360" s="16">
        <v>199393</v>
      </c>
      <c r="K360" s="16">
        <v>253769</v>
      </c>
      <c r="L360" s="16">
        <v>309518</v>
      </c>
      <c r="M360" s="16">
        <v>324333</v>
      </c>
      <c r="N360" s="16">
        <v>351209</v>
      </c>
      <c r="O360" s="16">
        <v>381935</v>
      </c>
      <c r="P360" s="16">
        <v>409732</v>
      </c>
      <c r="Q360" s="16">
        <v>422193</v>
      </c>
      <c r="R360" s="16">
        <v>458156</v>
      </c>
      <c r="S360" s="16">
        <v>488071</v>
      </c>
      <c r="T360" s="16">
        <v>497114</v>
      </c>
      <c r="U360" s="16">
        <v>528609</v>
      </c>
      <c r="V360" s="16" t="s">
        <v>289</v>
      </c>
      <c r="W360" s="16"/>
      <c r="X360" s="16"/>
      <c r="Y360" s="16"/>
      <c r="Z360" s="16"/>
      <c r="AA360" s="16"/>
      <c r="AB360" s="25"/>
      <c r="AC360" s="25"/>
      <c r="AD360" s="5"/>
      <c r="AE360" s="5"/>
      <c r="AF360" s="5"/>
      <c r="AG360" s="5"/>
      <c r="AY360" s="16"/>
      <c r="BD360" s="5"/>
      <c r="BE360" s="5"/>
      <c r="BF360" s="5"/>
      <c r="BG360" s="5"/>
      <c r="BH360" s="5"/>
      <c r="BI360" s="5"/>
      <c r="BJ360" s="24"/>
      <c r="BK360" s="22"/>
      <c r="BL360" s="23"/>
      <c r="BM360" s="22"/>
      <c r="BN360" s="22"/>
      <c r="BO360" s="22"/>
      <c r="BP360" s="22"/>
      <c r="BQ360" s="22"/>
      <c r="BR360" s="24"/>
      <c r="BS360" s="5"/>
    </row>
    <row r="361" spans="1:71" s="33" customFormat="1" hidden="1" outlineLevel="1">
      <c r="A361" s="5"/>
      <c r="B361" s="5"/>
      <c r="C361" s="38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5"/>
      <c r="AE361" s="5"/>
      <c r="AF361" s="5"/>
      <c r="AG361" s="5"/>
      <c r="AY361" s="25"/>
      <c r="BD361" s="5"/>
      <c r="BE361" s="5"/>
      <c r="BF361" s="5"/>
      <c r="BG361" s="5"/>
      <c r="BH361" s="5"/>
      <c r="BI361" s="5"/>
      <c r="BJ361" s="24"/>
      <c r="BK361" s="22"/>
      <c r="BL361" s="23"/>
      <c r="BM361" s="22"/>
      <c r="BN361" s="22"/>
      <c r="BO361" s="22"/>
      <c r="BP361" s="22"/>
      <c r="BQ361" s="22"/>
      <c r="BR361" s="24"/>
      <c r="BS361" s="5"/>
    </row>
    <row r="362" spans="1:71" s="33" customFormat="1" ht="13.15" collapsed="1">
      <c r="A362" s="5"/>
      <c r="B362" s="5"/>
      <c r="C362" s="9" t="s">
        <v>223</v>
      </c>
      <c r="D362" s="14">
        <f t="shared" ref="D362:Y362" si="214">IF(D11="no","…",SUM(D363)-SUM(D394)-SUM(D428))</f>
        <v>42237</v>
      </c>
      <c r="E362" s="14">
        <f t="shared" si="214"/>
        <v>45866</v>
      </c>
      <c r="F362" s="14">
        <f t="shared" si="214"/>
        <v>46771</v>
      </c>
      <c r="G362" s="14">
        <f t="shared" si="214"/>
        <v>51789</v>
      </c>
      <c r="H362" s="14">
        <f t="shared" si="214"/>
        <v>62919</v>
      </c>
      <c r="I362" s="14">
        <f t="shared" si="214"/>
        <v>53908</v>
      </c>
      <c r="J362" s="14">
        <f t="shared" si="214"/>
        <v>61765</v>
      </c>
      <c r="K362" s="14">
        <f t="shared" si="214"/>
        <v>81203</v>
      </c>
      <c r="L362" s="14">
        <f t="shared" si="214"/>
        <v>87140</v>
      </c>
      <c r="M362" s="14">
        <f t="shared" si="214"/>
        <v>90522</v>
      </c>
      <c r="N362" s="14">
        <f t="shared" si="214"/>
        <v>101119</v>
      </c>
      <c r="O362" s="14">
        <f t="shared" si="214"/>
        <v>109508</v>
      </c>
      <c r="P362" s="14">
        <f t="shared" si="214"/>
        <v>118937</v>
      </c>
      <c r="Q362" s="14">
        <f t="shared" si="214"/>
        <v>125716</v>
      </c>
      <c r="R362" s="14">
        <f t="shared" si="214"/>
        <v>137518</v>
      </c>
      <c r="S362" s="14">
        <f t="shared" si="214"/>
        <v>144771</v>
      </c>
      <c r="T362" s="14">
        <f t="shared" si="214"/>
        <v>139873</v>
      </c>
      <c r="U362" s="14">
        <f t="shared" si="214"/>
        <v>138092</v>
      </c>
      <c r="V362" s="14" t="str">
        <f t="shared" si="214"/>
        <v>…</v>
      </c>
      <c r="W362" s="14" t="str">
        <f t="shared" si="214"/>
        <v>…</v>
      </c>
      <c r="X362" s="14" t="str">
        <f t="shared" si="214"/>
        <v>…</v>
      </c>
      <c r="Y362" s="14" t="str">
        <f t="shared" si="214"/>
        <v>…</v>
      </c>
      <c r="Z362" s="14"/>
      <c r="AA362" s="14"/>
      <c r="AB362" s="14"/>
      <c r="AC362" s="14"/>
      <c r="AD362" s="5"/>
      <c r="AE362" s="5"/>
      <c r="AF362" s="5"/>
      <c r="AG362" s="5"/>
      <c r="AY362" s="14"/>
      <c r="BD362" s="5"/>
      <c r="BE362" s="5"/>
      <c r="BF362" s="5"/>
      <c r="BG362" s="5"/>
      <c r="BH362" s="5"/>
      <c r="BI362" s="5"/>
      <c r="BJ362" s="24"/>
      <c r="BK362" s="22"/>
      <c r="BL362" s="23"/>
      <c r="BM362" s="22"/>
      <c r="BN362" s="22"/>
      <c r="BO362" s="22"/>
      <c r="BP362" s="22"/>
      <c r="BQ362" s="22"/>
      <c r="BR362" s="24"/>
      <c r="BS362" s="5"/>
    </row>
    <row r="363" spans="1:71" s="33" customFormat="1" ht="13.15">
      <c r="A363" s="5"/>
      <c r="B363" s="5"/>
      <c r="C363" s="9" t="s">
        <v>318</v>
      </c>
      <c r="D363" s="14">
        <f t="shared" ref="D363:T363" si="215">IF(ISNUMBER(D364),D364,IF(ISNUMBER(D365),D365,"…"))</f>
        <v>55391</v>
      </c>
      <c r="E363" s="14">
        <f t="shared" si="215"/>
        <v>57846</v>
      </c>
      <c r="F363" s="14">
        <f t="shared" si="215"/>
        <v>61229</v>
      </c>
      <c r="G363" s="14">
        <f t="shared" si="215"/>
        <v>68516</v>
      </c>
      <c r="H363" s="14">
        <f t="shared" si="215"/>
        <v>76163</v>
      </c>
      <c r="I363" s="14">
        <f t="shared" si="215"/>
        <v>77777</v>
      </c>
      <c r="J363" s="14">
        <f t="shared" si="215"/>
        <v>85936</v>
      </c>
      <c r="K363" s="14">
        <f t="shared" si="215"/>
        <v>105640</v>
      </c>
      <c r="L363" s="14">
        <f t="shared" si="215"/>
        <v>113061</v>
      </c>
      <c r="M363" s="14">
        <f t="shared" si="215"/>
        <v>122192</v>
      </c>
      <c r="N363" s="14">
        <f t="shared" si="215"/>
        <v>131103</v>
      </c>
      <c r="O363" s="14">
        <f t="shared" si="215"/>
        <v>145387</v>
      </c>
      <c r="P363" s="14">
        <f t="shared" si="215"/>
        <v>155722</v>
      </c>
      <c r="Q363" s="14">
        <f t="shared" si="215"/>
        <v>160112</v>
      </c>
      <c r="R363" s="14">
        <f t="shared" si="215"/>
        <v>183536</v>
      </c>
      <c r="S363" s="14">
        <f t="shared" si="215"/>
        <v>187463</v>
      </c>
      <c r="T363" s="14">
        <f t="shared" si="215"/>
        <v>194944</v>
      </c>
      <c r="U363" s="14">
        <f>IF(ISNUMBER(U364),U364,IF(ISNUMBER(U365),U365,"…"))</f>
        <v>200347</v>
      </c>
      <c r="V363" s="14" t="str">
        <f>IF(ISNUMBER(V364),V364,IF(ISNUMBER(V365),V365,"…"))</f>
        <v>…</v>
      </c>
      <c r="W363" s="14" t="str">
        <f>IF(ISNUMBER(W364),W364,IF(ISNUMBER(W365),W365,"…"))</f>
        <v>…</v>
      </c>
      <c r="X363" s="14" t="str">
        <f>IF(ISNUMBER(X364),X364,IF(ISNUMBER(X365),X365,"…"))</f>
        <v>…</v>
      </c>
      <c r="Y363" s="14" t="str">
        <f>IF(ISNUMBER(Y364),Y364,IF(ISNUMBER(Y365),Y365,"…"))</f>
        <v>…</v>
      </c>
      <c r="Z363" s="14"/>
      <c r="AA363" s="14"/>
      <c r="AB363" s="14"/>
      <c r="AC363" s="14"/>
      <c r="AD363" s="5"/>
      <c r="AE363" s="5"/>
      <c r="AF363" s="5"/>
      <c r="AG363" s="5"/>
      <c r="AY363" s="14"/>
      <c r="BD363" s="5"/>
      <c r="BE363" s="5"/>
      <c r="BF363" s="5"/>
      <c r="BG363" s="5"/>
      <c r="BH363" s="5"/>
      <c r="BI363" s="5"/>
      <c r="BJ363" s="24"/>
      <c r="BK363" s="22"/>
      <c r="BL363" s="23"/>
      <c r="BM363" s="22"/>
      <c r="BN363" s="22"/>
      <c r="BO363" s="22"/>
      <c r="BP363" s="22"/>
      <c r="BQ363" s="22"/>
      <c r="BR363" s="24"/>
      <c r="BS363" s="5"/>
    </row>
    <row r="364" spans="1:71" s="33" customFormat="1" hidden="1" outlineLevel="1">
      <c r="A364" s="5"/>
      <c r="B364" s="5" t="s">
        <v>224</v>
      </c>
      <c r="C364" s="38" t="s">
        <v>154</v>
      </c>
      <c r="D364" s="16">
        <v>55391</v>
      </c>
      <c r="E364" s="16">
        <v>57846</v>
      </c>
      <c r="F364" s="16">
        <v>61229</v>
      </c>
      <c r="G364" s="16">
        <v>68516</v>
      </c>
      <c r="H364" s="16">
        <v>76163</v>
      </c>
      <c r="I364" s="16">
        <v>77777</v>
      </c>
      <c r="J364" s="16">
        <v>85936</v>
      </c>
      <c r="K364" s="16">
        <v>105640</v>
      </c>
      <c r="L364" s="16">
        <v>113061</v>
      </c>
      <c r="M364" s="16">
        <v>122192</v>
      </c>
      <c r="N364" s="16">
        <v>131103</v>
      </c>
      <c r="O364" s="16">
        <v>145387</v>
      </c>
      <c r="P364" s="16">
        <v>155722</v>
      </c>
      <c r="Q364" s="16">
        <v>160112</v>
      </c>
      <c r="R364" s="16">
        <v>183536</v>
      </c>
      <c r="S364" s="16">
        <v>187463</v>
      </c>
      <c r="T364" s="16">
        <v>194944</v>
      </c>
      <c r="U364" s="16">
        <v>200347</v>
      </c>
      <c r="V364" s="16" t="s">
        <v>289</v>
      </c>
      <c r="W364" s="16"/>
      <c r="X364" s="16"/>
      <c r="Y364" s="16"/>
      <c r="Z364" s="16"/>
      <c r="AA364" s="16"/>
      <c r="AB364" s="25"/>
      <c r="AC364" s="25"/>
      <c r="AD364" s="5"/>
      <c r="AE364" s="5"/>
      <c r="AF364" s="5"/>
      <c r="AG364" s="5"/>
      <c r="AY364" s="16"/>
      <c r="BD364" s="5"/>
      <c r="BE364" s="5"/>
      <c r="BF364" s="5"/>
      <c r="BG364" s="5"/>
      <c r="BH364" s="5"/>
      <c r="BI364" s="5"/>
      <c r="BJ364" s="24"/>
      <c r="BK364" s="22"/>
      <c r="BL364" s="23"/>
      <c r="BM364" s="22"/>
      <c r="BN364" s="22"/>
      <c r="BO364" s="22"/>
      <c r="BP364" s="22"/>
      <c r="BQ364" s="22"/>
      <c r="BR364" s="24"/>
      <c r="BS364" s="5"/>
    </row>
    <row r="365" spans="1:71" s="33" customFormat="1" hidden="1" outlineLevel="1">
      <c r="A365" s="5"/>
      <c r="B365" s="5" t="s">
        <v>225</v>
      </c>
      <c r="C365" s="38" t="s">
        <v>161</v>
      </c>
      <c r="D365" s="16">
        <v>55391</v>
      </c>
      <c r="E365" s="16">
        <v>57846</v>
      </c>
      <c r="F365" s="16">
        <v>61229</v>
      </c>
      <c r="G365" s="16">
        <v>68516</v>
      </c>
      <c r="H365" s="16">
        <v>76163</v>
      </c>
      <c r="I365" s="16">
        <v>77777</v>
      </c>
      <c r="J365" s="16">
        <v>85936</v>
      </c>
      <c r="K365" s="16">
        <v>105640</v>
      </c>
      <c r="L365" s="16">
        <v>113061</v>
      </c>
      <c r="M365" s="16">
        <v>122192</v>
      </c>
      <c r="N365" s="16">
        <v>131103</v>
      </c>
      <c r="O365" s="16">
        <v>145387</v>
      </c>
      <c r="P365" s="16">
        <v>155722</v>
      </c>
      <c r="Q365" s="16">
        <v>160112</v>
      </c>
      <c r="R365" s="16">
        <v>183536</v>
      </c>
      <c r="S365" s="16">
        <v>187463</v>
      </c>
      <c r="T365" s="16">
        <v>194944</v>
      </c>
      <c r="U365" s="16">
        <v>200347</v>
      </c>
      <c r="V365" s="16" t="s">
        <v>289</v>
      </c>
      <c r="W365" s="16"/>
      <c r="X365" s="16"/>
      <c r="Y365" s="16"/>
      <c r="Z365" s="16"/>
      <c r="AA365" s="16"/>
      <c r="AB365" s="25"/>
      <c r="AC365" s="25"/>
      <c r="AD365" s="5"/>
      <c r="AE365" s="5"/>
      <c r="AF365" s="5"/>
      <c r="AG365" s="5"/>
      <c r="AY365" s="16"/>
      <c r="BD365" s="5"/>
      <c r="BE365" s="5"/>
      <c r="BF365" s="5"/>
      <c r="BG365" s="5"/>
      <c r="BH365" s="5"/>
      <c r="BI365" s="5"/>
      <c r="BJ365" s="24"/>
      <c r="BK365" s="22"/>
      <c r="BL365" s="23"/>
      <c r="BM365" s="22"/>
      <c r="BN365" s="22"/>
      <c r="BO365" s="22"/>
      <c r="BP365" s="22"/>
      <c r="BQ365" s="22"/>
      <c r="BR365" s="24"/>
      <c r="BS365" s="5"/>
    </row>
    <row r="366" spans="1:71" s="33" customFormat="1" hidden="1" outlineLevel="1">
      <c r="A366" s="5"/>
      <c r="B366" s="5"/>
      <c r="C366" s="5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  <c r="AA366" s="20"/>
      <c r="AB366" s="20"/>
      <c r="AC366" s="20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20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24"/>
      <c r="BK366" s="22"/>
      <c r="BL366" s="23"/>
      <c r="BM366" s="22"/>
      <c r="BN366" s="22"/>
      <c r="BO366" s="22"/>
      <c r="BP366" s="22"/>
      <c r="BQ366" s="22"/>
      <c r="BR366" s="24"/>
      <c r="BS366" s="5"/>
    </row>
    <row r="367" spans="1:71" s="33" customFormat="1" ht="13.15" collapsed="1">
      <c r="A367" s="5"/>
      <c r="B367" s="5"/>
      <c r="C367" s="9" t="s">
        <v>226</v>
      </c>
      <c r="D367" s="14">
        <f t="shared" ref="D367:Y367" si="216">IF(D11="no","…",IF(ISNUMBER(D368),D368,IF(ISNUMBER(D371),D371,"…")))</f>
        <v>32461</v>
      </c>
      <c r="E367" s="14">
        <f t="shared" si="216"/>
        <v>32933</v>
      </c>
      <c r="F367" s="14">
        <f t="shared" si="216"/>
        <v>28379</v>
      </c>
      <c r="G367" s="14">
        <f t="shared" si="216"/>
        <v>27669</v>
      </c>
      <c r="H367" s="14">
        <f t="shared" si="216"/>
        <v>33160</v>
      </c>
      <c r="I367" s="14">
        <f t="shared" si="216"/>
        <v>24444</v>
      </c>
      <c r="J367" s="14">
        <f t="shared" si="216"/>
        <v>25847</v>
      </c>
      <c r="K367" s="14">
        <f t="shared" si="216"/>
        <v>31876</v>
      </c>
      <c r="L367" s="14">
        <f t="shared" si="216"/>
        <v>39424</v>
      </c>
      <c r="M367" s="14">
        <f t="shared" si="216"/>
        <v>42388</v>
      </c>
      <c r="N367" s="14">
        <f t="shared" si="216"/>
        <v>46169</v>
      </c>
      <c r="O367" s="14">
        <f t="shared" si="216"/>
        <v>83344</v>
      </c>
      <c r="P367" s="14">
        <f t="shared" si="216"/>
        <v>92472</v>
      </c>
      <c r="Q367" s="14">
        <f t="shared" si="216"/>
        <v>94965</v>
      </c>
      <c r="R367" s="14">
        <f t="shared" si="216"/>
        <v>101672</v>
      </c>
      <c r="S367" s="14">
        <f t="shared" si="216"/>
        <v>115090</v>
      </c>
      <c r="T367" s="14">
        <f t="shared" si="216"/>
        <v>114571</v>
      </c>
      <c r="U367" s="14">
        <f t="shared" si="216"/>
        <v>123393</v>
      </c>
      <c r="V367" s="14" t="str">
        <f t="shared" si="216"/>
        <v>…</v>
      </c>
      <c r="W367" s="14" t="str">
        <f t="shared" si="216"/>
        <v>…</v>
      </c>
      <c r="X367" s="14" t="str">
        <f t="shared" si="216"/>
        <v>…</v>
      </c>
      <c r="Y367" s="14" t="str">
        <f t="shared" si="216"/>
        <v>…</v>
      </c>
      <c r="Z367" s="14"/>
      <c r="AA367" s="14"/>
      <c r="AB367" s="14"/>
      <c r="AC367" s="14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14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24"/>
      <c r="BK367" s="22"/>
      <c r="BL367" s="23"/>
      <c r="BM367" s="22"/>
      <c r="BN367" s="22"/>
      <c r="BO367" s="22"/>
      <c r="BP367" s="22"/>
      <c r="BQ367" s="22"/>
      <c r="BR367" s="24"/>
      <c r="BS367" s="5"/>
    </row>
    <row r="368" spans="1:71" s="33" customFormat="1" ht="13.15" hidden="1" outlineLevel="1">
      <c r="A368" s="5"/>
      <c r="B368" s="5"/>
      <c r="C368" s="5" t="s">
        <v>227</v>
      </c>
      <c r="D368" s="25">
        <f t="shared" ref="D368:T368" si="217">IF(ISNUMBER(D369),D369,IF(ISNUMBER(D370),D370,"…"))</f>
        <v>32461</v>
      </c>
      <c r="E368" s="25">
        <f t="shared" si="217"/>
        <v>32933</v>
      </c>
      <c r="F368" s="25">
        <f t="shared" si="217"/>
        <v>28379</v>
      </c>
      <c r="G368" s="25">
        <f t="shared" si="217"/>
        <v>27669</v>
      </c>
      <c r="H368" s="25">
        <f t="shared" si="217"/>
        <v>33160</v>
      </c>
      <c r="I368" s="25">
        <f t="shared" si="217"/>
        <v>24444</v>
      </c>
      <c r="J368" s="25">
        <f t="shared" si="217"/>
        <v>25847</v>
      </c>
      <c r="K368" s="25">
        <f t="shared" si="217"/>
        <v>31876</v>
      </c>
      <c r="L368" s="25">
        <f>IF(ISNUMBER(L369),L369,IF(ISNUMBER(L370),L370,"…"))</f>
        <v>39424</v>
      </c>
      <c r="M368" s="25">
        <f t="shared" si="217"/>
        <v>42388</v>
      </c>
      <c r="N368" s="25">
        <f t="shared" si="217"/>
        <v>46169</v>
      </c>
      <c r="O368" s="25">
        <f t="shared" si="217"/>
        <v>83344</v>
      </c>
      <c r="P368" s="25">
        <f t="shared" si="217"/>
        <v>92472</v>
      </c>
      <c r="Q368" s="25">
        <f t="shared" si="217"/>
        <v>94965</v>
      </c>
      <c r="R368" s="25">
        <f t="shared" si="217"/>
        <v>101672</v>
      </c>
      <c r="S368" s="25">
        <f t="shared" si="217"/>
        <v>115090</v>
      </c>
      <c r="T368" s="25">
        <f t="shared" si="217"/>
        <v>114571</v>
      </c>
      <c r="U368" s="25">
        <f>IF(ISNUMBER(U369),U369,IF(ISNUMBER(U370),U370,"…"))</f>
        <v>123393</v>
      </c>
      <c r="V368" s="25" t="str">
        <f>IF(ISNUMBER(V369),V369,IF(ISNUMBER(V370),V370,"…"))</f>
        <v>…</v>
      </c>
      <c r="W368" s="25" t="str">
        <f>IF(ISNUMBER(W369),W369,IF(ISNUMBER(W370),W370,"…"))</f>
        <v>…</v>
      </c>
      <c r="X368" s="25" t="str">
        <f>IF(ISNUMBER(X369),X369,IF(ISNUMBER(X370),X370,"…"))</f>
        <v>…</v>
      </c>
      <c r="Y368" s="25" t="str">
        <f>IF(ISNUMBER(Y369),Y369,IF(ISNUMBER(Y370),Y370,"…"))</f>
        <v>…</v>
      </c>
      <c r="Z368" s="25"/>
      <c r="AA368" s="25"/>
      <c r="AB368" s="14"/>
      <c r="AC368" s="14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2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24"/>
      <c r="BK368" s="22"/>
      <c r="BL368" s="23"/>
      <c r="BM368" s="22"/>
      <c r="BN368" s="22"/>
      <c r="BO368" s="22"/>
      <c r="BP368" s="22"/>
      <c r="BQ368" s="22"/>
      <c r="BR368" s="24"/>
      <c r="BS368" s="5"/>
    </row>
    <row r="369" spans="1:71" s="33" customFormat="1" hidden="1" outlineLevel="1">
      <c r="A369" s="5"/>
      <c r="B369" s="5" t="s">
        <v>228</v>
      </c>
      <c r="C369" s="38" t="s">
        <v>154</v>
      </c>
      <c r="D369" s="16">
        <v>32461</v>
      </c>
      <c r="E369" s="16">
        <v>32933</v>
      </c>
      <c r="F369" s="16">
        <v>28379</v>
      </c>
      <c r="G369" s="16">
        <v>27669</v>
      </c>
      <c r="H369" s="16">
        <v>33160</v>
      </c>
      <c r="I369" s="16">
        <v>24444</v>
      </c>
      <c r="J369" s="16">
        <v>25847</v>
      </c>
      <c r="K369" s="16">
        <v>31876</v>
      </c>
      <c r="L369" s="16">
        <v>39424</v>
      </c>
      <c r="M369" s="16">
        <v>42388</v>
      </c>
      <c r="N369" s="16">
        <v>46169</v>
      </c>
      <c r="O369" s="16">
        <v>83344</v>
      </c>
      <c r="P369" s="16">
        <v>92472</v>
      </c>
      <c r="Q369" s="16">
        <v>94965</v>
      </c>
      <c r="R369" s="16">
        <v>101672</v>
      </c>
      <c r="S369" s="16">
        <v>115090</v>
      </c>
      <c r="T369" s="16">
        <v>114571</v>
      </c>
      <c r="U369" s="16">
        <v>123393</v>
      </c>
      <c r="V369" s="16" t="s">
        <v>289</v>
      </c>
      <c r="W369" s="16"/>
      <c r="X369" s="16"/>
      <c r="Y369" s="16"/>
      <c r="Z369" s="16"/>
      <c r="AA369" s="16"/>
      <c r="AB369" s="25"/>
      <c r="AC369" s="2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16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24"/>
      <c r="BK369" s="22"/>
      <c r="BL369" s="23"/>
      <c r="BM369" s="22"/>
      <c r="BN369" s="22"/>
      <c r="BO369" s="22"/>
      <c r="BP369" s="22"/>
      <c r="BQ369" s="22"/>
      <c r="BR369" s="24"/>
      <c r="BS369" s="5"/>
    </row>
    <row r="370" spans="1:71" s="33" customFormat="1" hidden="1" outlineLevel="1">
      <c r="A370" s="5"/>
      <c r="B370" s="5" t="s">
        <v>229</v>
      </c>
      <c r="C370" s="38" t="s">
        <v>161</v>
      </c>
      <c r="D370" s="16" t="s">
        <v>289</v>
      </c>
      <c r="E370" s="16" t="s">
        <v>289</v>
      </c>
      <c r="F370" s="16" t="s">
        <v>289</v>
      </c>
      <c r="G370" s="16" t="s">
        <v>289</v>
      </c>
      <c r="H370" s="16" t="s">
        <v>289</v>
      </c>
      <c r="I370" s="16" t="s">
        <v>289</v>
      </c>
      <c r="J370" s="16" t="s">
        <v>289</v>
      </c>
      <c r="K370" s="16" t="s">
        <v>289</v>
      </c>
      <c r="L370" s="16" t="s">
        <v>289</v>
      </c>
      <c r="M370" s="16" t="s">
        <v>289</v>
      </c>
      <c r="N370" s="16" t="s">
        <v>289</v>
      </c>
      <c r="O370" s="16" t="s">
        <v>289</v>
      </c>
      <c r="P370" s="16" t="s">
        <v>289</v>
      </c>
      <c r="Q370" s="16" t="s">
        <v>289</v>
      </c>
      <c r="R370" s="16" t="s">
        <v>289</v>
      </c>
      <c r="S370" s="16" t="s">
        <v>289</v>
      </c>
      <c r="T370" s="16" t="s">
        <v>289</v>
      </c>
      <c r="U370" s="16" t="s">
        <v>289</v>
      </c>
      <c r="V370" s="16" t="s">
        <v>289</v>
      </c>
      <c r="W370" s="16"/>
      <c r="X370" s="16"/>
      <c r="Y370" s="16"/>
      <c r="Z370" s="16"/>
      <c r="AA370" s="16"/>
      <c r="AB370" s="25"/>
      <c r="AC370" s="2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16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24"/>
      <c r="BK370" s="22"/>
      <c r="BL370" s="23"/>
      <c r="BM370" s="22"/>
      <c r="BN370" s="22"/>
      <c r="BO370" s="22"/>
      <c r="BP370" s="22"/>
      <c r="BQ370" s="22"/>
      <c r="BR370" s="24"/>
      <c r="BS370" s="5"/>
    </row>
    <row r="371" spans="1:71" s="33" customFormat="1" ht="13.15" hidden="1" outlineLevel="1">
      <c r="A371" s="5"/>
      <c r="B371" s="5"/>
      <c r="C371" s="5" t="s">
        <v>230</v>
      </c>
      <c r="D371" s="25">
        <f t="shared" ref="D371:Y371" si="218">IF(ISNUMBER(D372),D372,IF(ISNUMBER(D373),D373,"…"))</f>
        <v>23977</v>
      </c>
      <c r="E371" s="25">
        <f t="shared" si="218"/>
        <v>23051</v>
      </c>
      <c r="F371" s="25">
        <f t="shared" si="218"/>
        <v>20493</v>
      </c>
      <c r="G371" s="25">
        <f t="shared" si="218"/>
        <v>19490</v>
      </c>
      <c r="H371" s="25">
        <f t="shared" si="218"/>
        <v>23121</v>
      </c>
      <c r="I371" s="25">
        <f t="shared" si="218"/>
        <v>24444</v>
      </c>
      <c r="J371" s="25">
        <f t="shared" si="218"/>
        <v>25847</v>
      </c>
      <c r="K371" s="25">
        <f t="shared" si="218"/>
        <v>31876</v>
      </c>
      <c r="L371" s="25">
        <f t="shared" si="218"/>
        <v>39424</v>
      </c>
      <c r="M371" s="25">
        <f t="shared" si="218"/>
        <v>42389</v>
      </c>
      <c r="N371" s="25">
        <f t="shared" si="218"/>
        <v>46169</v>
      </c>
      <c r="O371" s="25">
        <f t="shared" si="218"/>
        <v>83344</v>
      </c>
      <c r="P371" s="25">
        <f t="shared" si="218"/>
        <v>92472</v>
      </c>
      <c r="Q371" s="25">
        <f t="shared" si="218"/>
        <v>94497</v>
      </c>
      <c r="R371" s="25">
        <f t="shared" si="218"/>
        <v>101175</v>
      </c>
      <c r="S371" s="25">
        <f t="shared" si="218"/>
        <v>115090</v>
      </c>
      <c r="T371" s="25">
        <f t="shared" si="218"/>
        <v>114570</v>
      </c>
      <c r="U371" s="25">
        <f t="shared" si="218"/>
        <v>123394</v>
      </c>
      <c r="V371" s="25" t="str">
        <f t="shared" si="218"/>
        <v>…</v>
      </c>
      <c r="W371" s="25" t="str">
        <f t="shared" si="218"/>
        <v>…</v>
      </c>
      <c r="X371" s="25" t="str">
        <f t="shared" si="218"/>
        <v>…</v>
      </c>
      <c r="Y371" s="25" t="str">
        <f t="shared" si="218"/>
        <v>…</v>
      </c>
      <c r="Z371" s="25"/>
      <c r="AA371" s="25"/>
      <c r="AB371" s="14"/>
      <c r="AC371" s="14"/>
      <c r="AD371" s="24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2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24"/>
      <c r="BK371" s="22"/>
      <c r="BL371" s="23"/>
      <c r="BM371" s="22"/>
      <c r="BN371" s="22"/>
      <c r="BO371" s="22"/>
      <c r="BP371" s="22"/>
      <c r="BQ371" s="22"/>
      <c r="BR371" s="24"/>
      <c r="BS371" s="5"/>
    </row>
    <row r="372" spans="1:71" s="33" customFormat="1" hidden="1" outlineLevel="1" collapsed="1">
      <c r="A372" s="5"/>
      <c r="B372" s="5" t="s">
        <v>231</v>
      </c>
      <c r="C372" s="38" t="s">
        <v>154</v>
      </c>
      <c r="D372" s="16">
        <v>23977</v>
      </c>
      <c r="E372" s="16">
        <v>23051</v>
      </c>
      <c r="F372" s="16">
        <v>20493</v>
      </c>
      <c r="G372" s="16">
        <v>19490</v>
      </c>
      <c r="H372" s="16">
        <v>23121</v>
      </c>
      <c r="I372" s="16">
        <v>24444</v>
      </c>
      <c r="J372" s="16">
        <v>25847</v>
      </c>
      <c r="K372" s="16">
        <v>31876</v>
      </c>
      <c r="L372" s="16">
        <v>39424</v>
      </c>
      <c r="M372" s="16">
        <v>42389</v>
      </c>
      <c r="N372" s="16">
        <v>46169</v>
      </c>
      <c r="O372" s="16">
        <v>83344</v>
      </c>
      <c r="P372" s="16">
        <v>92472</v>
      </c>
      <c r="Q372" s="16">
        <v>94497</v>
      </c>
      <c r="R372" s="16">
        <v>101175</v>
      </c>
      <c r="S372" s="16">
        <v>115090</v>
      </c>
      <c r="T372" s="16">
        <v>114570</v>
      </c>
      <c r="U372" s="16">
        <v>123394</v>
      </c>
      <c r="V372" s="16" t="s">
        <v>289</v>
      </c>
      <c r="W372" s="16"/>
      <c r="X372" s="16"/>
      <c r="Y372" s="16"/>
      <c r="Z372" s="16"/>
      <c r="AA372" s="16"/>
      <c r="AB372" s="25"/>
      <c r="AC372" s="25"/>
      <c r="AD372" s="24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16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24"/>
      <c r="BK372" s="22"/>
      <c r="BL372" s="23"/>
      <c r="BM372" s="22"/>
      <c r="BN372" s="22"/>
      <c r="BO372" s="22"/>
      <c r="BP372" s="22"/>
      <c r="BQ372" s="22"/>
      <c r="BR372" s="24"/>
      <c r="BS372" s="5"/>
    </row>
    <row r="373" spans="1:71" s="33" customFormat="1" hidden="1" outlineLevel="1">
      <c r="A373" s="5"/>
      <c r="B373" s="5" t="s">
        <v>232</v>
      </c>
      <c r="C373" s="38" t="s">
        <v>161</v>
      </c>
      <c r="D373" s="16">
        <v>32461</v>
      </c>
      <c r="E373" s="16">
        <v>32933</v>
      </c>
      <c r="F373" s="16">
        <v>28379</v>
      </c>
      <c r="G373" s="16">
        <v>27669</v>
      </c>
      <c r="H373" s="16">
        <v>33160</v>
      </c>
      <c r="I373" s="16">
        <v>24444</v>
      </c>
      <c r="J373" s="16">
        <v>25847</v>
      </c>
      <c r="K373" s="16">
        <v>31876</v>
      </c>
      <c r="L373" s="16">
        <v>39424</v>
      </c>
      <c r="M373" s="16">
        <v>42389</v>
      </c>
      <c r="N373" s="16">
        <v>46169</v>
      </c>
      <c r="O373" s="16">
        <v>83344</v>
      </c>
      <c r="P373" s="16">
        <v>92472</v>
      </c>
      <c r="Q373" s="16">
        <v>94965</v>
      </c>
      <c r="R373" s="16">
        <v>101672</v>
      </c>
      <c r="S373" s="16">
        <v>115090</v>
      </c>
      <c r="T373" s="16">
        <v>114570</v>
      </c>
      <c r="U373" s="16">
        <v>123394</v>
      </c>
      <c r="V373" s="16" t="s">
        <v>289</v>
      </c>
      <c r="W373" s="16"/>
      <c r="X373" s="16"/>
      <c r="Y373" s="16"/>
      <c r="Z373" s="16"/>
      <c r="AA373" s="16"/>
      <c r="AB373" s="25"/>
      <c r="AC373" s="25"/>
      <c r="AD373" s="24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16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24"/>
      <c r="BK373" s="22"/>
      <c r="BL373" s="23"/>
      <c r="BM373" s="22"/>
      <c r="BN373" s="22"/>
      <c r="BO373" s="22"/>
      <c r="BP373" s="22"/>
      <c r="BQ373" s="22"/>
      <c r="BR373" s="24"/>
      <c r="BS373" s="5"/>
    </row>
    <row r="374" spans="1:71" s="33" customFormat="1" hidden="1" outlineLevel="1">
      <c r="A374" s="5"/>
      <c r="B374" s="5"/>
      <c r="C374" s="38"/>
      <c r="D374" s="16"/>
      <c r="E374" s="16"/>
      <c r="F374" s="16"/>
      <c r="G374" s="16"/>
      <c r="H374" s="16"/>
      <c r="I374" s="16"/>
      <c r="J374" s="16"/>
      <c r="K374" s="16"/>
      <c r="L374" s="16"/>
      <c r="M374" s="16"/>
      <c r="N374" s="16"/>
      <c r="O374" s="16"/>
      <c r="P374" s="16"/>
      <c r="Q374" s="16"/>
      <c r="R374" s="16"/>
      <c r="S374" s="16"/>
      <c r="T374" s="16"/>
      <c r="U374" s="16"/>
      <c r="V374" s="16"/>
      <c r="W374" s="16"/>
      <c r="X374" s="16"/>
      <c r="Y374" s="16"/>
      <c r="Z374" s="16"/>
      <c r="AA374" s="16"/>
      <c r="AB374" s="25"/>
      <c r="AC374" s="25"/>
      <c r="AD374" s="24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16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24"/>
      <c r="BK374" s="22"/>
      <c r="BL374" s="23"/>
      <c r="BM374" s="22"/>
      <c r="BN374" s="22"/>
      <c r="BO374" s="22"/>
      <c r="BP374" s="22"/>
      <c r="BQ374" s="22"/>
      <c r="BR374" s="24"/>
      <c r="BS374" s="5"/>
    </row>
    <row r="375" spans="1:71" s="33" customFormat="1" ht="13.15" collapsed="1">
      <c r="A375" s="5"/>
      <c r="B375" s="5"/>
      <c r="C375" s="9" t="s">
        <v>306</v>
      </c>
      <c r="D375" s="14">
        <f t="shared" ref="D375:Y375" si="219">IF(D11="no","…",IF(ISNUMBER(D385),D385,IF(ISNUMBER(D376),D376,IF(ISNUMBER(D378),D378,"…"))))</f>
        <v>7265</v>
      </c>
      <c r="E375" s="14">
        <f t="shared" si="219"/>
        <v>7430</v>
      </c>
      <c r="F375" s="14">
        <f t="shared" si="219"/>
        <v>6998</v>
      </c>
      <c r="G375" s="14">
        <f t="shared" si="219"/>
        <v>6629</v>
      </c>
      <c r="H375" s="14">
        <f t="shared" si="219"/>
        <v>9520</v>
      </c>
      <c r="I375" s="14">
        <f t="shared" si="219"/>
        <v>9978</v>
      </c>
      <c r="J375" s="14">
        <f t="shared" si="219"/>
        <v>9694</v>
      </c>
      <c r="K375" s="14">
        <f t="shared" si="219"/>
        <v>17842</v>
      </c>
      <c r="L375" s="14">
        <f t="shared" si="219"/>
        <v>35222</v>
      </c>
      <c r="M375" s="14">
        <f t="shared" si="219"/>
        <v>35513</v>
      </c>
      <c r="N375" s="14">
        <f t="shared" si="219"/>
        <v>36358</v>
      </c>
      <c r="O375" s="14">
        <f t="shared" si="219"/>
        <v>37501</v>
      </c>
      <c r="P375" s="14">
        <f t="shared" si="219"/>
        <v>39040</v>
      </c>
      <c r="Q375" s="14">
        <f t="shared" si="219"/>
        <v>39977</v>
      </c>
      <c r="R375" s="14">
        <f t="shared" si="219"/>
        <v>41296</v>
      </c>
      <c r="S375" s="14">
        <f t="shared" si="219"/>
        <v>42967</v>
      </c>
      <c r="T375" s="14">
        <f t="shared" si="219"/>
        <v>44650</v>
      </c>
      <c r="U375" s="14">
        <f t="shared" si="219"/>
        <v>51515</v>
      </c>
      <c r="V375" s="14" t="str">
        <f t="shared" si="219"/>
        <v>…</v>
      </c>
      <c r="W375" s="14" t="str">
        <f t="shared" si="219"/>
        <v>…</v>
      </c>
      <c r="X375" s="14" t="str">
        <f t="shared" si="219"/>
        <v>…</v>
      </c>
      <c r="Y375" s="14" t="str">
        <f t="shared" si="219"/>
        <v>…</v>
      </c>
      <c r="Z375" s="14"/>
      <c r="AA375" s="14"/>
      <c r="AB375" s="14"/>
      <c r="AC375" s="14"/>
      <c r="AD375" s="24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14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24"/>
      <c r="BK375" s="22"/>
      <c r="BL375" s="23"/>
      <c r="BM375" s="22"/>
      <c r="BN375" s="22"/>
      <c r="BO375" s="22"/>
      <c r="BP375" s="22"/>
      <c r="BQ375" s="22"/>
      <c r="BR375" s="24"/>
      <c r="BS375" s="5"/>
    </row>
    <row r="376" spans="1:71" s="33" customFormat="1" ht="13.15" hidden="1" outlineLevel="1">
      <c r="A376" s="5"/>
      <c r="B376" s="5"/>
      <c r="C376" s="5" t="s">
        <v>233</v>
      </c>
      <c r="D376" s="25" t="str">
        <f>IF(ISNUMBER(D377),D377,"…")</f>
        <v>…</v>
      </c>
      <c r="E376" s="25" t="str">
        <f t="shared" ref="E376:Y376" si="220">IF(ISNUMBER(E377),E377,"…")</f>
        <v>…</v>
      </c>
      <c r="F376" s="25" t="str">
        <f t="shared" si="220"/>
        <v>…</v>
      </c>
      <c r="G376" s="25" t="str">
        <f t="shared" si="220"/>
        <v>…</v>
      </c>
      <c r="H376" s="25" t="str">
        <f t="shared" si="220"/>
        <v>…</v>
      </c>
      <c r="I376" s="25" t="str">
        <f t="shared" si="220"/>
        <v>…</v>
      </c>
      <c r="J376" s="25" t="str">
        <f t="shared" si="220"/>
        <v>…</v>
      </c>
      <c r="K376" s="25" t="str">
        <f t="shared" si="220"/>
        <v>…</v>
      </c>
      <c r="L376" s="25" t="str">
        <f t="shared" si="220"/>
        <v>…</v>
      </c>
      <c r="M376" s="25" t="str">
        <f t="shared" si="220"/>
        <v>…</v>
      </c>
      <c r="N376" s="25" t="str">
        <f t="shared" si="220"/>
        <v>…</v>
      </c>
      <c r="O376" s="25" t="str">
        <f t="shared" si="220"/>
        <v>…</v>
      </c>
      <c r="P376" s="25" t="str">
        <f t="shared" si="220"/>
        <v>…</v>
      </c>
      <c r="Q376" s="25" t="str">
        <f t="shared" si="220"/>
        <v>…</v>
      </c>
      <c r="R376" s="25" t="str">
        <f t="shared" si="220"/>
        <v>…</v>
      </c>
      <c r="S376" s="25" t="str">
        <f t="shared" si="220"/>
        <v>…</v>
      </c>
      <c r="T376" s="25" t="str">
        <f t="shared" si="220"/>
        <v>…</v>
      </c>
      <c r="U376" s="25" t="str">
        <f t="shared" si="220"/>
        <v>…</v>
      </c>
      <c r="V376" s="25" t="str">
        <f t="shared" si="220"/>
        <v>…</v>
      </c>
      <c r="W376" s="25" t="str">
        <f t="shared" si="220"/>
        <v>…</v>
      </c>
      <c r="X376" s="25" t="str">
        <f t="shared" si="220"/>
        <v>…</v>
      </c>
      <c r="Y376" s="25" t="str">
        <f t="shared" si="220"/>
        <v>…</v>
      </c>
      <c r="Z376" s="25"/>
      <c r="AA376" s="25"/>
      <c r="AB376" s="14"/>
      <c r="AC376" s="14"/>
      <c r="AD376" s="24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2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24"/>
      <c r="BK376" s="22"/>
      <c r="BL376" s="23"/>
      <c r="BM376" s="22"/>
      <c r="BN376" s="22"/>
      <c r="BO376" s="22"/>
      <c r="BP376" s="22"/>
      <c r="BQ376" s="22"/>
      <c r="BR376" s="24"/>
      <c r="BS376" s="5"/>
    </row>
    <row r="377" spans="1:71" s="33" customFormat="1" hidden="1" outlineLevel="1">
      <c r="A377" s="5"/>
      <c r="B377" s="5" t="s">
        <v>238</v>
      </c>
      <c r="C377" s="38" t="s">
        <v>154</v>
      </c>
      <c r="D377" s="16" t="s">
        <v>289</v>
      </c>
      <c r="E377" s="16" t="s">
        <v>289</v>
      </c>
      <c r="F377" s="16" t="s">
        <v>289</v>
      </c>
      <c r="G377" s="16" t="s">
        <v>289</v>
      </c>
      <c r="H377" s="16" t="s">
        <v>289</v>
      </c>
      <c r="I377" s="16" t="s">
        <v>289</v>
      </c>
      <c r="J377" s="16" t="s">
        <v>289</v>
      </c>
      <c r="K377" s="16" t="s">
        <v>289</v>
      </c>
      <c r="L377" s="16" t="s">
        <v>289</v>
      </c>
      <c r="M377" s="16" t="s">
        <v>289</v>
      </c>
      <c r="N377" s="16" t="s">
        <v>289</v>
      </c>
      <c r="O377" s="16" t="s">
        <v>289</v>
      </c>
      <c r="P377" s="16" t="s">
        <v>289</v>
      </c>
      <c r="Q377" s="16" t="s">
        <v>289</v>
      </c>
      <c r="R377" s="16" t="s">
        <v>289</v>
      </c>
      <c r="S377" s="16" t="s">
        <v>289</v>
      </c>
      <c r="T377" s="16" t="s">
        <v>289</v>
      </c>
      <c r="U377" s="16" t="s">
        <v>289</v>
      </c>
      <c r="V377" s="16" t="s">
        <v>289</v>
      </c>
      <c r="W377" s="16"/>
      <c r="X377" s="16"/>
      <c r="Y377" s="16"/>
      <c r="Z377" s="16"/>
      <c r="AA377" s="16"/>
      <c r="AB377" s="25"/>
      <c r="AC377" s="25"/>
      <c r="AD377" s="24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16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24"/>
      <c r="BK377" s="22"/>
      <c r="BL377" s="23"/>
      <c r="BM377" s="22"/>
      <c r="BN377" s="22"/>
      <c r="BO377" s="22"/>
      <c r="BP377" s="22"/>
      <c r="BQ377" s="22"/>
      <c r="BR377" s="24"/>
      <c r="BS377" s="5"/>
    </row>
    <row r="378" spans="1:71" s="33" customFormat="1" hidden="1" outlineLevel="1">
      <c r="A378" s="5"/>
      <c r="B378" s="5"/>
      <c r="C378" s="5" t="s">
        <v>235</v>
      </c>
      <c r="D378" s="25">
        <f>IFERROR(D379+SUM(D383),"…")</f>
        <v>7490</v>
      </c>
      <c r="E378" s="25" t="str">
        <f t="shared" ref="E378:T378" si="221">IFERROR(E379+SUM(E383),"…")</f>
        <v>…</v>
      </c>
      <c r="F378" s="25" t="str">
        <f t="shared" si="221"/>
        <v>…</v>
      </c>
      <c r="G378" s="25" t="str">
        <f t="shared" si="221"/>
        <v>…</v>
      </c>
      <c r="H378" s="25">
        <f t="shared" si="221"/>
        <v>4317</v>
      </c>
      <c r="I378" s="25">
        <f t="shared" si="221"/>
        <v>925</v>
      </c>
      <c r="J378" s="25">
        <f t="shared" si="221"/>
        <v>2713</v>
      </c>
      <c r="K378" s="25">
        <f t="shared" si="221"/>
        <v>7748</v>
      </c>
      <c r="L378" s="25">
        <f t="shared" si="221"/>
        <v>5282</v>
      </c>
      <c r="M378" s="25">
        <f t="shared" si="221"/>
        <v>4282</v>
      </c>
      <c r="N378" s="25">
        <f t="shared" si="221"/>
        <v>3654</v>
      </c>
      <c r="O378" s="25">
        <f t="shared" si="221"/>
        <v>3058</v>
      </c>
      <c r="P378" s="25">
        <f t="shared" si="221"/>
        <v>2527</v>
      </c>
      <c r="Q378" s="25">
        <f t="shared" si="221"/>
        <v>2093</v>
      </c>
      <c r="R378" s="25">
        <f t="shared" si="221"/>
        <v>2004</v>
      </c>
      <c r="S378" s="25">
        <f t="shared" si="221"/>
        <v>2189</v>
      </c>
      <c r="T378" s="25">
        <f t="shared" si="221"/>
        <v>2288</v>
      </c>
      <c r="U378" s="25">
        <f>IFERROR(U379+SUM(U383),"…")</f>
        <v>5059</v>
      </c>
      <c r="V378" s="25" t="str">
        <f>IFERROR(V379+SUM(V383),"…")</f>
        <v>…</v>
      </c>
      <c r="W378" s="25" t="str">
        <f>IFERROR(W379+SUM(W383),"…")</f>
        <v>…</v>
      </c>
      <c r="X378" s="25" t="str">
        <f>IFERROR(X379+SUM(X383),"…")</f>
        <v>…</v>
      </c>
      <c r="Y378" s="25" t="str">
        <f>IFERROR(Y379+SUM(Y383),"…")</f>
        <v>…</v>
      </c>
      <c r="Z378" s="25"/>
      <c r="AA378" s="25"/>
      <c r="AD378" s="25" t="s">
        <v>307</v>
      </c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2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24"/>
      <c r="BK378" s="22"/>
      <c r="BL378" s="23"/>
      <c r="BM378" s="22"/>
      <c r="BN378" s="22"/>
      <c r="BO378" s="22"/>
      <c r="BP378" s="22"/>
      <c r="BQ378" s="22"/>
      <c r="BR378" s="24"/>
      <c r="BS378" s="5"/>
    </row>
    <row r="379" spans="1:71" s="33" customFormat="1" ht="13.15" hidden="1" outlineLevel="1">
      <c r="A379" s="5"/>
      <c r="B379" s="5"/>
      <c r="C379" s="38" t="s">
        <v>239</v>
      </c>
      <c r="D379" s="25">
        <f>IF(ISNUMBER(D380),D380,IF(ISNUMBER(D381),D381,IF(ISNUMBER(D382),D382,"…")))</f>
        <v>7490</v>
      </c>
      <c r="E379" s="25" t="str">
        <f t="shared" ref="E379:T379" si="222">IF(ISNUMBER(E380),E380,IF(ISNUMBER(E381),E381,IF(ISNUMBER(E382),E382,"…")))</f>
        <v>…</v>
      </c>
      <c r="F379" s="25" t="str">
        <f t="shared" si="222"/>
        <v>…</v>
      </c>
      <c r="G379" s="25" t="str">
        <f t="shared" si="222"/>
        <v>…</v>
      </c>
      <c r="H379" s="25">
        <f t="shared" si="222"/>
        <v>4317</v>
      </c>
      <c r="I379" s="25">
        <f t="shared" si="222"/>
        <v>925</v>
      </c>
      <c r="J379" s="25">
        <f t="shared" si="222"/>
        <v>2713</v>
      </c>
      <c r="K379" s="25">
        <f t="shared" si="222"/>
        <v>7748</v>
      </c>
      <c r="L379" s="25">
        <f t="shared" si="222"/>
        <v>5282</v>
      </c>
      <c r="M379" s="25">
        <f t="shared" si="222"/>
        <v>4282</v>
      </c>
      <c r="N379" s="25">
        <f t="shared" si="222"/>
        <v>3654</v>
      </c>
      <c r="O379" s="25">
        <f t="shared" si="222"/>
        <v>3058</v>
      </c>
      <c r="P379" s="25">
        <f t="shared" si="222"/>
        <v>2527</v>
      </c>
      <c r="Q379" s="25">
        <f t="shared" si="222"/>
        <v>2093</v>
      </c>
      <c r="R379" s="25">
        <f t="shared" si="222"/>
        <v>2004</v>
      </c>
      <c r="S379" s="25">
        <f t="shared" si="222"/>
        <v>2189</v>
      </c>
      <c r="T379" s="25">
        <f t="shared" si="222"/>
        <v>2288</v>
      </c>
      <c r="U379" s="25">
        <f>IF(ISNUMBER(U380),U380,IF(ISNUMBER(U381),U381,IF(ISNUMBER(U382),U382,"…")))</f>
        <v>5059</v>
      </c>
      <c r="V379" s="25" t="str">
        <f>IF(ISNUMBER(V380),V380,IF(ISNUMBER(V381),V381,IF(ISNUMBER(V382),V382,"…")))</f>
        <v>…</v>
      </c>
      <c r="W379" s="25" t="str">
        <f>IF(ISNUMBER(W380),W380,IF(ISNUMBER(W381),W381,IF(ISNUMBER(W382),W382,"…")))</f>
        <v>…</v>
      </c>
      <c r="X379" s="25" t="str">
        <f>IF(ISNUMBER(X380),X380,IF(ISNUMBER(X381),X381,IF(ISNUMBER(X382),X382,"…")))</f>
        <v>…</v>
      </c>
      <c r="Y379" s="25" t="str">
        <f>IF(ISNUMBER(Y380),Y380,IF(ISNUMBER(Y381),Y381,IF(ISNUMBER(Y382),Y382,"…")))</f>
        <v>…</v>
      </c>
      <c r="Z379" s="25"/>
      <c r="AA379" s="25"/>
      <c r="AB379" s="14"/>
      <c r="AC379" s="14"/>
      <c r="AD379" s="24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2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24"/>
      <c r="BK379" s="22"/>
      <c r="BL379" s="23"/>
      <c r="BM379" s="22"/>
      <c r="BN379" s="22"/>
      <c r="BO379" s="22"/>
      <c r="BP379" s="22"/>
      <c r="BQ379" s="22"/>
      <c r="BR379" s="24"/>
      <c r="BS379" s="5"/>
    </row>
    <row r="380" spans="1:71" s="33" customFormat="1" hidden="1" outlineLevel="1">
      <c r="A380" s="5"/>
      <c r="B380" s="5" t="s">
        <v>240</v>
      </c>
      <c r="C380" s="43" t="s">
        <v>154</v>
      </c>
      <c r="D380" s="16">
        <v>7490</v>
      </c>
      <c r="E380" s="16" t="s">
        <v>289</v>
      </c>
      <c r="F380" s="16" t="s">
        <v>289</v>
      </c>
      <c r="G380" s="16" t="s">
        <v>289</v>
      </c>
      <c r="H380" s="16" t="s">
        <v>289</v>
      </c>
      <c r="I380" s="16" t="s">
        <v>289</v>
      </c>
      <c r="J380" s="16" t="s">
        <v>289</v>
      </c>
      <c r="K380" s="16" t="s">
        <v>289</v>
      </c>
      <c r="L380" s="16" t="s">
        <v>289</v>
      </c>
      <c r="M380" s="16" t="s">
        <v>289</v>
      </c>
      <c r="N380" s="16" t="s">
        <v>289</v>
      </c>
      <c r="O380" s="16" t="s">
        <v>289</v>
      </c>
      <c r="P380" s="16" t="s">
        <v>289</v>
      </c>
      <c r="Q380" s="16" t="s">
        <v>289</v>
      </c>
      <c r="R380" s="16" t="s">
        <v>289</v>
      </c>
      <c r="S380" s="16" t="s">
        <v>289</v>
      </c>
      <c r="T380" s="16" t="s">
        <v>289</v>
      </c>
      <c r="U380" s="16" t="s">
        <v>289</v>
      </c>
      <c r="V380" s="16" t="s">
        <v>289</v>
      </c>
      <c r="W380" s="16"/>
      <c r="X380" s="16"/>
      <c r="Y380" s="16"/>
      <c r="Z380" s="16"/>
      <c r="AA380" s="16"/>
      <c r="AB380" s="25"/>
      <c r="AC380" s="25"/>
      <c r="AD380" s="24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16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24"/>
      <c r="BK380" s="22"/>
      <c r="BL380" s="23"/>
      <c r="BM380" s="22"/>
      <c r="BN380" s="22"/>
      <c r="BO380" s="22"/>
      <c r="BP380" s="22"/>
      <c r="BQ380" s="22"/>
      <c r="BR380" s="24"/>
      <c r="BS380" s="5"/>
    </row>
    <row r="381" spans="1:71" s="33" customFormat="1" hidden="1" outlineLevel="1">
      <c r="A381" s="5"/>
      <c r="B381" s="5" t="s">
        <v>241</v>
      </c>
      <c r="C381" s="43" t="s">
        <v>161</v>
      </c>
      <c r="D381" s="16" t="s">
        <v>289</v>
      </c>
      <c r="E381" s="16" t="s">
        <v>289</v>
      </c>
      <c r="F381" s="16" t="s">
        <v>289</v>
      </c>
      <c r="G381" s="16" t="s">
        <v>289</v>
      </c>
      <c r="H381" s="16">
        <v>4317</v>
      </c>
      <c r="I381" s="16">
        <v>925</v>
      </c>
      <c r="J381" s="16">
        <v>2713</v>
      </c>
      <c r="K381" s="16">
        <v>7748</v>
      </c>
      <c r="L381" s="16">
        <v>5282</v>
      </c>
      <c r="M381" s="16">
        <v>4282</v>
      </c>
      <c r="N381" s="16">
        <v>3654</v>
      </c>
      <c r="O381" s="16">
        <v>3058</v>
      </c>
      <c r="P381" s="16">
        <v>2527</v>
      </c>
      <c r="Q381" s="16">
        <v>2093</v>
      </c>
      <c r="R381" s="16">
        <v>2004</v>
      </c>
      <c r="S381" s="16">
        <v>2189</v>
      </c>
      <c r="T381" s="16">
        <v>2288</v>
      </c>
      <c r="U381" s="16">
        <v>5059</v>
      </c>
      <c r="V381" s="16" t="s">
        <v>289</v>
      </c>
      <c r="W381" s="16"/>
      <c r="X381" s="16"/>
      <c r="Y381" s="16"/>
      <c r="Z381" s="16"/>
      <c r="AA381" s="16"/>
      <c r="AB381" s="25"/>
      <c r="AC381" s="25"/>
      <c r="AD381" s="24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16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24"/>
      <c r="BK381" s="22"/>
      <c r="BL381" s="23"/>
      <c r="BM381" s="22"/>
      <c r="BN381" s="22"/>
      <c r="BO381" s="22"/>
      <c r="BP381" s="22"/>
      <c r="BQ381" s="22"/>
      <c r="BR381" s="24"/>
      <c r="BS381" s="5"/>
    </row>
    <row r="382" spans="1:71" s="33" customFormat="1" hidden="1" outlineLevel="1">
      <c r="A382" s="5"/>
      <c r="B382" s="5" t="s">
        <v>242</v>
      </c>
      <c r="C382" s="43" t="s">
        <v>163</v>
      </c>
      <c r="D382" s="16" t="s">
        <v>289</v>
      </c>
      <c r="E382" s="16" t="s">
        <v>289</v>
      </c>
      <c r="F382" s="16" t="s">
        <v>289</v>
      </c>
      <c r="G382" s="16" t="s">
        <v>289</v>
      </c>
      <c r="H382" s="16" t="s">
        <v>289</v>
      </c>
      <c r="I382" s="16" t="s">
        <v>289</v>
      </c>
      <c r="J382" s="16" t="s">
        <v>289</v>
      </c>
      <c r="K382" s="16" t="s">
        <v>289</v>
      </c>
      <c r="L382" s="16" t="s">
        <v>289</v>
      </c>
      <c r="M382" s="16" t="s">
        <v>289</v>
      </c>
      <c r="N382" s="16" t="s">
        <v>289</v>
      </c>
      <c r="O382" s="16" t="s">
        <v>289</v>
      </c>
      <c r="P382" s="16" t="s">
        <v>289</v>
      </c>
      <c r="Q382" s="16" t="s">
        <v>289</v>
      </c>
      <c r="R382" s="16" t="s">
        <v>289</v>
      </c>
      <c r="S382" s="16" t="s">
        <v>289</v>
      </c>
      <c r="T382" s="16" t="s">
        <v>289</v>
      </c>
      <c r="U382" s="16" t="s">
        <v>289</v>
      </c>
      <c r="V382" s="16" t="s">
        <v>289</v>
      </c>
      <c r="W382" s="16"/>
      <c r="X382" s="16"/>
      <c r="Y382" s="16"/>
      <c r="Z382" s="16"/>
      <c r="AA382" s="16"/>
      <c r="AB382" s="25"/>
      <c r="AC382" s="25"/>
      <c r="AD382" s="24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16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24"/>
      <c r="BK382" s="22"/>
      <c r="BL382" s="23"/>
      <c r="BM382" s="22"/>
      <c r="BN382" s="22"/>
      <c r="BO382" s="22"/>
      <c r="BP382" s="22"/>
      <c r="BQ382" s="22"/>
      <c r="BR382" s="24"/>
      <c r="BS382" s="5"/>
    </row>
    <row r="383" spans="1:71" s="33" customFormat="1" hidden="1" outlineLevel="1">
      <c r="A383" s="5"/>
      <c r="B383" s="5"/>
      <c r="C383" s="38" t="s">
        <v>243</v>
      </c>
      <c r="D383" s="25" t="str">
        <f>IF(ISNUMBER(D384),D384,"…")</f>
        <v>…</v>
      </c>
      <c r="E383" s="25" t="str">
        <f t="shared" ref="E383:Y383" si="223">IF(ISNUMBER(E384),E384,"…")</f>
        <v>…</v>
      </c>
      <c r="F383" s="25" t="str">
        <f t="shared" si="223"/>
        <v>…</v>
      </c>
      <c r="G383" s="25" t="str">
        <f t="shared" si="223"/>
        <v>…</v>
      </c>
      <c r="H383" s="25" t="str">
        <f t="shared" si="223"/>
        <v>…</v>
      </c>
      <c r="I383" s="25" t="str">
        <f t="shared" si="223"/>
        <v>…</v>
      </c>
      <c r="J383" s="25" t="str">
        <f t="shared" si="223"/>
        <v>…</v>
      </c>
      <c r="K383" s="25" t="str">
        <f t="shared" si="223"/>
        <v>…</v>
      </c>
      <c r="L383" s="25" t="str">
        <f t="shared" si="223"/>
        <v>…</v>
      </c>
      <c r="M383" s="25" t="str">
        <f t="shared" si="223"/>
        <v>…</v>
      </c>
      <c r="N383" s="25" t="str">
        <f t="shared" si="223"/>
        <v>…</v>
      </c>
      <c r="O383" s="25" t="str">
        <f t="shared" si="223"/>
        <v>…</v>
      </c>
      <c r="P383" s="25" t="str">
        <f t="shared" si="223"/>
        <v>…</v>
      </c>
      <c r="Q383" s="25" t="str">
        <f t="shared" si="223"/>
        <v>…</v>
      </c>
      <c r="R383" s="25" t="str">
        <f t="shared" si="223"/>
        <v>…</v>
      </c>
      <c r="S383" s="25" t="str">
        <f t="shared" si="223"/>
        <v>…</v>
      </c>
      <c r="T383" s="25" t="str">
        <f t="shared" si="223"/>
        <v>…</v>
      </c>
      <c r="U383" s="25" t="str">
        <f t="shared" si="223"/>
        <v>…</v>
      </c>
      <c r="V383" s="25" t="str">
        <f t="shared" si="223"/>
        <v>…</v>
      </c>
      <c r="W383" s="25" t="str">
        <f t="shared" si="223"/>
        <v>…</v>
      </c>
      <c r="X383" s="25" t="str">
        <f t="shared" si="223"/>
        <v>…</v>
      </c>
      <c r="Y383" s="25" t="str">
        <f t="shared" si="223"/>
        <v>…</v>
      </c>
      <c r="Z383" s="25"/>
      <c r="AA383" s="25"/>
      <c r="AB383" s="25"/>
      <c r="AC383" s="25"/>
      <c r="AD383" s="24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2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24"/>
      <c r="BK383" s="22"/>
      <c r="BL383" s="23"/>
      <c r="BM383" s="22"/>
      <c r="BN383" s="22"/>
      <c r="BO383" s="22"/>
      <c r="BP383" s="22"/>
      <c r="BQ383" s="22"/>
      <c r="BR383" s="24"/>
      <c r="BS383" s="5"/>
    </row>
    <row r="384" spans="1:71" s="33" customFormat="1" hidden="1" outlineLevel="1">
      <c r="A384" s="5"/>
      <c r="B384" s="5" t="s">
        <v>244</v>
      </c>
      <c r="C384" s="43" t="s">
        <v>154</v>
      </c>
      <c r="D384" s="16" t="s">
        <v>289</v>
      </c>
      <c r="E384" s="16" t="s">
        <v>289</v>
      </c>
      <c r="F384" s="16" t="s">
        <v>289</v>
      </c>
      <c r="G384" s="16" t="s">
        <v>289</v>
      </c>
      <c r="H384" s="16" t="s">
        <v>289</v>
      </c>
      <c r="I384" s="16" t="s">
        <v>289</v>
      </c>
      <c r="J384" s="16" t="s">
        <v>289</v>
      </c>
      <c r="K384" s="16" t="s">
        <v>289</v>
      </c>
      <c r="L384" s="16" t="s">
        <v>289</v>
      </c>
      <c r="M384" s="16" t="s">
        <v>289</v>
      </c>
      <c r="N384" s="16" t="s">
        <v>289</v>
      </c>
      <c r="O384" s="16" t="s">
        <v>289</v>
      </c>
      <c r="P384" s="16" t="s">
        <v>289</v>
      </c>
      <c r="Q384" s="16" t="s">
        <v>289</v>
      </c>
      <c r="R384" s="16" t="s">
        <v>289</v>
      </c>
      <c r="S384" s="16" t="s">
        <v>289</v>
      </c>
      <c r="T384" s="16" t="s">
        <v>289</v>
      </c>
      <c r="U384" s="16" t="s">
        <v>289</v>
      </c>
      <c r="V384" s="16" t="s">
        <v>289</v>
      </c>
      <c r="W384" s="16"/>
      <c r="X384" s="16"/>
      <c r="Y384" s="16"/>
      <c r="Z384" s="16"/>
      <c r="AA384" s="16"/>
      <c r="AB384" s="25"/>
      <c r="AC384" s="25"/>
      <c r="AD384" s="24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16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24"/>
      <c r="BK384" s="22"/>
      <c r="BL384" s="23"/>
      <c r="BM384" s="22"/>
      <c r="BN384" s="22"/>
      <c r="BO384" s="22"/>
      <c r="BP384" s="22"/>
      <c r="BQ384" s="22"/>
      <c r="BR384" s="24"/>
      <c r="BS384" s="5"/>
    </row>
    <row r="385" spans="1:72" s="33" customFormat="1" ht="13.15" hidden="1" outlineLevel="1">
      <c r="A385" s="5"/>
      <c r="B385" s="5"/>
      <c r="C385" s="5" t="s">
        <v>237</v>
      </c>
      <c r="D385" s="25">
        <f t="shared" ref="D385:J385" si="224">IFERROR(D386-SUM(D390),"…")</f>
        <v>7265</v>
      </c>
      <c r="E385" s="25">
        <f t="shared" si="224"/>
        <v>7430</v>
      </c>
      <c r="F385" s="25">
        <f t="shared" si="224"/>
        <v>6998</v>
      </c>
      <c r="G385" s="25">
        <f t="shared" si="224"/>
        <v>6629</v>
      </c>
      <c r="H385" s="25">
        <f t="shared" si="224"/>
        <v>9520</v>
      </c>
      <c r="I385" s="25">
        <f t="shared" si="224"/>
        <v>9978</v>
      </c>
      <c r="J385" s="25">
        <f t="shared" si="224"/>
        <v>9694</v>
      </c>
      <c r="K385" s="25">
        <f t="shared" ref="K385:Y385" si="225">IFERROR(K386-SUM(K390),"…")</f>
        <v>17842</v>
      </c>
      <c r="L385" s="25">
        <f t="shared" si="225"/>
        <v>35222</v>
      </c>
      <c r="M385" s="25">
        <f t="shared" si="225"/>
        <v>35513</v>
      </c>
      <c r="N385" s="25">
        <f t="shared" si="225"/>
        <v>36358</v>
      </c>
      <c r="O385" s="25">
        <f t="shared" si="225"/>
        <v>37501</v>
      </c>
      <c r="P385" s="25">
        <f t="shared" si="225"/>
        <v>39040</v>
      </c>
      <c r="Q385" s="25">
        <f t="shared" si="225"/>
        <v>39977</v>
      </c>
      <c r="R385" s="25">
        <f t="shared" si="225"/>
        <v>41296</v>
      </c>
      <c r="S385" s="25">
        <f t="shared" si="225"/>
        <v>42967</v>
      </c>
      <c r="T385" s="25">
        <f t="shared" si="225"/>
        <v>44650</v>
      </c>
      <c r="U385" s="25">
        <f t="shared" si="225"/>
        <v>51515</v>
      </c>
      <c r="V385" s="25" t="str">
        <f t="shared" si="225"/>
        <v>…</v>
      </c>
      <c r="W385" s="25" t="str">
        <f t="shared" si="225"/>
        <v>…</v>
      </c>
      <c r="X385" s="25" t="str">
        <f t="shared" si="225"/>
        <v>…</v>
      </c>
      <c r="Y385" s="25" t="str">
        <f t="shared" si="225"/>
        <v>…</v>
      </c>
      <c r="Z385" s="25"/>
      <c r="AA385" s="25"/>
      <c r="AB385" s="14"/>
      <c r="AC385" s="14"/>
      <c r="AD385" s="24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2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24"/>
      <c r="BK385" s="22"/>
      <c r="BL385" s="23"/>
      <c r="BM385" s="22"/>
      <c r="BN385" s="22"/>
      <c r="BO385" s="22"/>
      <c r="BP385" s="22"/>
      <c r="BQ385" s="22"/>
      <c r="BR385" s="24"/>
      <c r="BS385" s="5"/>
    </row>
    <row r="386" spans="1:72" s="33" customFormat="1" ht="13.15" hidden="1" outlineLevel="1">
      <c r="A386" s="5"/>
      <c r="B386" s="5"/>
      <c r="C386" s="5" t="s">
        <v>305</v>
      </c>
      <c r="D386" s="25">
        <f t="shared" ref="D386:Y386" si="226">IF(ISNUMBER(D387),D387,IF(ISNUMBER(D388),D388,"…"))</f>
        <v>7490</v>
      </c>
      <c r="E386" s="25">
        <f t="shared" si="226"/>
        <v>7668</v>
      </c>
      <c r="F386" s="25">
        <f t="shared" si="226"/>
        <v>7193</v>
      </c>
      <c r="G386" s="25">
        <f t="shared" si="226"/>
        <v>6830</v>
      </c>
      <c r="H386" s="25">
        <f t="shared" si="226"/>
        <v>12291</v>
      </c>
      <c r="I386" s="25">
        <f t="shared" si="226"/>
        <v>12907</v>
      </c>
      <c r="J386" s="25">
        <f t="shared" si="226"/>
        <v>13104</v>
      </c>
      <c r="K386" s="25">
        <f t="shared" si="226"/>
        <v>22176</v>
      </c>
      <c r="L386" s="25">
        <f t="shared" si="226"/>
        <v>59111</v>
      </c>
      <c r="M386" s="25">
        <f t="shared" si="226"/>
        <v>59243</v>
      </c>
      <c r="N386" s="25">
        <f t="shared" si="226"/>
        <v>59935</v>
      </c>
      <c r="O386" s="25">
        <f t="shared" si="226"/>
        <v>61147</v>
      </c>
      <c r="P386" s="25">
        <f t="shared" si="226"/>
        <v>62599</v>
      </c>
      <c r="Q386" s="25">
        <f t="shared" si="226"/>
        <v>63419</v>
      </c>
      <c r="R386" s="25">
        <f t="shared" si="226"/>
        <v>64613</v>
      </c>
      <c r="S386" s="25">
        <f t="shared" si="226"/>
        <v>66214</v>
      </c>
      <c r="T386" s="25">
        <f t="shared" si="226"/>
        <v>67968</v>
      </c>
      <c r="U386" s="25">
        <f t="shared" si="226"/>
        <v>77689</v>
      </c>
      <c r="V386" s="25" t="str">
        <f t="shared" si="226"/>
        <v>…</v>
      </c>
      <c r="W386" s="25" t="str">
        <f t="shared" si="226"/>
        <v>…</v>
      </c>
      <c r="X386" s="25" t="str">
        <f t="shared" si="226"/>
        <v>…</v>
      </c>
      <c r="Y386" s="25" t="str">
        <f t="shared" si="226"/>
        <v>…</v>
      </c>
      <c r="Z386" s="25"/>
      <c r="AA386" s="25"/>
      <c r="AB386" s="14"/>
      <c r="AC386" s="14"/>
      <c r="AD386" s="24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2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24"/>
      <c r="BK386" s="22"/>
      <c r="BL386" s="23"/>
      <c r="BM386" s="22"/>
      <c r="BN386" s="22"/>
      <c r="BO386" s="22"/>
      <c r="BP386" s="22"/>
      <c r="BQ386" s="22"/>
      <c r="BR386" s="24"/>
      <c r="BS386" s="5"/>
    </row>
    <row r="387" spans="1:72" s="33" customFormat="1" hidden="1" outlineLevel="1">
      <c r="A387" s="5"/>
      <c r="B387" s="5" t="s">
        <v>234</v>
      </c>
      <c r="C387" s="38" t="s">
        <v>154</v>
      </c>
      <c r="D387" s="16">
        <v>7490</v>
      </c>
      <c r="E387" s="16">
        <v>7668</v>
      </c>
      <c r="F387" s="16">
        <v>7193</v>
      </c>
      <c r="G387" s="16">
        <v>6830</v>
      </c>
      <c r="H387" s="16">
        <v>12291</v>
      </c>
      <c r="I387" s="16">
        <v>12907</v>
      </c>
      <c r="J387" s="16">
        <v>13104</v>
      </c>
      <c r="K387" s="16">
        <v>22176</v>
      </c>
      <c r="L387" s="16">
        <v>59111</v>
      </c>
      <c r="M387" s="16">
        <v>59243</v>
      </c>
      <c r="N387" s="16">
        <v>59935</v>
      </c>
      <c r="O387" s="16">
        <v>61147</v>
      </c>
      <c r="P387" s="16">
        <v>62599</v>
      </c>
      <c r="Q387" s="16">
        <v>63419</v>
      </c>
      <c r="R387" s="16">
        <v>64613</v>
      </c>
      <c r="S387" s="16">
        <v>66214</v>
      </c>
      <c r="T387" s="16">
        <v>67968</v>
      </c>
      <c r="U387" s="16">
        <v>77689</v>
      </c>
      <c r="V387" s="16" t="s">
        <v>289</v>
      </c>
      <c r="W387" s="16"/>
      <c r="X387" s="16"/>
      <c r="Y387" s="16"/>
      <c r="Z387" s="16"/>
      <c r="AA387" s="16"/>
      <c r="AB387" s="25"/>
      <c r="AC387" s="25"/>
      <c r="AD387" s="24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16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24"/>
      <c r="BK387" s="22"/>
      <c r="BL387" s="23"/>
      <c r="BM387" s="22"/>
      <c r="BN387" s="22"/>
      <c r="BO387" s="22"/>
      <c r="BP387" s="22"/>
      <c r="BQ387" s="22"/>
      <c r="BR387" s="24"/>
      <c r="BS387" s="5"/>
    </row>
    <row r="388" spans="1:72" s="33" customFormat="1" hidden="1" outlineLevel="1">
      <c r="A388" s="5"/>
      <c r="B388" s="5" t="s">
        <v>236</v>
      </c>
      <c r="C388" s="38" t="s">
        <v>154</v>
      </c>
      <c r="D388" s="16">
        <v>7490</v>
      </c>
      <c r="E388" s="16">
        <v>7668</v>
      </c>
      <c r="F388" s="16">
        <v>7193</v>
      </c>
      <c r="G388" s="16">
        <v>6830</v>
      </c>
      <c r="H388" s="16">
        <v>12291</v>
      </c>
      <c r="I388" s="16">
        <v>12907</v>
      </c>
      <c r="J388" s="16">
        <v>13104</v>
      </c>
      <c r="K388" s="16">
        <v>22176</v>
      </c>
      <c r="L388" s="16">
        <v>59112</v>
      </c>
      <c r="M388" s="16">
        <v>59243</v>
      </c>
      <c r="N388" s="16">
        <v>59935</v>
      </c>
      <c r="O388" s="16">
        <v>61147</v>
      </c>
      <c r="P388" s="16">
        <v>62599</v>
      </c>
      <c r="Q388" s="16">
        <v>63419</v>
      </c>
      <c r="R388" s="16">
        <v>64613</v>
      </c>
      <c r="S388" s="16">
        <v>66214</v>
      </c>
      <c r="T388" s="16">
        <v>67968</v>
      </c>
      <c r="U388" s="16">
        <v>77689</v>
      </c>
      <c r="V388" s="16" t="s">
        <v>289</v>
      </c>
      <c r="W388" s="16"/>
      <c r="X388" s="16"/>
      <c r="Y388" s="16"/>
      <c r="Z388" s="16"/>
      <c r="AA388" s="16"/>
      <c r="AB388" s="25"/>
      <c r="AC388" s="25"/>
      <c r="AD388" s="24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16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24"/>
      <c r="BK388" s="22"/>
      <c r="BL388" s="23"/>
      <c r="BM388" s="22"/>
      <c r="BN388" s="22"/>
      <c r="BO388" s="22"/>
      <c r="BP388" s="22"/>
      <c r="BQ388" s="22"/>
      <c r="BR388" s="24"/>
      <c r="BS388" s="5"/>
    </row>
    <row r="389" spans="1:72" s="33" customFormat="1" hidden="1" outlineLevel="1">
      <c r="A389" s="5"/>
      <c r="B389" s="38"/>
      <c r="C389" s="43"/>
      <c r="D389" s="16"/>
      <c r="E389" s="16"/>
      <c r="F389" s="16"/>
      <c r="G389" s="16"/>
      <c r="H389" s="16"/>
      <c r="I389" s="16"/>
      <c r="J389" s="16"/>
      <c r="K389" s="16"/>
      <c r="L389" s="16"/>
      <c r="M389" s="16"/>
      <c r="N389" s="16"/>
      <c r="O389" s="16"/>
      <c r="P389" s="16"/>
      <c r="Q389" s="16"/>
      <c r="R389" s="16"/>
      <c r="S389" s="16"/>
      <c r="T389" s="16"/>
      <c r="U389" s="16"/>
      <c r="V389" s="16"/>
      <c r="W389" s="16"/>
      <c r="X389" s="16"/>
      <c r="Y389" s="16"/>
      <c r="Z389" s="16"/>
      <c r="AA389" s="16"/>
      <c r="AB389" s="25"/>
      <c r="AC389" s="25"/>
      <c r="AD389" s="24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16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24"/>
      <c r="BK389" s="22"/>
      <c r="BL389" s="23"/>
      <c r="BM389" s="22"/>
      <c r="BN389" s="22"/>
      <c r="BO389" s="22"/>
      <c r="BP389" s="22"/>
      <c r="BQ389" s="22"/>
      <c r="BR389" s="24"/>
      <c r="BS389" s="5"/>
    </row>
    <row r="390" spans="1:72" s="33" customFormat="1" ht="13.15" collapsed="1">
      <c r="A390" s="5"/>
      <c r="B390" s="5"/>
      <c r="C390" s="9" t="s">
        <v>303</v>
      </c>
      <c r="D390" s="14">
        <f t="shared" ref="D390:Y390" si="227">IF(D11="no","…",IF(ISNUMBER(D391),D391,IF(ISNUMBER(D392),D392,"…")))</f>
        <v>225</v>
      </c>
      <c r="E390" s="14">
        <f t="shared" si="227"/>
        <v>238</v>
      </c>
      <c r="F390" s="14">
        <f t="shared" si="227"/>
        <v>195</v>
      </c>
      <c r="G390" s="14">
        <f t="shared" si="227"/>
        <v>201</v>
      </c>
      <c r="H390" s="14">
        <f t="shared" si="227"/>
        <v>2771</v>
      </c>
      <c r="I390" s="14">
        <f t="shared" si="227"/>
        <v>2929</v>
      </c>
      <c r="J390" s="14">
        <f t="shared" si="227"/>
        <v>3410</v>
      </c>
      <c r="K390" s="14">
        <f t="shared" si="227"/>
        <v>4334</v>
      </c>
      <c r="L390" s="14">
        <f t="shared" si="227"/>
        <v>23889</v>
      </c>
      <c r="M390" s="14">
        <f t="shared" si="227"/>
        <v>23730</v>
      </c>
      <c r="N390" s="14">
        <f t="shared" si="227"/>
        <v>23577</v>
      </c>
      <c r="O390" s="14">
        <f t="shared" si="227"/>
        <v>23646</v>
      </c>
      <c r="P390" s="14">
        <f t="shared" si="227"/>
        <v>23559</v>
      </c>
      <c r="Q390" s="14">
        <f t="shared" si="227"/>
        <v>23442</v>
      </c>
      <c r="R390" s="14">
        <f t="shared" si="227"/>
        <v>23317</v>
      </c>
      <c r="S390" s="14">
        <f t="shared" si="227"/>
        <v>23247</v>
      </c>
      <c r="T390" s="14">
        <f t="shared" si="227"/>
        <v>23318</v>
      </c>
      <c r="U390" s="14">
        <f t="shared" si="227"/>
        <v>26174</v>
      </c>
      <c r="V390" s="14" t="str">
        <f t="shared" si="227"/>
        <v>…</v>
      </c>
      <c r="W390" s="14" t="str">
        <f t="shared" si="227"/>
        <v>…</v>
      </c>
      <c r="X390" s="14" t="str">
        <f t="shared" si="227"/>
        <v>…</v>
      </c>
      <c r="Y390" s="14" t="str">
        <f t="shared" si="227"/>
        <v>…</v>
      </c>
      <c r="Z390" s="14"/>
      <c r="AA390" s="14"/>
      <c r="AB390" s="14"/>
      <c r="AC390" s="14"/>
      <c r="AD390" s="24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14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24"/>
      <c r="BK390" s="22"/>
      <c r="BL390" s="23"/>
      <c r="BM390" s="22"/>
      <c r="BN390" s="22"/>
      <c r="BO390" s="22"/>
      <c r="BP390" s="22"/>
      <c r="BQ390" s="22"/>
      <c r="BR390" s="24"/>
      <c r="BS390" s="5"/>
    </row>
    <row r="391" spans="1:72" hidden="1" outlineLevel="1">
      <c r="B391" s="5" t="s">
        <v>245</v>
      </c>
      <c r="C391" s="38" t="s">
        <v>154</v>
      </c>
      <c r="D391" s="16" t="s">
        <v>289</v>
      </c>
      <c r="E391" s="16" t="s">
        <v>289</v>
      </c>
      <c r="F391" s="16" t="s">
        <v>289</v>
      </c>
      <c r="G391" s="16" t="s">
        <v>289</v>
      </c>
      <c r="H391" s="16" t="s">
        <v>289</v>
      </c>
      <c r="I391" s="16" t="s">
        <v>289</v>
      </c>
      <c r="J391" s="16" t="s">
        <v>289</v>
      </c>
      <c r="K391" s="16" t="s">
        <v>289</v>
      </c>
      <c r="L391" s="16" t="s">
        <v>289</v>
      </c>
      <c r="M391" s="16" t="s">
        <v>289</v>
      </c>
      <c r="N391" s="16" t="s">
        <v>289</v>
      </c>
      <c r="O391" s="16" t="s">
        <v>289</v>
      </c>
      <c r="P391" s="16" t="s">
        <v>289</v>
      </c>
      <c r="Q391" s="16" t="s">
        <v>289</v>
      </c>
      <c r="R391" s="16" t="s">
        <v>289</v>
      </c>
      <c r="S391" s="16" t="s">
        <v>289</v>
      </c>
      <c r="T391" s="16" t="s">
        <v>289</v>
      </c>
      <c r="U391" s="16" t="s">
        <v>289</v>
      </c>
      <c r="V391" s="16" t="s">
        <v>289</v>
      </c>
      <c r="W391" s="16"/>
      <c r="X391" s="16"/>
      <c r="Y391" s="16"/>
      <c r="Z391" s="16"/>
      <c r="AA391" s="16"/>
      <c r="AB391" s="25"/>
      <c r="AC391" s="25"/>
      <c r="AD391" s="24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16"/>
      <c r="AZ391" s="5"/>
      <c r="BJ391" s="24"/>
      <c r="BK391" s="22"/>
      <c r="BL391" s="23"/>
      <c r="BM391" s="22"/>
      <c r="BN391" s="22"/>
      <c r="BO391" s="22"/>
      <c r="BP391" s="22"/>
      <c r="BQ391" s="22"/>
      <c r="BR391" s="24"/>
      <c r="BT391" s="33"/>
    </row>
    <row r="392" spans="1:72" s="33" customFormat="1" hidden="1" outlineLevel="1">
      <c r="A392" s="5"/>
      <c r="B392" s="5" t="s">
        <v>246</v>
      </c>
      <c r="C392" s="38" t="s">
        <v>161</v>
      </c>
      <c r="D392" s="16">
        <v>225</v>
      </c>
      <c r="E392" s="16">
        <v>238</v>
      </c>
      <c r="F392" s="16">
        <v>195</v>
      </c>
      <c r="G392" s="16">
        <v>201</v>
      </c>
      <c r="H392" s="16">
        <v>2771</v>
      </c>
      <c r="I392" s="16">
        <v>2929</v>
      </c>
      <c r="J392" s="16">
        <v>3410</v>
      </c>
      <c r="K392" s="16">
        <v>4334</v>
      </c>
      <c r="L392" s="16">
        <v>23889</v>
      </c>
      <c r="M392" s="16">
        <v>23730</v>
      </c>
      <c r="N392" s="16">
        <v>23577</v>
      </c>
      <c r="O392" s="16">
        <v>23646</v>
      </c>
      <c r="P392" s="16">
        <v>23559</v>
      </c>
      <c r="Q392" s="16">
        <v>23442</v>
      </c>
      <c r="R392" s="16">
        <v>23317</v>
      </c>
      <c r="S392" s="16">
        <v>23247</v>
      </c>
      <c r="T392" s="16">
        <v>23318</v>
      </c>
      <c r="U392" s="16">
        <v>26174</v>
      </c>
      <c r="V392" s="16" t="s">
        <v>289</v>
      </c>
      <c r="W392" s="16"/>
      <c r="X392" s="16"/>
      <c r="Y392" s="16"/>
      <c r="Z392" s="16"/>
      <c r="AA392" s="16"/>
      <c r="AB392" s="25"/>
      <c r="AC392" s="25"/>
      <c r="AD392" s="24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16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24"/>
      <c r="BK392" s="22"/>
      <c r="BL392" s="23"/>
      <c r="BM392" s="22"/>
      <c r="BN392" s="22"/>
      <c r="BO392" s="22"/>
      <c r="BP392" s="22"/>
      <c r="BQ392" s="22"/>
      <c r="BR392" s="24"/>
      <c r="BS392" s="5"/>
    </row>
    <row r="393" spans="1:72" hidden="1" outlineLevel="1"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Z393" s="5"/>
      <c r="BK393" s="22"/>
      <c r="BL393" s="23"/>
      <c r="BM393" s="22"/>
      <c r="BN393" s="22"/>
      <c r="BO393" s="22"/>
      <c r="BP393" s="22"/>
      <c r="BQ393" s="22"/>
      <c r="BR393" s="24"/>
    </row>
    <row r="394" spans="1:72" ht="13.15" collapsed="1">
      <c r="C394" s="9" t="s">
        <v>323</v>
      </c>
      <c r="D394" s="7">
        <f t="shared" ref="D394:Y394" si="228">IF(ISNUMBER(D396),D396,IF(ISNUMBER(D395),D395,IF(ISNUMBER(D397),D397,"…")))</f>
        <v>10221</v>
      </c>
      <c r="E394" s="7">
        <f t="shared" si="228"/>
        <v>7963</v>
      </c>
      <c r="F394" s="7">
        <f t="shared" si="228"/>
        <v>9367</v>
      </c>
      <c r="G394" s="7">
        <f t="shared" si="228"/>
        <v>10112</v>
      </c>
      <c r="H394" s="7">
        <f t="shared" si="228"/>
        <v>9474</v>
      </c>
      <c r="I394" s="7">
        <f t="shared" si="228"/>
        <v>20539</v>
      </c>
      <c r="J394" s="7">
        <f t="shared" si="228"/>
        <v>18670</v>
      </c>
      <c r="K394" s="7">
        <f t="shared" si="228"/>
        <v>18291</v>
      </c>
      <c r="L394" s="7">
        <f t="shared" si="228"/>
        <v>18488</v>
      </c>
      <c r="M394" s="7">
        <f t="shared" si="228"/>
        <v>23178</v>
      </c>
      <c r="N394" s="7">
        <f t="shared" si="228"/>
        <v>19123</v>
      </c>
      <c r="O394" s="7">
        <f t="shared" si="228"/>
        <v>20872</v>
      </c>
      <c r="P394" s="7">
        <f t="shared" si="228"/>
        <v>19265</v>
      </c>
      <c r="Q394" s="7">
        <f t="shared" si="228"/>
        <v>18457</v>
      </c>
      <c r="R394" s="7">
        <f t="shared" si="228"/>
        <v>28938</v>
      </c>
      <c r="S394" s="7">
        <f t="shared" si="228"/>
        <v>25923</v>
      </c>
      <c r="T394" s="7">
        <f t="shared" si="228"/>
        <v>33909</v>
      </c>
      <c r="U394" s="7">
        <f t="shared" si="228"/>
        <v>39723</v>
      </c>
      <c r="V394" s="7" t="str">
        <f t="shared" si="228"/>
        <v>…</v>
      </c>
      <c r="W394" s="7" t="str">
        <f t="shared" si="228"/>
        <v>…</v>
      </c>
      <c r="X394" s="7" t="str">
        <f t="shared" si="228"/>
        <v>…</v>
      </c>
      <c r="Y394" s="7" t="str">
        <f t="shared" si="228"/>
        <v>…</v>
      </c>
      <c r="Z394" s="7"/>
      <c r="AD394" s="24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Z394" s="5"/>
      <c r="BK394" s="22"/>
      <c r="BL394" s="23"/>
      <c r="BM394" s="22"/>
      <c r="BN394" s="22"/>
      <c r="BO394" s="22"/>
      <c r="BP394" s="22"/>
      <c r="BQ394" s="22"/>
      <c r="BR394" s="24"/>
    </row>
    <row r="395" spans="1:72" hidden="1" outlineLevel="1">
      <c r="B395" s="5" t="s">
        <v>276</v>
      </c>
      <c r="C395" s="44" t="s">
        <v>154</v>
      </c>
      <c r="D395" s="16">
        <v>10221</v>
      </c>
      <c r="E395" s="16">
        <v>7963</v>
      </c>
      <c r="F395" s="16">
        <v>9367</v>
      </c>
      <c r="G395" s="16">
        <v>10112</v>
      </c>
      <c r="H395" s="16">
        <v>9474</v>
      </c>
      <c r="I395" s="16">
        <v>20539</v>
      </c>
      <c r="J395" s="16">
        <v>18670</v>
      </c>
      <c r="K395" s="16">
        <v>18291</v>
      </c>
      <c r="L395" s="16">
        <v>18488</v>
      </c>
      <c r="M395" s="16">
        <v>23178</v>
      </c>
      <c r="N395" s="16">
        <v>19123</v>
      </c>
      <c r="O395" s="16">
        <v>20871</v>
      </c>
      <c r="P395" s="16">
        <v>19265</v>
      </c>
      <c r="Q395" s="16">
        <v>18457</v>
      </c>
      <c r="R395" s="16">
        <v>28938</v>
      </c>
      <c r="S395" s="16">
        <v>25923</v>
      </c>
      <c r="T395" s="16">
        <v>33909</v>
      </c>
      <c r="U395" s="16">
        <v>39723</v>
      </c>
      <c r="V395" s="16" t="s">
        <v>289</v>
      </c>
      <c r="W395" s="16"/>
      <c r="X395" s="16"/>
      <c r="Y395" s="16"/>
      <c r="Z395" s="16"/>
      <c r="AA395" s="16"/>
      <c r="AD395" s="24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16"/>
      <c r="AZ395" s="5"/>
      <c r="BK395" s="22"/>
      <c r="BL395" s="23"/>
      <c r="BM395" s="22"/>
      <c r="BN395" s="22"/>
      <c r="BO395" s="22"/>
      <c r="BP395" s="22"/>
      <c r="BQ395" s="22"/>
      <c r="BR395" s="24"/>
    </row>
    <row r="396" spans="1:72" hidden="1" outlineLevel="1">
      <c r="B396" s="5" t="s">
        <v>277</v>
      </c>
      <c r="C396" s="44" t="s">
        <v>161</v>
      </c>
      <c r="D396" s="16" t="s">
        <v>289</v>
      </c>
      <c r="E396" s="16" t="s">
        <v>289</v>
      </c>
      <c r="F396" s="16" t="s">
        <v>289</v>
      </c>
      <c r="G396" s="16" t="s">
        <v>289</v>
      </c>
      <c r="H396" s="16">
        <v>9474</v>
      </c>
      <c r="I396" s="16">
        <v>20539</v>
      </c>
      <c r="J396" s="16">
        <v>18670</v>
      </c>
      <c r="K396" s="16">
        <v>18291</v>
      </c>
      <c r="L396" s="16">
        <v>18488</v>
      </c>
      <c r="M396" s="16">
        <v>23178</v>
      </c>
      <c r="N396" s="16">
        <v>19123</v>
      </c>
      <c r="O396" s="16">
        <v>20872</v>
      </c>
      <c r="P396" s="16">
        <v>19265</v>
      </c>
      <c r="Q396" s="16">
        <v>18457</v>
      </c>
      <c r="R396" s="16">
        <v>28938</v>
      </c>
      <c r="S396" s="16">
        <v>25923</v>
      </c>
      <c r="T396" s="16">
        <v>33909</v>
      </c>
      <c r="U396" s="16">
        <v>39723</v>
      </c>
      <c r="V396" s="16" t="s">
        <v>289</v>
      </c>
      <c r="W396" s="16"/>
      <c r="X396" s="16"/>
      <c r="Y396" s="16"/>
      <c r="Z396" s="16"/>
      <c r="AA396" s="16"/>
      <c r="AD396" s="24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16"/>
      <c r="AZ396" s="5"/>
      <c r="BK396" s="22"/>
      <c r="BL396" s="23"/>
      <c r="BM396" s="22"/>
      <c r="BN396" s="22"/>
      <c r="BO396" s="22"/>
      <c r="BP396" s="22"/>
      <c r="BQ396" s="22"/>
      <c r="BR396" s="24"/>
    </row>
    <row r="397" spans="1:72" hidden="1" outlineLevel="1">
      <c r="B397" s="5" t="s">
        <v>278</v>
      </c>
      <c r="C397" s="44" t="s">
        <v>163</v>
      </c>
      <c r="D397" s="16">
        <v>10221</v>
      </c>
      <c r="E397" s="16">
        <v>7963</v>
      </c>
      <c r="F397" s="16">
        <v>9367</v>
      </c>
      <c r="G397" s="16">
        <v>10112</v>
      </c>
      <c r="H397" s="16">
        <v>9474</v>
      </c>
      <c r="I397" s="16">
        <v>20539</v>
      </c>
      <c r="J397" s="16">
        <v>18670</v>
      </c>
      <c r="K397" s="16">
        <v>18291</v>
      </c>
      <c r="L397" s="16">
        <v>18488</v>
      </c>
      <c r="M397" s="16">
        <v>23178</v>
      </c>
      <c r="N397" s="16">
        <v>19123</v>
      </c>
      <c r="O397" s="16">
        <v>20872</v>
      </c>
      <c r="P397" s="16">
        <v>19265</v>
      </c>
      <c r="Q397" s="16">
        <v>18457</v>
      </c>
      <c r="R397" s="16">
        <v>28938</v>
      </c>
      <c r="S397" s="16">
        <v>25923</v>
      </c>
      <c r="T397" s="16">
        <v>33910</v>
      </c>
      <c r="U397" s="16">
        <v>39724</v>
      </c>
      <c r="V397" s="16" t="s">
        <v>289</v>
      </c>
      <c r="W397" s="16"/>
      <c r="X397" s="16"/>
      <c r="Y397" s="16"/>
      <c r="Z397" s="16"/>
      <c r="AA397" s="16"/>
      <c r="AD397" s="24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16"/>
      <c r="AZ397" s="5"/>
      <c r="BK397" s="22"/>
      <c r="BL397" s="23"/>
      <c r="BM397" s="22"/>
      <c r="BN397" s="22"/>
      <c r="BO397" s="22"/>
      <c r="BP397" s="22"/>
      <c r="BQ397" s="22"/>
      <c r="BR397" s="24"/>
    </row>
    <row r="398" spans="1:72" hidden="1" outlineLevel="1"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Z398" s="5"/>
      <c r="BK398" s="22"/>
      <c r="BL398" s="23"/>
      <c r="BM398" s="22"/>
      <c r="BN398" s="22"/>
      <c r="BO398" s="22"/>
      <c r="BP398" s="22"/>
      <c r="BQ398" s="22"/>
      <c r="BR398" s="24"/>
    </row>
    <row r="399" spans="1:72" ht="13.15" collapsed="1">
      <c r="B399" s="38"/>
      <c r="C399" s="9" t="s">
        <v>247</v>
      </c>
      <c r="D399" s="14">
        <f t="shared" ref="D399:Y399" si="229">IF(D11="yes",SUM(D400:D407),"…")</f>
        <v>0</v>
      </c>
      <c r="E399" s="14">
        <f t="shared" si="229"/>
        <v>0</v>
      </c>
      <c r="F399" s="14">
        <f t="shared" si="229"/>
        <v>0</v>
      </c>
      <c r="G399" s="14">
        <f t="shared" si="229"/>
        <v>0</v>
      </c>
      <c r="H399" s="14">
        <f t="shared" si="229"/>
        <v>0</v>
      </c>
      <c r="I399" s="14">
        <f t="shared" si="229"/>
        <v>0</v>
      </c>
      <c r="J399" s="14">
        <f t="shared" si="229"/>
        <v>0</v>
      </c>
      <c r="K399" s="14">
        <f t="shared" si="229"/>
        <v>0</v>
      </c>
      <c r="L399" s="14">
        <f t="shared" si="229"/>
        <v>0</v>
      </c>
      <c r="M399" s="14">
        <f t="shared" si="229"/>
        <v>0</v>
      </c>
      <c r="N399" s="14">
        <f t="shared" si="229"/>
        <v>0</v>
      </c>
      <c r="O399" s="14">
        <f t="shared" si="229"/>
        <v>63184</v>
      </c>
      <c r="P399" s="14">
        <f t="shared" si="229"/>
        <v>70411</v>
      </c>
      <c r="Q399" s="14">
        <f t="shared" si="229"/>
        <v>75501</v>
      </c>
      <c r="R399" s="14">
        <f t="shared" si="229"/>
        <v>81300</v>
      </c>
      <c r="S399" s="14">
        <f t="shared" si="229"/>
        <v>2722</v>
      </c>
      <c r="T399" s="14">
        <f t="shared" si="229"/>
        <v>2866</v>
      </c>
      <c r="U399" s="14">
        <f t="shared" si="229"/>
        <v>2895</v>
      </c>
      <c r="V399" s="14" t="str">
        <f t="shared" si="229"/>
        <v>…</v>
      </c>
      <c r="W399" s="14" t="str">
        <f t="shared" si="229"/>
        <v>…</v>
      </c>
      <c r="X399" s="14" t="str">
        <f t="shared" si="229"/>
        <v>…</v>
      </c>
      <c r="Y399" s="14" t="str">
        <f t="shared" si="229"/>
        <v>…</v>
      </c>
      <c r="Z399" s="14"/>
      <c r="AA399" s="14"/>
      <c r="AB399" s="14"/>
      <c r="AC399" s="14"/>
      <c r="AD399" s="24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14"/>
      <c r="AZ399" s="5"/>
      <c r="BJ399" s="24"/>
      <c r="BK399" s="22"/>
      <c r="BL399" s="23"/>
      <c r="BM399" s="22"/>
      <c r="BN399" s="22"/>
      <c r="BO399" s="22"/>
      <c r="BP399" s="22"/>
      <c r="BQ399" s="22"/>
      <c r="BR399" s="24"/>
      <c r="BT399" s="33"/>
    </row>
    <row r="400" spans="1:72" s="33" customFormat="1" hidden="1" outlineLevel="1">
      <c r="A400" s="5"/>
      <c r="B400" s="5" t="s">
        <v>248</v>
      </c>
      <c r="C400" s="43" t="s">
        <v>154</v>
      </c>
      <c r="D400" s="16" t="s">
        <v>289</v>
      </c>
      <c r="E400" s="16" t="s">
        <v>289</v>
      </c>
      <c r="F400" s="16" t="s">
        <v>289</v>
      </c>
      <c r="G400" s="16" t="s">
        <v>289</v>
      </c>
      <c r="H400" s="16" t="s">
        <v>289</v>
      </c>
      <c r="I400" s="16" t="s">
        <v>289</v>
      </c>
      <c r="J400" s="16" t="s">
        <v>289</v>
      </c>
      <c r="K400" s="16" t="s">
        <v>289</v>
      </c>
      <c r="L400" s="16" t="s">
        <v>289</v>
      </c>
      <c r="M400" s="16" t="s">
        <v>289</v>
      </c>
      <c r="N400" s="16" t="s">
        <v>289</v>
      </c>
      <c r="O400" s="16" t="s">
        <v>289</v>
      </c>
      <c r="P400" s="16">
        <v>2009</v>
      </c>
      <c r="Q400" s="16">
        <v>2252</v>
      </c>
      <c r="R400" s="16">
        <v>2608</v>
      </c>
      <c r="S400" s="16">
        <v>2722</v>
      </c>
      <c r="T400" s="16">
        <v>2866</v>
      </c>
      <c r="U400" s="16">
        <v>2895</v>
      </c>
      <c r="V400" s="16" t="s">
        <v>289</v>
      </c>
      <c r="W400" s="16"/>
      <c r="X400" s="16"/>
      <c r="Y400" s="16"/>
      <c r="Z400" s="16"/>
      <c r="AA400" s="16"/>
      <c r="AB400" s="25"/>
      <c r="AC400" s="25"/>
      <c r="AD400" s="24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16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24"/>
      <c r="BK400" s="22"/>
      <c r="BL400" s="23"/>
      <c r="BM400" s="22"/>
      <c r="BN400" s="22"/>
      <c r="BO400" s="22"/>
      <c r="BP400" s="22"/>
      <c r="BQ400" s="22"/>
      <c r="BR400" s="24"/>
      <c r="BS400" s="5"/>
    </row>
    <row r="401" spans="1:71" hidden="1" outlineLevel="1">
      <c r="B401" s="5" t="s">
        <v>1713</v>
      </c>
      <c r="C401" s="43" t="s">
        <v>154</v>
      </c>
      <c r="D401" s="16" t="s">
        <v>289</v>
      </c>
      <c r="E401" s="16" t="s">
        <v>289</v>
      </c>
      <c r="F401" s="16" t="s">
        <v>289</v>
      </c>
      <c r="G401" s="16" t="s">
        <v>289</v>
      </c>
      <c r="H401" s="16" t="s">
        <v>289</v>
      </c>
      <c r="I401" s="16" t="s">
        <v>289</v>
      </c>
      <c r="J401" s="16" t="s">
        <v>289</v>
      </c>
      <c r="K401" s="16" t="s">
        <v>289</v>
      </c>
      <c r="L401" s="16" t="s">
        <v>289</v>
      </c>
      <c r="M401" s="16" t="s">
        <v>289</v>
      </c>
      <c r="N401" s="16" t="s">
        <v>289</v>
      </c>
      <c r="O401" s="16" t="s">
        <v>289</v>
      </c>
      <c r="P401" s="20" t="s">
        <v>289</v>
      </c>
      <c r="Q401" s="20" t="s">
        <v>289</v>
      </c>
      <c r="R401" s="20" t="s">
        <v>289</v>
      </c>
      <c r="S401" s="20" t="s">
        <v>289</v>
      </c>
      <c r="T401" s="20" t="s">
        <v>289</v>
      </c>
      <c r="U401" s="20" t="s">
        <v>289</v>
      </c>
      <c r="V401" s="20" t="s">
        <v>289</v>
      </c>
      <c r="AD401" s="24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Z401" s="5"/>
    </row>
    <row r="402" spans="1:71" s="33" customFormat="1" hidden="1" outlineLevel="1">
      <c r="A402" s="5"/>
      <c r="B402" s="5" t="s">
        <v>249</v>
      </c>
      <c r="C402" s="43" t="s">
        <v>154</v>
      </c>
      <c r="D402" s="16" t="s">
        <v>289</v>
      </c>
      <c r="E402" s="16" t="s">
        <v>289</v>
      </c>
      <c r="F402" s="16" t="s">
        <v>289</v>
      </c>
      <c r="G402" s="16" t="s">
        <v>289</v>
      </c>
      <c r="H402" s="16" t="s">
        <v>289</v>
      </c>
      <c r="I402" s="16" t="s">
        <v>289</v>
      </c>
      <c r="J402" s="16" t="s">
        <v>289</v>
      </c>
      <c r="K402" s="16" t="s">
        <v>289</v>
      </c>
      <c r="L402" s="16" t="s">
        <v>289</v>
      </c>
      <c r="M402" s="16" t="s">
        <v>289</v>
      </c>
      <c r="N402" s="16" t="s">
        <v>289</v>
      </c>
      <c r="O402" s="16" t="s">
        <v>289</v>
      </c>
      <c r="P402" s="16" t="s">
        <v>289</v>
      </c>
      <c r="Q402" s="16" t="s">
        <v>289</v>
      </c>
      <c r="R402" s="16" t="s">
        <v>289</v>
      </c>
      <c r="S402" s="16" t="s">
        <v>289</v>
      </c>
      <c r="T402" s="16" t="s">
        <v>289</v>
      </c>
      <c r="U402" s="16" t="s">
        <v>289</v>
      </c>
      <c r="V402" s="16" t="s">
        <v>289</v>
      </c>
      <c r="W402" s="16"/>
      <c r="X402" s="16"/>
      <c r="Y402" s="16"/>
      <c r="Z402" s="16"/>
      <c r="AA402" s="16"/>
      <c r="AB402" s="25"/>
      <c r="AC402" s="25"/>
      <c r="AD402" s="24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16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24"/>
      <c r="BK402" s="22"/>
      <c r="BL402" s="23"/>
      <c r="BM402" s="22"/>
      <c r="BN402" s="22"/>
      <c r="BO402" s="22"/>
      <c r="BP402" s="22"/>
      <c r="BQ402" s="22"/>
      <c r="BR402" s="24"/>
      <c r="BS402" s="5"/>
    </row>
    <row r="403" spans="1:71" s="33" customFormat="1" hidden="1" outlineLevel="1">
      <c r="A403" s="5"/>
      <c r="B403" s="5" t="s">
        <v>399</v>
      </c>
      <c r="C403" s="43" t="s">
        <v>154</v>
      </c>
      <c r="D403" s="16" t="s">
        <v>289</v>
      </c>
      <c r="E403" s="16" t="s">
        <v>289</v>
      </c>
      <c r="F403" s="16" t="s">
        <v>289</v>
      </c>
      <c r="G403" s="16" t="s">
        <v>289</v>
      </c>
      <c r="H403" s="16" t="s">
        <v>289</v>
      </c>
      <c r="I403" s="16" t="s">
        <v>289</v>
      </c>
      <c r="J403" s="16" t="s">
        <v>289</v>
      </c>
      <c r="K403" s="16" t="s">
        <v>289</v>
      </c>
      <c r="L403" s="16" t="s">
        <v>289</v>
      </c>
      <c r="M403" s="16" t="s">
        <v>289</v>
      </c>
      <c r="N403" s="16" t="s">
        <v>289</v>
      </c>
      <c r="O403" s="16" t="s">
        <v>289</v>
      </c>
      <c r="P403" s="16" t="s">
        <v>289</v>
      </c>
      <c r="Q403" s="16" t="s">
        <v>289</v>
      </c>
      <c r="R403" s="16" t="s">
        <v>289</v>
      </c>
      <c r="S403" s="16" t="s">
        <v>289</v>
      </c>
      <c r="T403" s="16" t="s">
        <v>289</v>
      </c>
      <c r="U403" s="16" t="s">
        <v>289</v>
      </c>
      <c r="V403" s="16" t="s">
        <v>289</v>
      </c>
      <c r="W403" s="16"/>
      <c r="X403" s="16"/>
      <c r="Y403" s="16"/>
      <c r="Z403" s="16"/>
      <c r="AA403" s="16"/>
      <c r="AB403" s="25"/>
      <c r="AC403" s="25"/>
      <c r="AD403" s="24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16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24"/>
      <c r="BK403" s="22"/>
      <c r="BL403" s="23"/>
      <c r="BM403" s="22"/>
      <c r="BN403" s="22"/>
      <c r="BO403" s="22"/>
      <c r="BP403" s="22"/>
      <c r="BQ403" s="22"/>
      <c r="BR403" s="24"/>
      <c r="BS403" s="5"/>
    </row>
    <row r="404" spans="1:71" s="33" customFormat="1" hidden="1" outlineLevel="1">
      <c r="A404" s="5"/>
      <c r="B404" s="5" t="s">
        <v>250</v>
      </c>
      <c r="C404" s="43" t="s">
        <v>154</v>
      </c>
      <c r="D404" s="16" t="s">
        <v>289</v>
      </c>
      <c r="E404" s="16" t="s">
        <v>289</v>
      </c>
      <c r="F404" s="16" t="s">
        <v>289</v>
      </c>
      <c r="G404" s="16" t="s">
        <v>289</v>
      </c>
      <c r="H404" s="16" t="s">
        <v>289</v>
      </c>
      <c r="I404" s="16" t="s">
        <v>289</v>
      </c>
      <c r="J404" s="16" t="s">
        <v>289</v>
      </c>
      <c r="K404" s="16" t="s">
        <v>289</v>
      </c>
      <c r="L404" s="16" t="s">
        <v>289</v>
      </c>
      <c r="M404" s="16" t="s">
        <v>289</v>
      </c>
      <c r="N404" s="16" t="s">
        <v>289</v>
      </c>
      <c r="O404" s="16" t="s">
        <v>289</v>
      </c>
      <c r="P404" s="16" t="s">
        <v>289</v>
      </c>
      <c r="Q404" s="16" t="s">
        <v>289</v>
      </c>
      <c r="R404" s="16" t="s">
        <v>289</v>
      </c>
      <c r="S404" s="16" t="s">
        <v>289</v>
      </c>
      <c r="T404" s="16" t="s">
        <v>289</v>
      </c>
      <c r="U404" s="16" t="s">
        <v>289</v>
      </c>
      <c r="V404" s="16" t="s">
        <v>289</v>
      </c>
      <c r="W404" s="16"/>
      <c r="X404" s="16"/>
      <c r="Y404" s="16"/>
      <c r="Z404" s="16"/>
      <c r="AA404" s="16"/>
      <c r="AB404" s="25"/>
      <c r="AC404" s="25"/>
      <c r="AD404" s="24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16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24"/>
      <c r="BK404" s="22"/>
      <c r="BL404" s="23"/>
      <c r="BM404" s="22"/>
      <c r="BN404" s="22"/>
      <c r="BO404" s="22"/>
      <c r="BP404" s="22"/>
      <c r="BQ404" s="22"/>
      <c r="BR404" s="24"/>
      <c r="BS404" s="5"/>
    </row>
    <row r="405" spans="1:71" s="33" customFormat="1" hidden="1" outlineLevel="1">
      <c r="A405" s="5"/>
      <c r="B405" s="5" t="s">
        <v>2140</v>
      </c>
      <c r="C405" s="43" t="s">
        <v>154</v>
      </c>
      <c r="D405" s="16" t="s">
        <v>289</v>
      </c>
      <c r="E405" s="16" t="s">
        <v>289</v>
      </c>
      <c r="F405" s="16" t="s">
        <v>289</v>
      </c>
      <c r="G405" s="16" t="s">
        <v>289</v>
      </c>
      <c r="H405" s="16" t="s">
        <v>289</v>
      </c>
      <c r="I405" s="16" t="s">
        <v>289</v>
      </c>
      <c r="J405" s="16" t="s">
        <v>289</v>
      </c>
      <c r="K405" s="16" t="s">
        <v>289</v>
      </c>
      <c r="L405" s="16" t="s">
        <v>289</v>
      </c>
      <c r="M405" s="16" t="s">
        <v>289</v>
      </c>
      <c r="N405" s="16" t="s">
        <v>289</v>
      </c>
      <c r="O405" s="16">
        <v>63184</v>
      </c>
      <c r="P405" s="16">
        <v>68402</v>
      </c>
      <c r="Q405" s="16">
        <v>73249</v>
      </c>
      <c r="R405" s="16">
        <v>78692</v>
      </c>
      <c r="S405" s="16" t="s">
        <v>289</v>
      </c>
      <c r="T405" s="16" t="s">
        <v>289</v>
      </c>
      <c r="U405" s="16" t="s">
        <v>289</v>
      </c>
      <c r="V405" s="16" t="s">
        <v>289</v>
      </c>
      <c r="W405" s="16"/>
      <c r="X405" s="16"/>
      <c r="Y405" s="16"/>
      <c r="Z405" s="16"/>
      <c r="AA405" s="16"/>
      <c r="AB405" s="25"/>
      <c r="AC405" s="25"/>
      <c r="AD405" s="24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16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24"/>
      <c r="BK405" s="22"/>
      <c r="BL405" s="23"/>
      <c r="BM405" s="22"/>
      <c r="BN405" s="22"/>
      <c r="BO405" s="22"/>
      <c r="BP405" s="22"/>
      <c r="BQ405" s="22"/>
      <c r="BR405" s="24"/>
      <c r="BS405" s="5"/>
    </row>
    <row r="406" spans="1:71" s="33" customFormat="1" hidden="1" outlineLevel="1">
      <c r="A406" s="5"/>
      <c r="B406" s="5" t="s">
        <v>399</v>
      </c>
      <c r="C406" s="43" t="s">
        <v>154</v>
      </c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6"/>
      <c r="P406" s="16" t="s">
        <v>289</v>
      </c>
      <c r="Q406" s="16"/>
      <c r="R406" s="16"/>
      <c r="S406" s="16"/>
      <c r="T406" s="16"/>
      <c r="U406" s="16"/>
      <c r="V406" s="16"/>
      <c r="W406" s="16"/>
      <c r="X406" s="16"/>
      <c r="Y406" s="16"/>
      <c r="Z406" s="16"/>
      <c r="AA406" s="16"/>
      <c r="AB406" s="25"/>
      <c r="AC406" s="25"/>
      <c r="AD406" s="24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16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24"/>
      <c r="BK406" s="22"/>
      <c r="BL406" s="23"/>
      <c r="BM406" s="22"/>
      <c r="BN406" s="22"/>
      <c r="BO406" s="22"/>
      <c r="BP406" s="22"/>
      <c r="BQ406" s="22"/>
      <c r="BR406" s="24"/>
      <c r="BS406" s="5"/>
    </row>
    <row r="407" spans="1:71" s="33" customFormat="1" hidden="1" outlineLevel="1">
      <c r="A407" s="5"/>
      <c r="B407" s="5" t="s">
        <v>407</v>
      </c>
      <c r="C407" s="43" t="s">
        <v>154</v>
      </c>
      <c r="D407" s="16" t="s">
        <v>289</v>
      </c>
      <c r="E407" s="16" t="s">
        <v>289</v>
      </c>
      <c r="F407" s="16" t="s">
        <v>289</v>
      </c>
      <c r="G407" s="16" t="s">
        <v>289</v>
      </c>
      <c r="H407" s="16" t="s">
        <v>289</v>
      </c>
      <c r="I407" s="16" t="s">
        <v>289</v>
      </c>
      <c r="J407" s="16" t="s">
        <v>289</v>
      </c>
      <c r="K407" s="16" t="s">
        <v>289</v>
      </c>
      <c r="L407" s="16" t="s">
        <v>289</v>
      </c>
      <c r="M407" s="16" t="s">
        <v>289</v>
      </c>
      <c r="N407" s="16" t="s">
        <v>289</v>
      </c>
      <c r="O407" s="16" t="s">
        <v>289</v>
      </c>
      <c r="P407" s="16" t="s">
        <v>289</v>
      </c>
      <c r="Q407" s="16" t="s">
        <v>289</v>
      </c>
      <c r="R407" s="16" t="s">
        <v>289</v>
      </c>
      <c r="S407" s="16" t="s">
        <v>289</v>
      </c>
      <c r="T407" s="16" t="s">
        <v>289</v>
      </c>
      <c r="U407" s="16" t="s">
        <v>289</v>
      </c>
      <c r="V407" s="16" t="s">
        <v>289</v>
      </c>
      <c r="W407" s="16"/>
      <c r="X407" s="16"/>
      <c r="Y407" s="16"/>
      <c r="Z407" s="16"/>
      <c r="AA407" s="16"/>
      <c r="AB407" s="25"/>
      <c r="AC407" s="25"/>
      <c r="AD407" s="24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16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24"/>
      <c r="BK407" s="22"/>
      <c r="BL407" s="23"/>
      <c r="BM407" s="22"/>
      <c r="BN407" s="22"/>
      <c r="BO407" s="22"/>
      <c r="BP407" s="22"/>
      <c r="BQ407" s="22"/>
      <c r="BR407" s="24"/>
      <c r="BS407" s="5"/>
    </row>
    <row r="408" spans="1:71" s="33" customFormat="1" hidden="1" outlineLevel="1">
      <c r="A408" s="5"/>
      <c r="B408" s="5"/>
      <c r="C408" s="43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25"/>
      <c r="P408" s="25"/>
      <c r="Q408" s="25"/>
      <c r="R408" s="25"/>
      <c r="S408" s="25"/>
      <c r="T408" s="25"/>
      <c r="U408" s="25"/>
      <c r="V408" s="25"/>
      <c r="W408" s="25"/>
      <c r="X408" s="25"/>
      <c r="Y408" s="25"/>
      <c r="Z408" s="25"/>
      <c r="AA408" s="25"/>
      <c r="AB408" s="25"/>
      <c r="AC408" s="25"/>
      <c r="AD408" s="24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2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24"/>
      <c r="BK408" s="22"/>
      <c r="BL408" s="23"/>
      <c r="BM408" s="22"/>
      <c r="BN408" s="22"/>
      <c r="BO408" s="22"/>
      <c r="BP408" s="22"/>
      <c r="BQ408" s="22"/>
      <c r="BR408" s="24"/>
      <c r="BS408" s="5"/>
    </row>
    <row r="409" spans="1:71" s="33" customFormat="1" ht="13.15" collapsed="1">
      <c r="A409" s="5"/>
      <c r="B409" s="5"/>
      <c r="C409" s="9" t="s">
        <v>258</v>
      </c>
      <c r="D409" s="14">
        <f t="shared" ref="D409:Y409" si="230">IF(D11="no","…",IF(ISNUMBER(D410),D410,IF(ISNUMBER(D411),D411,0)))</f>
        <v>2687</v>
      </c>
      <c r="E409" s="14">
        <f t="shared" si="230"/>
        <v>2872</v>
      </c>
      <c r="F409" s="14">
        <f t="shared" si="230"/>
        <v>3038</v>
      </c>
      <c r="G409" s="14">
        <f t="shared" si="230"/>
        <v>3109</v>
      </c>
      <c r="H409" s="14">
        <f t="shared" si="230"/>
        <v>3344</v>
      </c>
      <c r="I409" s="14">
        <f t="shared" si="230"/>
        <v>3013</v>
      </c>
      <c r="J409" s="14">
        <f t="shared" si="230"/>
        <v>4248</v>
      </c>
      <c r="K409" s="14">
        <f t="shared" si="230"/>
        <v>6333</v>
      </c>
      <c r="L409" s="14">
        <f t="shared" si="230"/>
        <v>7836</v>
      </c>
      <c r="M409" s="14">
        <f t="shared" si="230"/>
        <v>5622</v>
      </c>
      <c r="N409" s="14">
        <f t="shared" si="230"/>
        <v>5878</v>
      </c>
      <c r="O409" s="14">
        <f t="shared" si="230"/>
        <v>8026</v>
      </c>
      <c r="P409" s="14">
        <f t="shared" si="230"/>
        <v>9756</v>
      </c>
      <c r="Q409" s="14">
        <f t="shared" si="230"/>
        <v>9810</v>
      </c>
      <c r="R409" s="14">
        <f t="shared" si="230"/>
        <v>10131</v>
      </c>
      <c r="S409" s="14">
        <f t="shared" si="230"/>
        <v>13106</v>
      </c>
      <c r="T409" s="14">
        <f t="shared" si="230"/>
        <v>13486</v>
      </c>
      <c r="U409" s="14">
        <f t="shared" si="230"/>
        <v>13393</v>
      </c>
      <c r="V409" s="14" t="str">
        <f t="shared" si="230"/>
        <v>…</v>
      </c>
      <c r="W409" s="14" t="str">
        <f t="shared" si="230"/>
        <v>…</v>
      </c>
      <c r="X409" s="14" t="str">
        <f t="shared" si="230"/>
        <v>…</v>
      </c>
      <c r="Y409" s="14" t="str">
        <f t="shared" si="230"/>
        <v>…</v>
      </c>
      <c r="Z409" s="14"/>
      <c r="AA409" s="14"/>
      <c r="AB409" s="14"/>
      <c r="AC409" s="14"/>
      <c r="AD409" s="24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14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24"/>
      <c r="BK409" s="22"/>
      <c r="BL409" s="23"/>
      <c r="BM409" s="22"/>
      <c r="BN409" s="22"/>
      <c r="BO409" s="22"/>
      <c r="BP409" s="22"/>
      <c r="BQ409" s="22"/>
      <c r="BR409" s="24"/>
      <c r="BS409" s="5"/>
    </row>
    <row r="410" spans="1:71" s="33" customFormat="1" hidden="1" outlineLevel="1">
      <c r="A410" s="5"/>
      <c r="B410" s="5" t="s">
        <v>259</v>
      </c>
      <c r="C410" s="38" t="s">
        <v>154</v>
      </c>
      <c r="D410" s="16" t="s">
        <v>289</v>
      </c>
      <c r="E410" s="16" t="s">
        <v>289</v>
      </c>
      <c r="F410" s="16" t="s">
        <v>289</v>
      </c>
      <c r="G410" s="16" t="s">
        <v>289</v>
      </c>
      <c r="H410" s="16" t="s">
        <v>289</v>
      </c>
      <c r="I410" s="16" t="s">
        <v>289</v>
      </c>
      <c r="J410" s="16" t="s">
        <v>289</v>
      </c>
      <c r="K410" s="16" t="s">
        <v>289</v>
      </c>
      <c r="L410" s="16" t="s">
        <v>289</v>
      </c>
      <c r="M410" s="16" t="s">
        <v>289</v>
      </c>
      <c r="N410" s="16" t="s">
        <v>289</v>
      </c>
      <c r="O410" s="16" t="s">
        <v>289</v>
      </c>
      <c r="P410" s="16" t="s">
        <v>289</v>
      </c>
      <c r="Q410" s="16" t="s">
        <v>289</v>
      </c>
      <c r="R410" s="16" t="s">
        <v>289</v>
      </c>
      <c r="S410" s="16" t="s">
        <v>289</v>
      </c>
      <c r="T410" s="16" t="s">
        <v>289</v>
      </c>
      <c r="U410" s="16" t="s">
        <v>289</v>
      </c>
      <c r="V410" s="16" t="s">
        <v>289</v>
      </c>
      <c r="W410" s="16"/>
      <c r="X410" s="16"/>
      <c r="Y410" s="16"/>
      <c r="Z410" s="16"/>
      <c r="AA410" s="16"/>
      <c r="AB410" s="25"/>
      <c r="AC410" s="25"/>
      <c r="AD410" s="24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16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24"/>
      <c r="BK410" s="22"/>
      <c r="BL410" s="23"/>
      <c r="BM410" s="22"/>
      <c r="BN410" s="22"/>
      <c r="BO410" s="22"/>
      <c r="BP410" s="22"/>
      <c r="BQ410" s="22"/>
      <c r="BR410" s="24"/>
      <c r="BS410" s="5"/>
    </row>
    <row r="411" spans="1:71" s="33" customFormat="1" hidden="1" outlineLevel="1">
      <c r="A411" s="5"/>
      <c r="B411" s="5" t="s">
        <v>260</v>
      </c>
      <c r="C411" s="38" t="s">
        <v>161</v>
      </c>
      <c r="D411" s="16">
        <v>2687</v>
      </c>
      <c r="E411" s="16">
        <v>2872</v>
      </c>
      <c r="F411" s="16">
        <v>3038</v>
      </c>
      <c r="G411" s="16">
        <v>3109</v>
      </c>
      <c r="H411" s="16">
        <v>3344</v>
      </c>
      <c r="I411" s="16">
        <v>3013</v>
      </c>
      <c r="J411" s="16">
        <v>4248</v>
      </c>
      <c r="K411" s="16">
        <v>6333</v>
      </c>
      <c r="L411" s="16">
        <v>7836</v>
      </c>
      <c r="M411" s="16">
        <v>5622</v>
      </c>
      <c r="N411" s="16">
        <v>5878</v>
      </c>
      <c r="O411" s="16">
        <v>8026</v>
      </c>
      <c r="P411" s="16">
        <v>9756</v>
      </c>
      <c r="Q411" s="16">
        <v>9810</v>
      </c>
      <c r="R411" s="16">
        <v>10131</v>
      </c>
      <c r="S411" s="16">
        <v>13106</v>
      </c>
      <c r="T411" s="16">
        <v>13486</v>
      </c>
      <c r="U411" s="16">
        <v>13393</v>
      </c>
      <c r="V411" s="16" t="s">
        <v>289</v>
      </c>
      <c r="W411" s="16"/>
      <c r="X411" s="16"/>
      <c r="Y411" s="16"/>
      <c r="Z411" s="16"/>
      <c r="AA411" s="16"/>
      <c r="AB411" s="25"/>
      <c r="AC411" s="25"/>
      <c r="AD411" s="24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16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24"/>
      <c r="BK411" s="22"/>
      <c r="BL411" s="23"/>
      <c r="BM411" s="22"/>
      <c r="BN411" s="22"/>
      <c r="BO411" s="22"/>
      <c r="BP411" s="22"/>
      <c r="BQ411" s="22"/>
      <c r="BR411" s="24"/>
      <c r="BS411" s="5"/>
    </row>
    <row r="412" spans="1:71" s="33" customFormat="1" ht="13.15" collapsed="1">
      <c r="A412" s="5"/>
      <c r="B412" s="5"/>
      <c r="C412" s="9" t="s">
        <v>261</v>
      </c>
      <c r="D412" s="14">
        <f t="shared" ref="D412:Y412" si="231">IF(D11="no","…",IF(ISNUMBER(D413),D413,IF(ISNUMBER(D414),D414,IF(ISNUMBER(D415),D415,IF(ISNUMBER(D416),D416,0)))))</f>
        <v>4221</v>
      </c>
      <c r="E412" s="14">
        <f t="shared" si="231"/>
        <v>4198</v>
      </c>
      <c r="F412" s="14">
        <f t="shared" si="231"/>
        <v>6876</v>
      </c>
      <c r="G412" s="14">
        <f t="shared" si="231"/>
        <v>7795</v>
      </c>
      <c r="H412" s="14">
        <f t="shared" si="231"/>
        <v>6373</v>
      </c>
      <c r="I412" s="14">
        <f t="shared" si="231"/>
        <v>10385</v>
      </c>
      <c r="J412" s="14">
        <f t="shared" si="231"/>
        <v>13528</v>
      </c>
      <c r="K412" s="14">
        <f t="shared" si="231"/>
        <v>10249</v>
      </c>
      <c r="L412" s="14">
        <f t="shared" si="231"/>
        <v>7309</v>
      </c>
      <c r="M412" s="14">
        <f t="shared" si="231"/>
        <v>7934</v>
      </c>
      <c r="N412" s="14">
        <f t="shared" si="231"/>
        <v>9874</v>
      </c>
      <c r="O412" s="14">
        <f t="shared" si="231"/>
        <v>10904</v>
      </c>
      <c r="P412" s="14">
        <f t="shared" si="231"/>
        <v>8616</v>
      </c>
      <c r="Q412" s="14">
        <f t="shared" si="231"/>
        <v>8205</v>
      </c>
      <c r="R412" s="14">
        <f t="shared" si="231"/>
        <v>8434</v>
      </c>
      <c r="S412" s="14">
        <f t="shared" si="231"/>
        <v>8169</v>
      </c>
      <c r="T412" s="14">
        <f t="shared" si="231"/>
        <v>10080</v>
      </c>
      <c r="U412" s="14">
        <f t="shared" si="231"/>
        <v>12531</v>
      </c>
      <c r="V412" s="14" t="str">
        <f t="shared" si="231"/>
        <v>…</v>
      </c>
      <c r="W412" s="14" t="str">
        <f t="shared" si="231"/>
        <v>…</v>
      </c>
      <c r="X412" s="14" t="str">
        <f t="shared" si="231"/>
        <v>…</v>
      </c>
      <c r="Y412" s="14" t="str">
        <f t="shared" si="231"/>
        <v>…</v>
      </c>
      <c r="Z412" s="14"/>
      <c r="AA412" s="14"/>
      <c r="AB412" s="14"/>
      <c r="AC412" s="14"/>
      <c r="AD412" s="24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14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24"/>
      <c r="BK412" s="22"/>
      <c r="BL412" s="23"/>
      <c r="BM412" s="22"/>
      <c r="BN412" s="22"/>
      <c r="BO412" s="22"/>
      <c r="BP412" s="22"/>
      <c r="BQ412" s="22"/>
      <c r="BR412" s="24"/>
      <c r="BS412" s="5"/>
    </row>
    <row r="413" spans="1:71" s="33" customFormat="1" hidden="1" outlineLevel="1">
      <c r="A413" s="5"/>
      <c r="B413" s="5" t="s">
        <v>262</v>
      </c>
      <c r="C413" s="38" t="s">
        <v>154</v>
      </c>
      <c r="D413" s="16" t="s">
        <v>289</v>
      </c>
      <c r="E413" s="16" t="s">
        <v>289</v>
      </c>
      <c r="F413" s="16" t="s">
        <v>289</v>
      </c>
      <c r="G413" s="16" t="s">
        <v>289</v>
      </c>
      <c r="H413" s="16">
        <v>6373</v>
      </c>
      <c r="I413" s="16">
        <v>10385</v>
      </c>
      <c r="J413" s="16">
        <v>13528</v>
      </c>
      <c r="K413" s="16">
        <v>10249</v>
      </c>
      <c r="L413" s="16">
        <v>7309</v>
      </c>
      <c r="M413" s="16">
        <v>7934</v>
      </c>
      <c r="N413" s="16">
        <v>9874</v>
      </c>
      <c r="O413" s="16">
        <v>10904</v>
      </c>
      <c r="P413" s="16">
        <v>8616</v>
      </c>
      <c r="Q413" s="16">
        <v>8205</v>
      </c>
      <c r="R413" s="16">
        <v>8434</v>
      </c>
      <c r="S413" s="16">
        <v>8169</v>
      </c>
      <c r="T413" s="16">
        <v>10080</v>
      </c>
      <c r="U413" s="16">
        <v>12531</v>
      </c>
      <c r="V413" s="16" t="s">
        <v>289</v>
      </c>
      <c r="W413" s="16"/>
      <c r="X413" s="16"/>
      <c r="Y413" s="16"/>
      <c r="Z413" s="16"/>
      <c r="AA413" s="16"/>
      <c r="AB413" s="25"/>
      <c r="AC413" s="25"/>
      <c r="AD413" s="24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16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24"/>
      <c r="BK413" s="22"/>
      <c r="BL413" s="23"/>
      <c r="BM413" s="22"/>
      <c r="BN413" s="22"/>
      <c r="BO413" s="22"/>
      <c r="BP413" s="22"/>
      <c r="BQ413" s="22"/>
      <c r="BR413" s="24"/>
      <c r="BS413" s="5"/>
    </row>
    <row r="414" spans="1:71" s="33" customFormat="1" hidden="1" outlineLevel="1">
      <c r="A414" s="5"/>
      <c r="B414" s="5" t="s">
        <v>263</v>
      </c>
      <c r="C414" s="38" t="s">
        <v>161</v>
      </c>
      <c r="D414" s="16" t="s">
        <v>289</v>
      </c>
      <c r="E414" s="16" t="s">
        <v>289</v>
      </c>
      <c r="F414" s="16" t="s">
        <v>289</v>
      </c>
      <c r="G414" s="16" t="s">
        <v>289</v>
      </c>
      <c r="H414" s="16" t="s">
        <v>289</v>
      </c>
      <c r="I414" s="16" t="s">
        <v>289</v>
      </c>
      <c r="J414" s="16" t="s">
        <v>289</v>
      </c>
      <c r="K414" s="16" t="s">
        <v>289</v>
      </c>
      <c r="L414" s="16" t="s">
        <v>289</v>
      </c>
      <c r="M414" s="16" t="s">
        <v>289</v>
      </c>
      <c r="N414" s="16" t="s">
        <v>289</v>
      </c>
      <c r="O414" s="16" t="s">
        <v>289</v>
      </c>
      <c r="P414" s="16" t="s">
        <v>289</v>
      </c>
      <c r="Q414" s="16" t="s">
        <v>289</v>
      </c>
      <c r="R414" s="16" t="s">
        <v>289</v>
      </c>
      <c r="S414" s="16" t="s">
        <v>289</v>
      </c>
      <c r="T414" s="16" t="s">
        <v>289</v>
      </c>
      <c r="U414" s="16" t="s">
        <v>289</v>
      </c>
      <c r="V414" s="16" t="s">
        <v>289</v>
      </c>
      <c r="W414" s="16"/>
      <c r="X414" s="16"/>
      <c r="Y414" s="16"/>
      <c r="Z414" s="16"/>
      <c r="AA414" s="16"/>
      <c r="AB414" s="25"/>
      <c r="AC414" s="25"/>
      <c r="AD414" s="24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16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24"/>
      <c r="BK414" s="22"/>
      <c r="BL414" s="23"/>
      <c r="BM414" s="22"/>
      <c r="BN414" s="22"/>
      <c r="BO414" s="22"/>
      <c r="BP414" s="22"/>
      <c r="BQ414" s="22"/>
      <c r="BR414" s="24"/>
      <c r="BS414" s="5"/>
    </row>
    <row r="415" spans="1:71" s="33" customFormat="1" hidden="1" outlineLevel="1">
      <c r="A415" s="5"/>
      <c r="B415" s="5" t="s">
        <v>264</v>
      </c>
      <c r="C415" s="38" t="s">
        <v>163</v>
      </c>
      <c r="D415" s="16">
        <v>4221</v>
      </c>
      <c r="E415" s="16">
        <v>4198</v>
      </c>
      <c r="F415" s="16">
        <v>6876</v>
      </c>
      <c r="G415" s="16">
        <v>7795</v>
      </c>
      <c r="H415" s="16" t="s">
        <v>289</v>
      </c>
      <c r="I415" s="16" t="s">
        <v>289</v>
      </c>
      <c r="J415" s="16" t="s">
        <v>289</v>
      </c>
      <c r="K415" s="16" t="s">
        <v>289</v>
      </c>
      <c r="L415" s="16" t="s">
        <v>289</v>
      </c>
      <c r="M415" s="16" t="s">
        <v>289</v>
      </c>
      <c r="N415" s="16" t="s">
        <v>289</v>
      </c>
      <c r="O415" s="16" t="s">
        <v>289</v>
      </c>
      <c r="P415" s="16" t="s">
        <v>289</v>
      </c>
      <c r="Q415" s="16" t="s">
        <v>289</v>
      </c>
      <c r="R415" s="16" t="s">
        <v>289</v>
      </c>
      <c r="S415" s="16" t="s">
        <v>289</v>
      </c>
      <c r="T415" s="16" t="s">
        <v>289</v>
      </c>
      <c r="U415" s="16" t="s">
        <v>289</v>
      </c>
      <c r="V415" s="16" t="s">
        <v>289</v>
      </c>
      <c r="W415" s="16"/>
      <c r="X415" s="16"/>
      <c r="Y415" s="16"/>
      <c r="Z415" s="16"/>
      <c r="AA415" s="16"/>
      <c r="AB415" s="25"/>
      <c r="AC415" s="25"/>
      <c r="AD415" s="24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16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24"/>
      <c r="BK415" s="22"/>
      <c r="BL415" s="23"/>
      <c r="BM415" s="22"/>
      <c r="BN415" s="22"/>
      <c r="BO415" s="22"/>
      <c r="BP415" s="22"/>
      <c r="BQ415" s="22"/>
      <c r="BR415" s="24"/>
      <c r="BS415" s="5"/>
    </row>
    <row r="416" spans="1:71" s="33" customFormat="1" hidden="1" outlineLevel="1">
      <c r="A416" s="5"/>
      <c r="B416" s="5" t="s">
        <v>257</v>
      </c>
      <c r="C416" s="38" t="s">
        <v>165</v>
      </c>
      <c r="D416" s="16" t="s">
        <v>289</v>
      </c>
      <c r="E416" s="16" t="s">
        <v>289</v>
      </c>
      <c r="F416" s="16" t="s">
        <v>289</v>
      </c>
      <c r="G416" s="16" t="s">
        <v>289</v>
      </c>
      <c r="H416" s="16" t="s">
        <v>289</v>
      </c>
      <c r="I416" s="16" t="s">
        <v>289</v>
      </c>
      <c r="J416" s="16" t="s">
        <v>289</v>
      </c>
      <c r="K416" s="16" t="s">
        <v>289</v>
      </c>
      <c r="L416" s="16" t="s">
        <v>289</v>
      </c>
      <c r="M416" s="16" t="s">
        <v>289</v>
      </c>
      <c r="N416" s="16" t="s">
        <v>289</v>
      </c>
      <c r="O416" s="16" t="s">
        <v>289</v>
      </c>
      <c r="P416" s="16" t="s">
        <v>289</v>
      </c>
      <c r="Q416" s="16" t="s">
        <v>289</v>
      </c>
      <c r="R416" s="16" t="s">
        <v>289</v>
      </c>
      <c r="S416" s="16" t="s">
        <v>289</v>
      </c>
      <c r="T416" s="16" t="s">
        <v>289</v>
      </c>
      <c r="U416" s="16" t="s">
        <v>289</v>
      </c>
      <c r="V416" s="16" t="s">
        <v>289</v>
      </c>
      <c r="W416" s="16"/>
      <c r="X416" s="16"/>
      <c r="Y416" s="16"/>
      <c r="Z416" s="16"/>
      <c r="AA416" s="16"/>
      <c r="AB416" s="25"/>
      <c r="AC416" s="25"/>
      <c r="AD416" s="24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16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24"/>
      <c r="BK416" s="22"/>
      <c r="BL416" s="23"/>
      <c r="BM416" s="22"/>
      <c r="BN416" s="22"/>
      <c r="BO416" s="22"/>
      <c r="BP416" s="22"/>
      <c r="BQ416" s="22"/>
      <c r="BR416" s="24"/>
      <c r="BS416" s="5"/>
    </row>
    <row r="417" spans="1:72" s="33" customFormat="1" ht="13.15" collapsed="1">
      <c r="A417" s="5"/>
      <c r="B417" s="5"/>
      <c r="C417" s="9" t="s">
        <v>265</v>
      </c>
      <c r="D417" s="14">
        <f t="shared" ref="D417:Y417" si="232">IF(D11="no","…",IF(ISNUMBER(D419),D419,IF(ISNUMBER(D418),D418,0)))</f>
        <v>0</v>
      </c>
      <c r="E417" s="14">
        <f t="shared" si="232"/>
        <v>0</v>
      </c>
      <c r="F417" s="14">
        <f t="shared" si="232"/>
        <v>0</v>
      </c>
      <c r="G417" s="14">
        <f t="shared" si="232"/>
        <v>0</v>
      </c>
      <c r="H417" s="14">
        <f t="shared" si="232"/>
        <v>0</v>
      </c>
      <c r="I417" s="14">
        <f t="shared" si="232"/>
        <v>0</v>
      </c>
      <c r="J417" s="14">
        <f t="shared" si="232"/>
        <v>0</v>
      </c>
      <c r="K417" s="14">
        <f t="shared" si="232"/>
        <v>0</v>
      </c>
      <c r="L417" s="14">
        <f t="shared" si="232"/>
        <v>0</v>
      </c>
      <c r="M417" s="14">
        <f t="shared" si="232"/>
        <v>0</v>
      </c>
      <c r="N417" s="14">
        <f t="shared" si="232"/>
        <v>0</v>
      </c>
      <c r="O417" s="14">
        <f t="shared" si="232"/>
        <v>0</v>
      </c>
      <c r="P417" s="14">
        <f t="shared" si="232"/>
        <v>0</v>
      </c>
      <c r="Q417" s="14">
        <f t="shared" si="232"/>
        <v>0</v>
      </c>
      <c r="R417" s="14">
        <f t="shared" si="232"/>
        <v>0</v>
      </c>
      <c r="S417" s="14">
        <f t="shared" si="232"/>
        <v>0</v>
      </c>
      <c r="T417" s="14">
        <f t="shared" si="232"/>
        <v>0</v>
      </c>
      <c r="U417" s="14">
        <f t="shared" si="232"/>
        <v>0</v>
      </c>
      <c r="V417" s="14" t="str">
        <f t="shared" si="232"/>
        <v>…</v>
      </c>
      <c r="W417" s="14" t="str">
        <f t="shared" si="232"/>
        <v>…</v>
      </c>
      <c r="X417" s="14" t="str">
        <f t="shared" si="232"/>
        <v>…</v>
      </c>
      <c r="Y417" s="14" t="str">
        <f t="shared" si="232"/>
        <v>…</v>
      </c>
      <c r="Z417" s="14"/>
      <c r="AA417" s="14"/>
      <c r="AB417" s="14"/>
      <c r="AC417" s="14"/>
      <c r="AD417" s="24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14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24"/>
      <c r="BK417" s="22"/>
      <c r="BL417" s="23"/>
      <c r="BM417" s="22"/>
      <c r="BN417" s="22"/>
      <c r="BO417" s="22"/>
      <c r="BP417" s="22"/>
      <c r="BQ417" s="22"/>
      <c r="BR417" s="24"/>
      <c r="BS417" s="5"/>
    </row>
    <row r="418" spans="1:72" s="33" customFormat="1" hidden="1" outlineLevel="1">
      <c r="A418" s="5"/>
      <c r="B418" s="5" t="s">
        <v>266</v>
      </c>
      <c r="C418" s="38" t="s">
        <v>154</v>
      </c>
      <c r="D418" s="16" t="s">
        <v>289</v>
      </c>
      <c r="E418" s="16" t="s">
        <v>289</v>
      </c>
      <c r="F418" s="16" t="s">
        <v>289</v>
      </c>
      <c r="G418" s="16" t="s">
        <v>289</v>
      </c>
      <c r="H418" s="16" t="s">
        <v>289</v>
      </c>
      <c r="I418" s="16" t="s">
        <v>289</v>
      </c>
      <c r="J418" s="16" t="s">
        <v>289</v>
      </c>
      <c r="K418" s="16" t="s">
        <v>289</v>
      </c>
      <c r="L418" s="16" t="s">
        <v>289</v>
      </c>
      <c r="M418" s="16" t="s">
        <v>289</v>
      </c>
      <c r="N418" s="16" t="s">
        <v>289</v>
      </c>
      <c r="O418" s="16" t="s">
        <v>289</v>
      </c>
      <c r="P418" s="16" t="s">
        <v>289</v>
      </c>
      <c r="Q418" s="16" t="s">
        <v>289</v>
      </c>
      <c r="R418" s="16" t="s">
        <v>289</v>
      </c>
      <c r="S418" s="16" t="s">
        <v>289</v>
      </c>
      <c r="T418" s="16" t="s">
        <v>289</v>
      </c>
      <c r="U418" s="16" t="s">
        <v>289</v>
      </c>
      <c r="V418" s="16" t="s">
        <v>289</v>
      </c>
      <c r="W418" s="16"/>
      <c r="X418" s="16"/>
      <c r="Y418" s="16"/>
      <c r="Z418" s="16"/>
      <c r="AA418" s="16"/>
      <c r="AB418" s="25"/>
      <c r="AC418" s="25"/>
      <c r="AD418" s="24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16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24"/>
      <c r="BK418" s="22"/>
      <c r="BL418" s="23"/>
      <c r="BM418" s="22"/>
      <c r="BN418" s="22"/>
      <c r="BO418" s="22"/>
      <c r="BP418" s="22"/>
      <c r="BQ418" s="22"/>
      <c r="BR418" s="24"/>
      <c r="BS418" s="5"/>
    </row>
    <row r="419" spans="1:72" s="33" customFormat="1" hidden="1" outlineLevel="1">
      <c r="A419" s="5"/>
      <c r="B419" s="5"/>
      <c r="C419" s="38" t="s">
        <v>161</v>
      </c>
      <c r="D419" s="16"/>
      <c r="E419" s="16"/>
      <c r="F419" s="16"/>
      <c r="G419" s="16"/>
      <c r="H419" s="16"/>
      <c r="I419" s="16"/>
      <c r="J419" s="16"/>
      <c r="K419" s="16"/>
      <c r="L419" s="16"/>
      <c r="M419" s="16"/>
      <c r="N419" s="16"/>
      <c r="O419" s="16"/>
      <c r="P419" s="16"/>
      <c r="Q419" s="16"/>
      <c r="R419" s="16"/>
      <c r="S419" s="16"/>
      <c r="T419" s="16"/>
      <c r="U419" s="16"/>
      <c r="V419" s="16"/>
      <c r="W419" s="16"/>
      <c r="X419" s="16"/>
      <c r="Y419" s="16"/>
      <c r="Z419" s="16"/>
      <c r="AA419" s="16"/>
      <c r="AB419" s="25"/>
      <c r="AC419" s="25"/>
      <c r="AD419" s="24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16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24"/>
      <c r="BK419" s="22"/>
      <c r="BL419" s="23"/>
      <c r="BM419" s="22"/>
      <c r="BN419" s="22"/>
      <c r="BO419" s="22"/>
      <c r="BP419" s="22"/>
      <c r="BQ419" s="22"/>
      <c r="BR419" s="24"/>
      <c r="BS419" s="5"/>
    </row>
    <row r="420" spans="1:72" s="33" customFormat="1" ht="13.15" collapsed="1">
      <c r="A420" s="5"/>
      <c r="B420" s="5"/>
      <c r="C420" s="9" t="s">
        <v>208</v>
      </c>
      <c r="D420" s="14">
        <f t="shared" ref="D420:Y420" si="233">IF(D11="no","…",IF(ISNUMBER(D422),D422,IF(ISNUMBER(D421),D421,0)))</f>
        <v>0</v>
      </c>
      <c r="E420" s="14">
        <f t="shared" si="233"/>
        <v>0</v>
      </c>
      <c r="F420" s="14">
        <f t="shared" si="233"/>
        <v>0</v>
      </c>
      <c r="G420" s="14">
        <f t="shared" si="233"/>
        <v>0</v>
      </c>
      <c r="H420" s="14">
        <f t="shared" si="233"/>
        <v>0</v>
      </c>
      <c r="I420" s="14">
        <f t="shared" si="233"/>
        <v>0</v>
      </c>
      <c r="J420" s="14">
        <f t="shared" si="233"/>
        <v>0</v>
      </c>
      <c r="K420" s="14">
        <f t="shared" si="233"/>
        <v>0</v>
      </c>
      <c r="L420" s="14">
        <f t="shared" si="233"/>
        <v>0</v>
      </c>
      <c r="M420" s="14">
        <f t="shared" si="233"/>
        <v>0</v>
      </c>
      <c r="N420" s="14">
        <f t="shared" si="233"/>
        <v>0</v>
      </c>
      <c r="O420" s="14">
        <f t="shared" si="233"/>
        <v>0</v>
      </c>
      <c r="P420" s="14">
        <f t="shared" si="233"/>
        <v>0</v>
      </c>
      <c r="Q420" s="14">
        <f t="shared" si="233"/>
        <v>0</v>
      </c>
      <c r="R420" s="14">
        <f t="shared" si="233"/>
        <v>0</v>
      </c>
      <c r="S420" s="14">
        <f t="shared" si="233"/>
        <v>0</v>
      </c>
      <c r="T420" s="14">
        <f t="shared" si="233"/>
        <v>0</v>
      </c>
      <c r="U420" s="14">
        <f t="shared" si="233"/>
        <v>0</v>
      </c>
      <c r="V420" s="14" t="str">
        <f t="shared" si="233"/>
        <v>…</v>
      </c>
      <c r="W420" s="14" t="str">
        <f t="shared" si="233"/>
        <v>…</v>
      </c>
      <c r="X420" s="14" t="str">
        <f t="shared" si="233"/>
        <v>…</v>
      </c>
      <c r="Y420" s="14" t="str">
        <f t="shared" si="233"/>
        <v>…</v>
      </c>
      <c r="Z420" s="14"/>
      <c r="AA420" s="14"/>
      <c r="AB420" s="14"/>
      <c r="AC420" s="14"/>
      <c r="AD420" s="24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14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24"/>
      <c r="BK420" s="22"/>
      <c r="BL420" s="23"/>
      <c r="BM420" s="22"/>
      <c r="BN420" s="22"/>
      <c r="BO420" s="22"/>
      <c r="BP420" s="22"/>
      <c r="BQ420" s="22"/>
      <c r="BR420" s="24"/>
      <c r="BS420" s="5"/>
    </row>
    <row r="421" spans="1:72" s="33" customFormat="1" hidden="1" outlineLevel="1">
      <c r="A421" s="5"/>
      <c r="B421" s="5" t="s">
        <v>267</v>
      </c>
      <c r="C421" s="38" t="s">
        <v>154</v>
      </c>
      <c r="D421" s="16" t="s">
        <v>289</v>
      </c>
      <c r="E421" s="16" t="s">
        <v>289</v>
      </c>
      <c r="F421" s="16" t="s">
        <v>289</v>
      </c>
      <c r="G421" s="16" t="s">
        <v>289</v>
      </c>
      <c r="H421" s="16" t="s">
        <v>289</v>
      </c>
      <c r="I421" s="16" t="s">
        <v>289</v>
      </c>
      <c r="J421" s="16" t="s">
        <v>289</v>
      </c>
      <c r="K421" s="16" t="s">
        <v>289</v>
      </c>
      <c r="L421" s="16" t="s">
        <v>289</v>
      </c>
      <c r="M421" s="16" t="s">
        <v>289</v>
      </c>
      <c r="N421" s="16" t="s">
        <v>289</v>
      </c>
      <c r="O421" s="16" t="s">
        <v>289</v>
      </c>
      <c r="P421" s="16" t="s">
        <v>289</v>
      </c>
      <c r="Q421" s="16" t="s">
        <v>289</v>
      </c>
      <c r="R421" s="16" t="s">
        <v>289</v>
      </c>
      <c r="S421" s="16" t="s">
        <v>289</v>
      </c>
      <c r="T421" s="16" t="s">
        <v>289</v>
      </c>
      <c r="U421" s="16" t="s">
        <v>289</v>
      </c>
      <c r="V421" s="16" t="s">
        <v>289</v>
      </c>
      <c r="W421" s="16"/>
      <c r="X421" s="16"/>
      <c r="Y421" s="16"/>
      <c r="Z421" s="16"/>
      <c r="AA421" s="16"/>
      <c r="AB421" s="25"/>
      <c r="AC421" s="25"/>
      <c r="AD421" s="24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16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24"/>
      <c r="BK421" s="22"/>
      <c r="BL421" s="23"/>
      <c r="BM421" s="22"/>
      <c r="BN421" s="22"/>
      <c r="BO421" s="22"/>
      <c r="BP421" s="22"/>
      <c r="BQ421" s="22"/>
      <c r="BR421" s="24"/>
      <c r="BS421" s="5"/>
    </row>
    <row r="422" spans="1:72" s="33" customFormat="1" hidden="1" outlineLevel="1">
      <c r="A422" s="5"/>
      <c r="B422" s="5"/>
      <c r="C422" s="38" t="s">
        <v>161</v>
      </c>
      <c r="D422" s="16"/>
      <c r="E422" s="16"/>
      <c r="F422" s="16"/>
      <c r="G422" s="16"/>
      <c r="H422" s="16"/>
      <c r="I422" s="16"/>
      <c r="J422" s="16"/>
      <c r="K422" s="16"/>
      <c r="L422" s="16"/>
      <c r="M422" s="16"/>
      <c r="N422" s="16"/>
      <c r="O422" s="16"/>
      <c r="P422" s="16"/>
      <c r="Q422" s="16"/>
      <c r="R422" s="16"/>
      <c r="S422" s="16"/>
      <c r="T422" s="16"/>
      <c r="U422" s="16"/>
      <c r="V422" s="16"/>
      <c r="W422" s="16"/>
      <c r="X422" s="16"/>
      <c r="Y422" s="16"/>
      <c r="Z422" s="16"/>
      <c r="AA422" s="16"/>
      <c r="AB422" s="25"/>
      <c r="AC422" s="25"/>
      <c r="AD422" s="24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16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24"/>
      <c r="BK422" s="22"/>
      <c r="BL422" s="23"/>
      <c r="BM422" s="22"/>
      <c r="BN422" s="22"/>
      <c r="BO422" s="22"/>
      <c r="BP422" s="22"/>
      <c r="BQ422" s="22"/>
      <c r="BR422" s="24"/>
      <c r="BS422" s="5"/>
    </row>
    <row r="423" spans="1:72" s="33" customFormat="1" ht="13.15" collapsed="1">
      <c r="A423" s="5"/>
      <c r="B423" s="38"/>
      <c r="C423" s="9" t="s">
        <v>209</v>
      </c>
      <c r="D423" s="14">
        <f t="shared" ref="D423:Y423" si="234">IF(D11="yes",SUM(D424,D425,D426),"...")</f>
        <v>0</v>
      </c>
      <c r="E423" s="14">
        <f t="shared" si="234"/>
        <v>0</v>
      </c>
      <c r="F423" s="14">
        <f t="shared" si="234"/>
        <v>0</v>
      </c>
      <c r="G423" s="14">
        <f t="shared" si="234"/>
        <v>0</v>
      </c>
      <c r="H423" s="14">
        <f t="shared" si="234"/>
        <v>0</v>
      </c>
      <c r="I423" s="14">
        <f t="shared" si="234"/>
        <v>0</v>
      </c>
      <c r="J423" s="14">
        <f t="shared" si="234"/>
        <v>0</v>
      </c>
      <c r="K423" s="14">
        <f t="shared" si="234"/>
        <v>0</v>
      </c>
      <c r="L423" s="14">
        <f t="shared" si="234"/>
        <v>0</v>
      </c>
      <c r="M423" s="14">
        <f t="shared" si="234"/>
        <v>0</v>
      </c>
      <c r="N423" s="14">
        <f t="shared" si="234"/>
        <v>0</v>
      </c>
      <c r="O423" s="14">
        <f t="shared" si="234"/>
        <v>0</v>
      </c>
      <c r="P423" s="14">
        <f t="shared" si="234"/>
        <v>0</v>
      </c>
      <c r="Q423" s="14">
        <f t="shared" si="234"/>
        <v>0</v>
      </c>
      <c r="R423" s="14">
        <f t="shared" si="234"/>
        <v>0</v>
      </c>
      <c r="S423" s="14">
        <f t="shared" si="234"/>
        <v>0</v>
      </c>
      <c r="T423" s="14">
        <f t="shared" si="234"/>
        <v>0</v>
      </c>
      <c r="U423" s="14">
        <f t="shared" si="234"/>
        <v>0</v>
      </c>
      <c r="V423" s="14" t="str">
        <f t="shared" si="234"/>
        <v>...</v>
      </c>
      <c r="W423" s="14" t="str">
        <f t="shared" si="234"/>
        <v>...</v>
      </c>
      <c r="X423" s="14" t="str">
        <f t="shared" si="234"/>
        <v>...</v>
      </c>
      <c r="Y423" s="14" t="str">
        <f t="shared" si="234"/>
        <v>...</v>
      </c>
      <c r="Z423" s="14"/>
      <c r="AA423" s="14"/>
      <c r="AB423" s="14"/>
      <c r="AC423" s="14"/>
      <c r="AD423" s="24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14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24"/>
      <c r="BK423" s="22"/>
      <c r="BL423" s="23"/>
      <c r="BM423" s="22"/>
      <c r="BN423" s="22"/>
      <c r="BO423" s="22"/>
      <c r="BP423" s="22"/>
      <c r="BQ423" s="22"/>
      <c r="BR423" s="24"/>
      <c r="BS423" s="5"/>
    </row>
    <row r="424" spans="1:72" s="33" customFormat="1" hidden="1" outlineLevel="1">
      <c r="A424" s="5"/>
      <c r="B424" s="5" t="s">
        <v>268</v>
      </c>
      <c r="C424" s="43" t="s">
        <v>359</v>
      </c>
      <c r="D424" s="16" t="s">
        <v>289</v>
      </c>
      <c r="E424" s="16" t="s">
        <v>289</v>
      </c>
      <c r="F424" s="16" t="s">
        <v>289</v>
      </c>
      <c r="G424" s="16" t="s">
        <v>289</v>
      </c>
      <c r="H424" s="16" t="s">
        <v>289</v>
      </c>
      <c r="I424" s="16" t="s">
        <v>289</v>
      </c>
      <c r="J424" s="16" t="s">
        <v>289</v>
      </c>
      <c r="K424" s="16" t="s">
        <v>289</v>
      </c>
      <c r="L424" s="16" t="s">
        <v>289</v>
      </c>
      <c r="M424" s="16" t="s">
        <v>289</v>
      </c>
      <c r="N424" s="16" t="s">
        <v>289</v>
      </c>
      <c r="O424" s="16" t="s">
        <v>289</v>
      </c>
      <c r="P424" s="16" t="s">
        <v>289</v>
      </c>
      <c r="Q424" s="16" t="s">
        <v>289</v>
      </c>
      <c r="R424" s="16" t="s">
        <v>289</v>
      </c>
      <c r="S424" s="16" t="s">
        <v>289</v>
      </c>
      <c r="T424" s="16" t="s">
        <v>289</v>
      </c>
      <c r="U424" s="16" t="s">
        <v>289</v>
      </c>
      <c r="V424" s="16" t="s">
        <v>289</v>
      </c>
      <c r="W424" s="16"/>
      <c r="X424" s="16"/>
      <c r="Y424" s="16"/>
      <c r="Z424" s="16"/>
      <c r="AA424" s="16"/>
      <c r="AB424" s="25"/>
      <c r="AC424" s="25"/>
      <c r="AD424" s="24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16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24"/>
      <c r="BK424" s="22"/>
      <c r="BL424" s="23"/>
      <c r="BM424" s="22"/>
      <c r="BN424" s="22"/>
      <c r="BO424" s="22"/>
      <c r="BP424" s="22"/>
      <c r="BQ424" s="22"/>
      <c r="BR424" s="24"/>
      <c r="BS424" s="5"/>
    </row>
    <row r="425" spans="1:72" s="33" customFormat="1" hidden="1" outlineLevel="1">
      <c r="A425" s="5"/>
      <c r="B425" s="5" t="s">
        <v>269</v>
      </c>
      <c r="C425" s="43" t="s">
        <v>360</v>
      </c>
      <c r="D425" s="16" t="s">
        <v>289</v>
      </c>
      <c r="E425" s="16" t="s">
        <v>289</v>
      </c>
      <c r="F425" s="16" t="s">
        <v>289</v>
      </c>
      <c r="G425" s="16" t="s">
        <v>289</v>
      </c>
      <c r="H425" s="16" t="s">
        <v>289</v>
      </c>
      <c r="I425" s="16" t="s">
        <v>289</v>
      </c>
      <c r="J425" s="16" t="s">
        <v>289</v>
      </c>
      <c r="K425" s="16" t="s">
        <v>289</v>
      </c>
      <c r="L425" s="16" t="s">
        <v>289</v>
      </c>
      <c r="M425" s="16" t="s">
        <v>289</v>
      </c>
      <c r="N425" s="16" t="s">
        <v>289</v>
      </c>
      <c r="O425" s="16" t="s">
        <v>289</v>
      </c>
      <c r="P425" s="16" t="s">
        <v>289</v>
      </c>
      <c r="Q425" s="16" t="s">
        <v>289</v>
      </c>
      <c r="R425" s="16" t="s">
        <v>289</v>
      </c>
      <c r="S425" s="16" t="s">
        <v>289</v>
      </c>
      <c r="T425" s="16" t="s">
        <v>289</v>
      </c>
      <c r="U425" s="16" t="s">
        <v>289</v>
      </c>
      <c r="V425" s="16" t="s">
        <v>289</v>
      </c>
      <c r="W425" s="16"/>
      <c r="X425" s="16"/>
      <c r="Y425" s="16"/>
      <c r="Z425" s="16"/>
      <c r="AA425" s="16"/>
      <c r="AB425" s="25"/>
      <c r="AC425" s="25"/>
      <c r="AD425" s="24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16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24"/>
      <c r="BK425" s="22"/>
      <c r="BL425" s="23"/>
      <c r="BM425" s="22"/>
      <c r="BN425" s="22"/>
      <c r="BO425" s="22"/>
      <c r="BP425" s="22"/>
      <c r="BQ425" s="22"/>
      <c r="BR425" s="24"/>
      <c r="BS425" s="5"/>
    </row>
    <row r="426" spans="1:72" s="33" customFormat="1" hidden="1" outlineLevel="1">
      <c r="A426" s="5"/>
      <c r="B426" s="5"/>
      <c r="C426" s="43" t="s">
        <v>361</v>
      </c>
      <c r="D426" s="16"/>
      <c r="E426" s="16"/>
      <c r="F426" s="16"/>
      <c r="G426" s="16"/>
      <c r="H426" s="16"/>
      <c r="I426" s="16"/>
      <c r="J426" s="16"/>
      <c r="K426" s="16"/>
      <c r="L426" s="16"/>
      <c r="M426" s="16"/>
      <c r="N426" s="16"/>
      <c r="O426" s="16"/>
      <c r="P426" s="16"/>
      <c r="Q426" s="16"/>
      <c r="R426" s="16"/>
      <c r="S426" s="16"/>
      <c r="T426" s="16"/>
      <c r="U426" s="16"/>
      <c r="V426" s="16"/>
      <c r="W426" s="16"/>
      <c r="X426" s="16"/>
      <c r="Y426" s="16"/>
      <c r="Z426" s="16"/>
      <c r="AA426" s="16"/>
      <c r="AB426" s="25"/>
      <c r="AC426" s="25"/>
      <c r="AD426" s="24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16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24"/>
      <c r="BK426" s="22"/>
      <c r="BL426" s="23"/>
      <c r="BM426" s="22"/>
      <c r="BN426" s="22"/>
      <c r="BO426" s="22"/>
      <c r="BP426" s="22"/>
      <c r="BQ426" s="22"/>
      <c r="BR426" s="24"/>
      <c r="BS426" s="5"/>
    </row>
    <row r="427" spans="1:72" s="33" customFormat="1" hidden="1" outlineLevel="1">
      <c r="A427" s="5"/>
      <c r="B427" s="5"/>
      <c r="C427" s="43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25"/>
      <c r="P427" s="25"/>
      <c r="Q427" s="25"/>
      <c r="R427" s="25"/>
      <c r="S427" s="25"/>
      <c r="T427" s="25"/>
      <c r="U427" s="25"/>
      <c r="V427" s="25"/>
      <c r="W427" s="25"/>
      <c r="X427" s="25"/>
      <c r="Y427" s="25"/>
      <c r="Z427" s="25"/>
      <c r="AA427" s="25"/>
      <c r="AB427" s="25"/>
      <c r="AC427" s="25"/>
      <c r="AD427" s="24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2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24"/>
      <c r="BK427" s="22"/>
      <c r="BL427" s="23"/>
      <c r="BM427" s="22"/>
      <c r="BN427" s="22"/>
      <c r="BO427" s="22"/>
      <c r="BP427" s="22"/>
      <c r="BQ427" s="22"/>
      <c r="BR427" s="24"/>
      <c r="BS427" s="5"/>
    </row>
    <row r="428" spans="1:72" ht="13.15" collapsed="1">
      <c r="B428" s="38"/>
      <c r="C428" s="9" t="s">
        <v>271</v>
      </c>
      <c r="D428" s="14">
        <f t="shared" ref="D428:N428" si="235">IF(D11="yes",SUM(D429:D431),"…")</f>
        <v>2933</v>
      </c>
      <c r="E428" s="14">
        <f t="shared" si="235"/>
        <v>4017</v>
      </c>
      <c r="F428" s="14">
        <f t="shared" si="235"/>
        <v>5091</v>
      </c>
      <c r="G428" s="14">
        <f t="shared" si="235"/>
        <v>6615</v>
      </c>
      <c r="H428" s="14">
        <f t="shared" si="235"/>
        <v>3770</v>
      </c>
      <c r="I428" s="14">
        <f t="shared" si="235"/>
        <v>3330</v>
      </c>
      <c r="J428" s="14">
        <f t="shared" si="235"/>
        <v>5501</v>
      </c>
      <c r="K428" s="14">
        <f t="shared" si="235"/>
        <v>6146</v>
      </c>
      <c r="L428" s="14">
        <f t="shared" si="235"/>
        <v>7433</v>
      </c>
      <c r="M428" s="14">
        <f t="shared" si="235"/>
        <v>8492</v>
      </c>
      <c r="N428" s="14">
        <f t="shared" si="235"/>
        <v>10861</v>
      </c>
      <c r="O428" s="14">
        <f t="shared" ref="O428:Y428" si="236">IF(O11="yes",SUM(O429,O430,O431),"…")</f>
        <v>15007</v>
      </c>
      <c r="P428" s="14">
        <f t="shared" si="236"/>
        <v>17520</v>
      </c>
      <c r="Q428" s="14">
        <f t="shared" si="236"/>
        <v>15939</v>
      </c>
      <c r="R428" s="14">
        <f t="shared" si="236"/>
        <v>17080</v>
      </c>
      <c r="S428" s="14">
        <f t="shared" si="236"/>
        <v>16769</v>
      </c>
      <c r="T428" s="14">
        <f t="shared" si="236"/>
        <v>21162</v>
      </c>
      <c r="U428" s="14">
        <f t="shared" si="236"/>
        <v>22532</v>
      </c>
      <c r="V428" s="14" t="str">
        <f t="shared" si="236"/>
        <v>…</v>
      </c>
      <c r="W428" s="14" t="str">
        <f t="shared" si="236"/>
        <v>…</v>
      </c>
      <c r="X428" s="14" t="str">
        <f t="shared" si="236"/>
        <v>…</v>
      </c>
      <c r="Y428" s="14" t="str">
        <f t="shared" si="236"/>
        <v>…</v>
      </c>
      <c r="Z428" s="14"/>
      <c r="AA428" s="14"/>
      <c r="AB428" s="14"/>
      <c r="AC428" s="14"/>
      <c r="AD428" s="24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14"/>
      <c r="AZ428" s="5"/>
      <c r="BJ428" s="24"/>
      <c r="BK428" s="22"/>
      <c r="BL428" s="23"/>
      <c r="BM428" s="22"/>
      <c r="BN428" s="22"/>
      <c r="BO428" s="22"/>
      <c r="BP428" s="22"/>
      <c r="BQ428" s="22"/>
      <c r="BR428" s="24"/>
      <c r="BT428" s="33"/>
    </row>
    <row r="429" spans="1:72" hidden="1" outlineLevel="1">
      <c r="B429" s="5" t="s">
        <v>272</v>
      </c>
      <c r="C429" s="43" t="s">
        <v>359</v>
      </c>
      <c r="D429" s="16">
        <v>2933</v>
      </c>
      <c r="E429" s="16">
        <v>4017</v>
      </c>
      <c r="F429" s="16">
        <v>5091</v>
      </c>
      <c r="G429" s="16">
        <v>6615</v>
      </c>
      <c r="H429" s="16">
        <v>3770</v>
      </c>
      <c r="I429" s="16">
        <v>3330</v>
      </c>
      <c r="J429" s="16">
        <v>5501</v>
      </c>
      <c r="K429" s="16">
        <v>6146</v>
      </c>
      <c r="L429" s="16">
        <v>7433</v>
      </c>
      <c r="M429" s="16">
        <v>8492</v>
      </c>
      <c r="N429" s="16">
        <v>10861</v>
      </c>
      <c r="O429" s="16">
        <v>15007</v>
      </c>
      <c r="P429" s="16">
        <v>17520</v>
      </c>
      <c r="Q429" s="16">
        <v>15939</v>
      </c>
      <c r="R429" s="16">
        <v>17080</v>
      </c>
      <c r="S429" s="16">
        <v>16769</v>
      </c>
      <c r="T429" s="16">
        <v>21162</v>
      </c>
      <c r="U429" s="16">
        <v>22532</v>
      </c>
      <c r="V429" s="16" t="s">
        <v>289</v>
      </c>
      <c r="W429" s="16"/>
      <c r="X429" s="16"/>
      <c r="Y429" s="16"/>
      <c r="Z429" s="16"/>
      <c r="AA429" s="16"/>
      <c r="AB429" s="25"/>
      <c r="AC429" s="25"/>
      <c r="AD429" s="24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16"/>
      <c r="AZ429" s="5"/>
      <c r="BJ429" s="24"/>
      <c r="BK429" s="22"/>
      <c r="BL429" s="23"/>
      <c r="BM429" s="22"/>
      <c r="BN429" s="22"/>
      <c r="BO429" s="22"/>
      <c r="BP429" s="22"/>
      <c r="BQ429" s="22"/>
      <c r="BR429" s="24"/>
      <c r="BT429" s="33"/>
    </row>
    <row r="430" spans="1:72" hidden="1" outlineLevel="1">
      <c r="B430" s="5" t="s">
        <v>1533</v>
      </c>
      <c r="C430" s="43" t="s">
        <v>360</v>
      </c>
      <c r="D430" s="16" t="s">
        <v>289</v>
      </c>
      <c r="E430" s="16" t="s">
        <v>289</v>
      </c>
      <c r="F430" s="16" t="s">
        <v>289</v>
      </c>
      <c r="G430" s="16" t="s">
        <v>289</v>
      </c>
      <c r="H430" s="16" t="s">
        <v>289</v>
      </c>
      <c r="I430" s="16" t="s">
        <v>289</v>
      </c>
      <c r="J430" s="16" t="s">
        <v>289</v>
      </c>
      <c r="K430" s="16" t="s">
        <v>289</v>
      </c>
      <c r="L430" s="16" t="s">
        <v>289</v>
      </c>
      <c r="M430" s="16" t="s">
        <v>289</v>
      </c>
      <c r="N430" s="16" t="s">
        <v>289</v>
      </c>
      <c r="O430" s="16" t="s">
        <v>289</v>
      </c>
      <c r="P430" s="16" t="s">
        <v>289</v>
      </c>
      <c r="Q430" s="16" t="s">
        <v>289</v>
      </c>
      <c r="R430" s="16" t="s">
        <v>289</v>
      </c>
      <c r="S430" s="16" t="s">
        <v>289</v>
      </c>
      <c r="T430" s="16" t="s">
        <v>289</v>
      </c>
      <c r="U430" s="16" t="s">
        <v>289</v>
      </c>
      <c r="V430" s="16" t="s">
        <v>289</v>
      </c>
      <c r="W430" s="16"/>
      <c r="X430" s="16"/>
      <c r="Y430" s="16"/>
      <c r="Z430" s="16"/>
      <c r="AA430" s="16"/>
      <c r="AB430" s="25"/>
      <c r="AC430" s="2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16"/>
      <c r="AZ430" s="5"/>
      <c r="BJ430" s="24"/>
      <c r="BK430" s="22"/>
      <c r="BL430" s="23"/>
      <c r="BM430" s="22"/>
      <c r="BN430" s="22"/>
      <c r="BO430" s="22"/>
      <c r="BP430" s="22"/>
      <c r="BQ430" s="22"/>
      <c r="BR430" s="24"/>
      <c r="BT430" s="33"/>
    </row>
    <row r="431" spans="1:72" hidden="1" outlineLevel="1">
      <c r="C431" s="43" t="s">
        <v>1763</v>
      </c>
      <c r="D431" s="16"/>
      <c r="E431" s="16"/>
      <c r="F431" s="16"/>
      <c r="G431" s="16"/>
      <c r="H431" s="16"/>
      <c r="I431" s="16"/>
      <c r="J431" s="16"/>
      <c r="K431" s="16"/>
      <c r="L431" s="16"/>
      <c r="M431" s="16"/>
      <c r="N431" s="16"/>
      <c r="O431" s="16"/>
      <c r="P431" s="16"/>
      <c r="Q431" s="16"/>
      <c r="R431" s="16"/>
      <c r="S431" s="16"/>
      <c r="T431" s="16"/>
      <c r="U431" s="16"/>
      <c r="V431" s="16"/>
      <c r="W431" s="16"/>
      <c r="X431" s="16"/>
      <c r="Y431" s="16"/>
      <c r="Z431" s="16"/>
      <c r="AA431" s="16"/>
      <c r="AB431" s="25"/>
      <c r="AC431" s="2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16"/>
      <c r="AZ431" s="5"/>
      <c r="BJ431" s="24"/>
      <c r="BK431" s="22"/>
      <c r="BL431" s="23"/>
      <c r="BM431" s="22"/>
      <c r="BN431" s="22"/>
      <c r="BO431" s="22"/>
      <c r="BP431" s="22"/>
      <c r="BQ431" s="22"/>
      <c r="BR431" s="24"/>
      <c r="BT431" s="33"/>
    </row>
    <row r="432" spans="1:72" hidden="1" outlineLevel="1">
      <c r="C432" s="43"/>
      <c r="D432" s="16"/>
      <c r="E432" s="16"/>
      <c r="F432" s="16"/>
      <c r="G432" s="16"/>
      <c r="H432" s="16"/>
      <c r="I432" s="16"/>
      <c r="J432" s="16"/>
      <c r="K432" s="16"/>
      <c r="L432" s="16"/>
      <c r="M432" s="16"/>
      <c r="N432" s="16"/>
      <c r="O432" s="16"/>
      <c r="P432" s="16"/>
      <c r="Q432" s="16"/>
      <c r="R432" s="16"/>
      <c r="S432" s="16"/>
      <c r="T432" s="16"/>
      <c r="U432" s="16"/>
      <c r="V432" s="16"/>
      <c r="W432" s="16"/>
      <c r="X432" s="16"/>
      <c r="Y432" s="16"/>
      <c r="Z432" s="16"/>
      <c r="AA432" s="16"/>
      <c r="AB432" s="25"/>
      <c r="AC432" s="2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16"/>
      <c r="AZ432" s="5"/>
      <c r="BJ432" s="24"/>
      <c r="BK432" s="22"/>
      <c r="BL432" s="23"/>
      <c r="BM432" s="22"/>
      <c r="BN432" s="22"/>
      <c r="BO432" s="22"/>
      <c r="BP432" s="22"/>
      <c r="BQ432" s="22"/>
      <c r="BR432" s="24"/>
      <c r="BT432" s="33"/>
    </row>
    <row r="433" spans="1:71" s="33" customFormat="1" ht="13.15" collapsed="1">
      <c r="A433" s="5"/>
      <c r="B433" s="5"/>
      <c r="C433" s="9" t="s">
        <v>251</v>
      </c>
      <c r="D433" s="14">
        <f>SUM(D435:D448)</f>
        <v>293</v>
      </c>
      <c r="E433" s="14">
        <f t="shared" ref="E433:Y433" si="237">SUM(E435:E448)</f>
        <v>336</v>
      </c>
      <c r="F433" s="14">
        <f t="shared" si="237"/>
        <v>410</v>
      </c>
      <c r="G433" s="14">
        <f t="shared" si="237"/>
        <v>548</v>
      </c>
      <c r="H433" s="14">
        <f t="shared" si="237"/>
        <v>583</v>
      </c>
      <c r="I433" s="14">
        <f t="shared" si="237"/>
        <v>543</v>
      </c>
      <c r="J433" s="14">
        <f t="shared" si="237"/>
        <v>640</v>
      </c>
      <c r="K433" s="14">
        <f t="shared" si="237"/>
        <v>3049</v>
      </c>
      <c r="L433" s="14">
        <f t="shared" si="237"/>
        <v>3870</v>
      </c>
      <c r="M433" s="14">
        <f t="shared" si="237"/>
        <v>3941</v>
      </c>
      <c r="N433" s="14">
        <f t="shared" si="237"/>
        <v>3683</v>
      </c>
      <c r="O433" s="14">
        <f t="shared" si="237"/>
        <v>1948</v>
      </c>
      <c r="P433" s="14">
        <f t="shared" si="237"/>
        <v>15184</v>
      </c>
      <c r="Q433" s="14">
        <f t="shared" si="237"/>
        <v>15451</v>
      </c>
      <c r="R433" s="14">
        <f t="shared" si="237"/>
        <v>14059</v>
      </c>
      <c r="S433" s="14">
        <f t="shared" si="237"/>
        <v>13281</v>
      </c>
      <c r="T433" s="14">
        <f t="shared" si="237"/>
        <v>15964</v>
      </c>
      <c r="U433" s="14">
        <f t="shared" si="237"/>
        <v>20781</v>
      </c>
      <c r="V433" s="14">
        <f t="shared" si="237"/>
        <v>0</v>
      </c>
      <c r="W433" s="14">
        <f t="shared" si="237"/>
        <v>0</v>
      </c>
      <c r="X433" s="14">
        <f t="shared" si="237"/>
        <v>0</v>
      </c>
      <c r="Y433" s="14">
        <f t="shared" si="237"/>
        <v>0</v>
      </c>
      <c r="Z433" s="14"/>
      <c r="AA433" s="14"/>
      <c r="AB433" s="14"/>
      <c r="AC433" s="14"/>
      <c r="AD433" s="24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14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24"/>
      <c r="BK433" s="22"/>
      <c r="BL433" s="23"/>
      <c r="BM433" s="22"/>
      <c r="BN433" s="22"/>
      <c r="BO433" s="22"/>
      <c r="BP433" s="22"/>
      <c r="BQ433" s="22"/>
      <c r="BR433" s="24"/>
      <c r="BS433" s="5"/>
    </row>
    <row r="434" spans="1:71" hidden="1" outlineLevel="1"/>
    <row r="435" spans="1:71" s="33" customFormat="1" hidden="1" outlineLevel="1">
      <c r="A435" s="5"/>
      <c r="B435" s="5" t="s">
        <v>253</v>
      </c>
      <c r="C435" s="43" t="s">
        <v>154</v>
      </c>
      <c r="D435" s="16" t="s">
        <v>289</v>
      </c>
      <c r="E435" s="16" t="s">
        <v>289</v>
      </c>
      <c r="F435" s="16" t="s">
        <v>289</v>
      </c>
      <c r="G435" s="16" t="s">
        <v>289</v>
      </c>
      <c r="H435" s="16" t="s">
        <v>289</v>
      </c>
      <c r="I435" s="16" t="s">
        <v>289</v>
      </c>
      <c r="J435" s="16" t="s">
        <v>289</v>
      </c>
      <c r="K435" s="16" t="s">
        <v>289</v>
      </c>
      <c r="L435" s="16" t="s">
        <v>289</v>
      </c>
      <c r="M435" s="16" t="s">
        <v>289</v>
      </c>
      <c r="N435" s="16" t="s">
        <v>289</v>
      </c>
      <c r="O435" s="16" t="s">
        <v>289</v>
      </c>
      <c r="P435" s="16">
        <v>8256</v>
      </c>
      <c r="Q435" s="16">
        <v>8455</v>
      </c>
      <c r="R435" s="16">
        <v>6521</v>
      </c>
      <c r="S435" s="16">
        <v>5553</v>
      </c>
      <c r="T435" s="16">
        <v>7834</v>
      </c>
      <c r="U435" s="16">
        <v>9156</v>
      </c>
      <c r="V435" s="16" t="s">
        <v>289</v>
      </c>
      <c r="W435" s="16"/>
      <c r="X435" s="16"/>
      <c r="Y435" s="16"/>
      <c r="Z435" s="16"/>
      <c r="AA435" s="16"/>
      <c r="AB435" s="25"/>
      <c r="AC435" s="25"/>
      <c r="AD435" s="24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16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24"/>
      <c r="BK435" s="22"/>
      <c r="BL435" s="23"/>
      <c r="BM435" s="22"/>
      <c r="BN435" s="22"/>
      <c r="BO435" s="22"/>
      <c r="BP435" s="22"/>
      <c r="BQ435" s="22"/>
      <c r="BR435" s="24"/>
      <c r="BS435" s="5"/>
    </row>
    <row r="436" spans="1:71" s="33" customFormat="1" hidden="1" outlineLevel="1">
      <c r="A436" s="5"/>
      <c r="B436" s="5" t="s">
        <v>2139</v>
      </c>
      <c r="C436" s="43"/>
      <c r="D436" s="16" t="s">
        <v>289</v>
      </c>
      <c r="E436" s="16" t="s">
        <v>289</v>
      </c>
      <c r="F436" s="16" t="s">
        <v>289</v>
      </c>
      <c r="G436" s="16" t="s">
        <v>289</v>
      </c>
      <c r="H436" s="16" t="s">
        <v>289</v>
      </c>
      <c r="I436" s="16" t="s">
        <v>289</v>
      </c>
      <c r="J436" s="16" t="s">
        <v>289</v>
      </c>
      <c r="K436" s="16" t="s">
        <v>289</v>
      </c>
      <c r="L436" s="16" t="s">
        <v>289</v>
      </c>
      <c r="M436" s="16" t="s">
        <v>289</v>
      </c>
      <c r="N436" s="16" t="s">
        <v>289</v>
      </c>
      <c r="O436" s="16" t="s">
        <v>289</v>
      </c>
      <c r="P436" s="16" t="s">
        <v>289</v>
      </c>
      <c r="Q436" s="16" t="s">
        <v>289</v>
      </c>
      <c r="R436" s="16" t="s">
        <v>289</v>
      </c>
      <c r="S436" s="16" t="s">
        <v>289</v>
      </c>
      <c r="T436" s="16" t="s">
        <v>289</v>
      </c>
      <c r="U436" s="16" t="s">
        <v>289</v>
      </c>
      <c r="V436" s="16" t="s">
        <v>289</v>
      </c>
      <c r="W436" s="16"/>
      <c r="X436" s="16"/>
      <c r="Y436" s="16"/>
      <c r="Z436" s="16"/>
      <c r="AA436" s="16"/>
      <c r="AB436" s="25"/>
      <c r="AC436" s="25"/>
      <c r="AD436" s="24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16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24"/>
      <c r="BK436" s="22"/>
      <c r="BL436" s="23"/>
      <c r="BM436" s="22"/>
      <c r="BN436" s="22"/>
      <c r="BO436" s="22"/>
      <c r="BP436" s="22"/>
      <c r="BQ436" s="22"/>
      <c r="BR436" s="24"/>
      <c r="BS436" s="5"/>
    </row>
    <row r="437" spans="1:71" s="33" customFormat="1" hidden="1" outlineLevel="1">
      <c r="A437" s="5"/>
      <c r="B437" s="5" t="s">
        <v>252</v>
      </c>
      <c r="C437" s="43" t="s">
        <v>154</v>
      </c>
      <c r="D437" s="16">
        <v>293</v>
      </c>
      <c r="E437" s="16">
        <v>336</v>
      </c>
      <c r="F437" s="16">
        <v>410</v>
      </c>
      <c r="G437" s="16">
        <v>548</v>
      </c>
      <c r="H437" s="16" t="s">
        <v>289</v>
      </c>
      <c r="I437" s="16" t="s">
        <v>289</v>
      </c>
      <c r="J437" s="16" t="s">
        <v>289</v>
      </c>
      <c r="K437" s="16" t="s">
        <v>289</v>
      </c>
      <c r="L437" s="16" t="s">
        <v>289</v>
      </c>
      <c r="M437" s="16" t="s">
        <v>289</v>
      </c>
      <c r="N437" s="16" t="s">
        <v>289</v>
      </c>
      <c r="O437" s="16" t="s">
        <v>289</v>
      </c>
      <c r="P437" s="16" t="s">
        <v>289</v>
      </c>
      <c r="Q437" s="16" t="s">
        <v>289</v>
      </c>
      <c r="R437" s="16" t="s">
        <v>289</v>
      </c>
      <c r="S437" s="16" t="s">
        <v>289</v>
      </c>
      <c r="T437" s="16" t="s">
        <v>289</v>
      </c>
      <c r="U437" s="16" t="s">
        <v>289</v>
      </c>
      <c r="V437" s="16" t="s">
        <v>289</v>
      </c>
      <c r="W437" s="16"/>
      <c r="X437" s="16"/>
      <c r="Y437" s="16"/>
      <c r="Z437" s="16"/>
      <c r="AA437" s="16"/>
      <c r="AB437" s="25"/>
      <c r="AC437" s="25"/>
      <c r="AD437" s="24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16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24"/>
      <c r="BK437" s="22"/>
      <c r="BL437" s="23"/>
      <c r="BM437" s="22"/>
      <c r="BN437" s="22"/>
      <c r="BO437" s="22"/>
      <c r="BP437" s="22"/>
      <c r="BQ437" s="22"/>
      <c r="BR437" s="24"/>
      <c r="BS437" s="5"/>
    </row>
    <row r="438" spans="1:71" hidden="1" outlineLevel="1">
      <c r="B438" s="5" t="s">
        <v>1726</v>
      </c>
      <c r="C438" s="43" t="s">
        <v>154</v>
      </c>
      <c r="D438" s="16" t="s">
        <v>289</v>
      </c>
      <c r="E438" s="16" t="s">
        <v>289</v>
      </c>
      <c r="F438" s="16" t="s">
        <v>289</v>
      </c>
      <c r="G438" s="16" t="s">
        <v>289</v>
      </c>
      <c r="H438" s="16">
        <v>583</v>
      </c>
      <c r="I438" s="16">
        <v>543</v>
      </c>
      <c r="J438" s="16">
        <v>640</v>
      </c>
      <c r="K438" s="16">
        <v>3049</v>
      </c>
      <c r="L438" s="16">
        <v>3870</v>
      </c>
      <c r="M438" s="16">
        <v>3941</v>
      </c>
      <c r="N438" s="16">
        <v>3683</v>
      </c>
      <c r="O438" s="16">
        <v>974</v>
      </c>
      <c r="P438" s="16">
        <v>996</v>
      </c>
      <c r="Q438" s="20">
        <v>1318</v>
      </c>
      <c r="R438" s="20">
        <v>1474</v>
      </c>
      <c r="S438" s="20">
        <v>1902</v>
      </c>
      <c r="T438" s="20">
        <v>1865</v>
      </c>
      <c r="U438" s="20">
        <v>3000</v>
      </c>
      <c r="V438" s="20" t="s">
        <v>289</v>
      </c>
      <c r="AD438" s="24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Z438" s="5"/>
    </row>
    <row r="439" spans="1:71" s="33" customFormat="1" hidden="1" outlineLevel="1">
      <c r="A439" s="5"/>
      <c r="B439" s="5" t="s">
        <v>254</v>
      </c>
      <c r="C439" s="43" t="s">
        <v>154</v>
      </c>
      <c r="D439" s="16" t="s">
        <v>289</v>
      </c>
      <c r="E439" s="16" t="s">
        <v>289</v>
      </c>
      <c r="F439" s="16" t="s">
        <v>289</v>
      </c>
      <c r="G439" s="16" t="s">
        <v>289</v>
      </c>
      <c r="H439" s="16" t="s">
        <v>289</v>
      </c>
      <c r="I439" s="16" t="s">
        <v>289</v>
      </c>
      <c r="J439" s="16" t="s">
        <v>289</v>
      </c>
      <c r="K439" s="16" t="s">
        <v>289</v>
      </c>
      <c r="L439" s="16" t="s">
        <v>289</v>
      </c>
      <c r="M439" s="16" t="s">
        <v>289</v>
      </c>
      <c r="N439" s="16" t="s">
        <v>289</v>
      </c>
      <c r="O439" s="16" t="s">
        <v>289</v>
      </c>
      <c r="P439" s="16" t="s">
        <v>289</v>
      </c>
      <c r="Q439" s="16" t="s">
        <v>289</v>
      </c>
      <c r="R439" s="16" t="s">
        <v>289</v>
      </c>
      <c r="S439" s="16" t="s">
        <v>289</v>
      </c>
      <c r="T439" s="16" t="s">
        <v>289</v>
      </c>
      <c r="U439" s="16" t="s">
        <v>289</v>
      </c>
      <c r="V439" s="16" t="s">
        <v>289</v>
      </c>
      <c r="W439" s="16"/>
      <c r="X439" s="16"/>
      <c r="Y439" s="16"/>
      <c r="Z439" s="16"/>
      <c r="AA439" s="16"/>
      <c r="AB439" s="25"/>
      <c r="AC439" s="25"/>
      <c r="AD439" s="24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16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24"/>
      <c r="BK439" s="22"/>
      <c r="BL439" s="23"/>
      <c r="BM439" s="22"/>
      <c r="BN439" s="22"/>
      <c r="BO439" s="22"/>
      <c r="BP439" s="22"/>
      <c r="BQ439" s="22"/>
      <c r="BR439" s="24"/>
      <c r="BS439" s="5"/>
    </row>
    <row r="440" spans="1:71" s="33" customFormat="1" hidden="1" outlineLevel="1">
      <c r="A440" s="5"/>
      <c r="B440" s="5" t="s">
        <v>255</v>
      </c>
      <c r="C440" s="43" t="s">
        <v>154</v>
      </c>
      <c r="D440" s="16" t="s">
        <v>289</v>
      </c>
      <c r="E440" s="16" t="s">
        <v>289</v>
      </c>
      <c r="F440" s="16" t="s">
        <v>289</v>
      </c>
      <c r="G440" s="16" t="s">
        <v>289</v>
      </c>
      <c r="H440" s="16" t="s">
        <v>289</v>
      </c>
      <c r="I440" s="16" t="s">
        <v>289</v>
      </c>
      <c r="J440" s="16" t="s">
        <v>289</v>
      </c>
      <c r="K440" s="16" t="s">
        <v>289</v>
      </c>
      <c r="L440" s="16" t="s">
        <v>289</v>
      </c>
      <c r="M440" s="16" t="s">
        <v>289</v>
      </c>
      <c r="N440" s="16" t="s">
        <v>289</v>
      </c>
      <c r="O440" s="16" t="s">
        <v>289</v>
      </c>
      <c r="P440" s="16" t="s">
        <v>289</v>
      </c>
      <c r="Q440" s="16" t="s">
        <v>289</v>
      </c>
      <c r="R440" s="16" t="s">
        <v>289</v>
      </c>
      <c r="S440" s="16" t="s">
        <v>289</v>
      </c>
      <c r="T440" s="16" t="s">
        <v>289</v>
      </c>
      <c r="U440" s="16" t="s">
        <v>289</v>
      </c>
      <c r="V440" s="16" t="s">
        <v>289</v>
      </c>
      <c r="W440" s="16"/>
      <c r="X440" s="16"/>
      <c r="Y440" s="16"/>
      <c r="Z440" s="16"/>
      <c r="AA440" s="16"/>
      <c r="AB440" s="25"/>
      <c r="AC440" s="25"/>
      <c r="AD440" s="24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16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24"/>
      <c r="BK440" s="22"/>
      <c r="BL440" s="23"/>
      <c r="BM440" s="22"/>
      <c r="BN440" s="22"/>
      <c r="BO440" s="22"/>
      <c r="BP440" s="22"/>
      <c r="BQ440" s="22"/>
      <c r="BR440" s="24"/>
      <c r="BS440" s="5"/>
    </row>
    <row r="441" spans="1:71" hidden="1" outlineLevel="1"/>
    <row r="442" spans="1:71" hidden="1" outlineLevel="1">
      <c r="B442" s="5" t="s">
        <v>2125</v>
      </c>
      <c r="C442" s="43" t="s">
        <v>154</v>
      </c>
      <c r="D442" s="16" t="s">
        <v>289</v>
      </c>
      <c r="E442" s="16" t="s">
        <v>289</v>
      </c>
      <c r="F442" s="16" t="s">
        <v>289</v>
      </c>
      <c r="G442" s="16" t="s">
        <v>289</v>
      </c>
      <c r="H442" s="16" t="s">
        <v>289</v>
      </c>
      <c r="I442" s="16" t="s">
        <v>289</v>
      </c>
      <c r="J442" s="16" t="s">
        <v>289</v>
      </c>
      <c r="K442" s="16" t="s">
        <v>289</v>
      </c>
      <c r="L442" s="16" t="s">
        <v>289</v>
      </c>
      <c r="M442" s="16" t="s">
        <v>289</v>
      </c>
      <c r="N442" s="16" t="s">
        <v>289</v>
      </c>
      <c r="O442" s="16" t="s">
        <v>289</v>
      </c>
      <c r="P442" s="16">
        <v>4936</v>
      </c>
      <c r="Q442" s="20">
        <v>4360</v>
      </c>
      <c r="R442" s="20">
        <v>4590</v>
      </c>
      <c r="S442" s="20">
        <v>3924</v>
      </c>
      <c r="T442" s="20">
        <v>4400</v>
      </c>
      <c r="U442" s="20">
        <v>5625</v>
      </c>
      <c r="V442" s="20" t="s">
        <v>289</v>
      </c>
      <c r="AD442" s="24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Z442" s="5"/>
    </row>
    <row r="443" spans="1:71" hidden="1" outlineLevel="1">
      <c r="C443" s="43"/>
      <c r="D443" s="16"/>
      <c r="E443" s="16"/>
      <c r="F443" s="16"/>
      <c r="G443" s="16"/>
      <c r="H443" s="16"/>
      <c r="I443" s="16"/>
      <c r="J443" s="16"/>
      <c r="K443" s="16"/>
      <c r="L443" s="16"/>
      <c r="M443" s="16"/>
      <c r="N443" s="16"/>
      <c r="O443" s="16"/>
      <c r="AD443" s="24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Z443" s="5"/>
    </row>
    <row r="444" spans="1:71" hidden="1" outlineLevel="1">
      <c r="C444" s="43"/>
      <c r="D444" s="16"/>
      <c r="E444" s="16"/>
      <c r="F444" s="16"/>
      <c r="G444" s="16"/>
      <c r="H444" s="16"/>
      <c r="I444" s="16"/>
      <c r="J444" s="16"/>
      <c r="K444" s="16"/>
      <c r="L444" s="16"/>
      <c r="M444" s="16"/>
      <c r="N444" s="16"/>
      <c r="O444" s="16"/>
      <c r="AD444" s="24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Z444" s="5"/>
    </row>
    <row r="445" spans="1:71" hidden="1" outlineLevel="1">
      <c r="C445" s="43"/>
      <c r="D445" s="16"/>
      <c r="E445" s="16"/>
      <c r="F445" s="16"/>
      <c r="G445" s="16"/>
      <c r="H445" s="16"/>
      <c r="I445" s="16"/>
      <c r="J445" s="16"/>
      <c r="K445" s="16"/>
      <c r="L445" s="16"/>
      <c r="M445" s="16"/>
      <c r="N445" s="16"/>
      <c r="O445" s="16"/>
      <c r="AD445" s="24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Z445" s="5"/>
    </row>
    <row r="446" spans="1:71" hidden="1" outlineLevel="1">
      <c r="C446" s="43"/>
      <c r="D446" s="16"/>
      <c r="E446" s="16"/>
      <c r="F446" s="16"/>
      <c r="G446" s="16"/>
      <c r="H446" s="16"/>
      <c r="I446" s="16"/>
      <c r="J446" s="16"/>
      <c r="K446" s="16"/>
      <c r="L446" s="16"/>
      <c r="M446" s="16"/>
      <c r="N446" s="16"/>
      <c r="O446" s="16"/>
      <c r="AD446" s="24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Z446" s="5"/>
    </row>
    <row r="447" spans="1:71" s="33" customFormat="1" hidden="1" outlineLevel="1">
      <c r="A447" s="5"/>
      <c r="B447" s="5" t="s">
        <v>1695</v>
      </c>
      <c r="C447" s="43" t="s">
        <v>154</v>
      </c>
      <c r="D447" s="16" t="s">
        <v>289</v>
      </c>
      <c r="E447" s="16" t="s">
        <v>289</v>
      </c>
      <c r="F447" s="16" t="s">
        <v>289</v>
      </c>
      <c r="G447" s="16" t="s">
        <v>289</v>
      </c>
      <c r="H447" s="16" t="s">
        <v>289</v>
      </c>
      <c r="I447" s="16" t="s">
        <v>289</v>
      </c>
      <c r="J447" s="16" t="s">
        <v>289</v>
      </c>
      <c r="K447" s="16" t="s">
        <v>289</v>
      </c>
      <c r="L447" s="16" t="s">
        <v>289</v>
      </c>
      <c r="M447" s="16" t="s">
        <v>289</v>
      </c>
      <c r="N447" s="16" t="s">
        <v>289</v>
      </c>
      <c r="O447" s="16" t="s">
        <v>289</v>
      </c>
      <c r="P447" s="16" t="s">
        <v>289</v>
      </c>
      <c r="Q447" s="16" t="s">
        <v>289</v>
      </c>
      <c r="R447" s="16" t="s">
        <v>289</v>
      </c>
      <c r="S447" s="16" t="s">
        <v>289</v>
      </c>
      <c r="T447" s="16" t="s">
        <v>289</v>
      </c>
      <c r="U447" s="16" t="s">
        <v>289</v>
      </c>
      <c r="V447" s="16" t="s">
        <v>289</v>
      </c>
      <c r="W447" s="16"/>
      <c r="X447" s="16"/>
      <c r="Y447" s="16"/>
      <c r="Z447" s="16"/>
      <c r="AA447" s="16"/>
      <c r="AB447" s="25"/>
      <c r="AC447" s="25"/>
      <c r="AD447" s="24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16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24"/>
      <c r="BK447" s="22"/>
      <c r="BL447" s="23"/>
      <c r="BM447" s="22"/>
      <c r="BN447" s="22"/>
      <c r="BO447" s="22"/>
      <c r="BP447" s="22"/>
      <c r="BQ447" s="22"/>
      <c r="BR447" s="24"/>
      <c r="BS447" s="5"/>
    </row>
    <row r="448" spans="1:71" s="33" customFormat="1" hidden="1" outlineLevel="1">
      <c r="A448" s="5"/>
      <c r="B448" s="5" t="s">
        <v>256</v>
      </c>
      <c r="C448" s="43" t="s">
        <v>154</v>
      </c>
      <c r="D448" s="16" t="s">
        <v>289</v>
      </c>
      <c r="E448" s="16" t="s">
        <v>289</v>
      </c>
      <c r="F448" s="16" t="s">
        <v>289</v>
      </c>
      <c r="G448" s="16" t="s">
        <v>289</v>
      </c>
      <c r="H448" s="16" t="s">
        <v>289</v>
      </c>
      <c r="I448" s="16" t="s">
        <v>289</v>
      </c>
      <c r="J448" s="16" t="s">
        <v>289</v>
      </c>
      <c r="K448" s="16" t="s">
        <v>289</v>
      </c>
      <c r="L448" s="16" t="s">
        <v>289</v>
      </c>
      <c r="M448" s="16" t="s">
        <v>289</v>
      </c>
      <c r="N448" s="16" t="s">
        <v>289</v>
      </c>
      <c r="O448" s="16">
        <v>974</v>
      </c>
      <c r="P448" s="16">
        <v>996</v>
      </c>
      <c r="Q448" s="16">
        <v>1318</v>
      </c>
      <c r="R448" s="16">
        <v>1474</v>
      </c>
      <c r="S448" s="16">
        <v>1902</v>
      </c>
      <c r="T448" s="16">
        <v>1865</v>
      </c>
      <c r="U448" s="16">
        <v>3000</v>
      </c>
      <c r="V448" s="16" t="s">
        <v>289</v>
      </c>
      <c r="W448" s="16"/>
      <c r="X448" s="16"/>
      <c r="Y448" s="16"/>
      <c r="Z448" s="16"/>
      <c r="AA448" s="16"/>
      <c r="AB448" s="25"/>
      <c r="AC448" s="25"/>
      <c r="AD448" s="24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16"/>
      <c r="AZ448" s="5"/>
      <c r="BA448" s="5"/>
      <c r="BB448" s="5"/>
      <c r="BC448" s="2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</row>
    <row r="449" spans="2:72" hidden="1" outlineLevel="1">
      <c r="AD449" s="24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Z449" s="5"/>
      <c r="BJ449" s="24"/>
      <c r="BK449" s="22"/>
      <c r="BL449" s="23"/>
      <c r="BM449" s="22"/>
      <c r="BN449" s="22"/>
      <c r="BO449" s="22"/>
      <c r="BP449" s="22"/>
      <c r="BQ449" s="22"/>
      <c r="BR449" s="24"/>
      <c r="BT449" s="33"/>
    </row>
    <row r="450" spans="2:72" ht="13.15" collapsed="1">
      <c r="B450" s="38"/>
      <c r="C450" s="9" t="s">
        <v>330</v>
      </c>
      <c r="D450" s="14">
        <f t="shared" ref="D450:Y450" si="238">IF(D11="yes",SUM(D451,D453,D455,D457),"…")</f>
        <v>2298</v>
      </c>
      <c r="E450" s="14">
        <f t="shared" si="238"/>
        <v>2270</v>
      </c>
      <c r="F450" s="14">
        <f t="shared" si="238"/>
        <v>3028</v>
      </c>
      <c r="G450" s="14">
        <f t="shared" si="238"/>
        <v>3368</v>
      </c>
      <c r="H450" s="14">
        <f t="shared" si="238"/>
        <v>4150</v>
      </c>
      <c r="I450" s="14">
        <f t="shared" si="238"/>
        <v>14720</v>
      </c>
      <c r="J450" s="14">
        <f t="shared" si="238"/>
        <v>20021</v>
      </c>
      <c r="K450" s="14">
        <f t="shared" si="238"/>
        <v>31656</v>
      </c>
      <c r="L450" s="14">
        <f t="shared" si="238"/>
        <v>28689</v>
      </c>
      <c r="M450" s="14">
        <f t="shared" si="238"/>
        <v>31388</v>
      </c>
      <c r="N450" s="14">
        <f t="shared" si="238"/>
        <v>36205</v>
      </c>
      <c r="O450" s="14">
        <f t="shared" si="238"/>
        <v>8070</v>
      </c>
      <c r="P450" s="14">
        <f t="shared" si="238"/>
        <v>0</v>
      </c>
      <c r="Q450" s="14">
        <f t="shared" si="238"/>
        <v>0</v>
      </c>
      <c r="R450" s="14">
        <f t="shared" si="238"/>
        <v>0</v>
      </c>
      <c r="S450" s="14">
        <f t="shared" si="238"/>
        <v>0</v>
      </c>
      <c r="T450" s="14">
        <f t="shared" si="238"/>
        <v>0</v>
      </c>
      <c r="U450" s="14">
        <f t="shared" si="238"/>
        <v>0</v>
      </c>
      <c r="V450" s="14" t="str">
        <f t="shared" si="238"/>
        <v>…</v>
      </c>
      <c r="W450" s="14" t="str">
        <f t="shared" si="238"/>
        <v>…</v>
      </c>
      <c r="X450" s="14" t="str">
        <f t="shared" si="238"/>
        <v>…</v>
      </c>
      <c r="Y450" s="14" t="str">
        <f t="shared" si="238"/>
        <v>…</v>
      </c>
      <c r="Z450" s="14"/>
      <c r="AA450" s="14"/>
      <c r="AB450" s="14"/>
      <c r="AC450" s="14"/>
      <c r="AD450" s="24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14"/>
      <c r="AZ450" s="5"/>
      <c r="BJ450" s="24"/>
      <c r="BK450" s="22"/>
      <c r="BL450" s="23"/>
      <c r="BM450" s="22"/>
      <c r="BN450" s="22"/>
      <c r="BO450" s="22"/>
      <c r="BP450" s="22"/>
      <c r="BQ450" s="22"/>
      <c r="BR450" s="24"/>
      <c r="BT450" s="33"/>
    </row>
    <row r="451" spans="2:72" hidden="1" outlineLevel="1">
      <c r="B451" s="38"/>
      <c r="C451" s="5" t="s">
        <v>1744</v>
      </c>
      <c r="D451" s="25">
        <f t="shared" ref="D451:O451" si="239">IFERROR(D452/1,"…")</f>
        <v>2298</v>
      </c>
      <c r="E451" s="25">
        <f t="shared" si="239"/>
        <v>2270</v>
      </c>
      <c r="F451" s="25">
        <f t="shared" si="239"/>
        <v>3028</v>
      </c>
      <c r="G451" s="25">
        <f t="shared" si="239"/>
        <v>3368</v>
      </c>
      <c r="H451" s="25">
        <f t="shared" si="239"/>
        <v>4150</v>
      </c>
      <c r="I451" s="25">
        <f t="shared" si="239"/>
        <v>14720</v>
      </c>
      <c r="J451" s="25">
        <f t="shared" si="239"/>
        <v>20021</v>
      </c>
      <c r="K451" s="25">
        <f t="shared" si="239"/>
        <v>31656</v>
      </c>
      <c r="L451" s="25">
        <f t="shared" si="239"/>
        <v>28689</v>
      </c>
      <c r="M451" s="25">
        <f t="shared" si="239"/>
        <v>31388</v>
      </c>
      <c r="N451" s="25">
        <f t="shared" si="239"/>
        <v>36205</v>
      </c>
      <c r="O451" s="25">
        <f t="shared" si="239"/>
        <v>8070</v>
      </c>
      <c r="P451" s="25"/>
      <c r="Q451" s="25"/>
      <c r="R451" s="25"/>
      <c r="S451" s="25"/>
      <c r="T451" s="25"/>
      <c r="U451" s="25"/>
      <c r="V451" s="25"/>
      <c r="W451" s="25"/>
      <c r="X451" s="25"/>
      <c r="Y451" s="25"/>
      <c r="Z451" s="25"/>
      <c r="AA451" s="25"/>
      <c r="AB451" s="25"/>
      <c r="AC451" s="25"/>
      <c r="AD451" s="24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25"/>
      <c r="AZ451" s="5"/>
      <c r="BJ451" s="24"/>
      <c r="BK451" s="22"/>
      <c r="BL451" s="23"/>
      <c r="BM451" s="22"/>
      <c r="BN451" s="22"/>
      <c r="BO451" s="22"/>
      <c r="BP451" s="22"/>
      <c r="BQ451" s="22"/>
      <c r="BR451" s="24"/>
      <c r="BT451" s="33"/>
    </row>
    <row r="452" spans="2:72" hidden="1" outlineLevel="1">
      <c r="B452" s="5" t="s">
        <v>273</v>
      </c>
      <c r="C452" s="43" t="s">
        <v>154</v>
      </c>
      <c r="D452" s="16">
        <v>2298</v>
      </c>
      <c r="E452" s="16">
        <v>2270</v>
      </c>
      <c r="F452" s="16">
        <v>3028</v>
      </c>
      <c r="G452" s="16">
        <v>3368</v>
      </c>
      <c r="H452" s="16">
        <v>4150</v>
      </c>
      <c r="I452" s="16">
        <v>14720</v>
      </c>
      <c r="J452" s="16">
        <v>20021</v>
      </c>
      <c r="K452" s="16">
        <v>31656</v>
      </c>
      <c r="L452" s="16">
        <v>28689</v>
      </c>
      <c r="M452" s="16">
        <v>31388</v>
      </c>
      <c r="N452" s="16">
        <v>36205</v>
      </c>
      <c r="O452" s="16">
        <v>8070</v>
      </c>
      <c r="P452" s="16" t="s">
        <v>289</v>
      </c>
      <c r="Q452" s="16">
        <v>1</v>
      </c>
      <c r="R452" s="16">
        <v>-2</v>
      </c>
      <c r="S452" s="16">
        <v>1</v>
      </c>
      <c r="T452" s="16" t="s">
        <v>289</v>
      </c>
      <c r="U452" s="16" t="s">
        <v>289</v>
      </c>
      <c r="V452" s="16" t="s">
        <v>289</v>
      </c>
      <c r="W452" s="16"/>
      <c r="X452" s="16"/>
      <c r="Y452" s="16"/>
      <c r="Z452" s="16"/>
      <c r="AA452" s="16"/>
      <c r="AB452" s="25"/>
      <c r="AC452" s="25"/>
      <c r="AD452" s="24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16"/>
      <c r="AZ452" s="5"/>
      <c r="BJ452" s="24"/>
      <c r="BK452" s="22"/>
      <c r="BL452" s="23"/>
      <c r="BM452" s="22"/>
      <c r="BN452" s="22"/>
      <c r="BO452" s="22"/>
      <c r="BP452" s="22"/>
      <c r="BQ452" s="22"/>
      <c r="BR452" s="24"/>
      <c r="BT452" s="33"/>
    </row>
    <row r="453" spans="2:72" hidden="1" outlineLevel="1">
      <c r="B453" s="38"/>
      <c r="C453" s="5" t="s">
        <v>274</v>
      </c>
      <c r="D453" s="25" t="str">
        <f t="shared" ref="D453:O453" si="240">IFERROR(D454/1,"…")</f>
        <v>…</v>
      </c>
      <c r="E453" s="25" t="str">
        <f t="shared" si="240"/>
        <v>…</v>
      </c>
      <c r="F453" s="25" t="str">
        <f t="shared" si="240"/>
        <v>…</v>
      </c>
      <c r="G453" s="25" t="str">
        <f t="shared" si="240"/>
        <v>…</v>
      </c>
      <c r="H453" s="25" t="str">
        <f t="shared" si="240"/>
        <v>…</v>
      </c>
      <c r="I453" s="25" t="str">
        <f t="shared" si="240"/>
        <v>…</v>
      </c>
      <c r="J453" s="25" t="str">
        <f t="shared" si="240"/>
        <v>…</v>
      </c>
      <c r="K453" s="25" t="str">
        <f t="shared" si="240"/>
        <v>…</v>
      </c>
      <c r="L453" s="25" t="str">
        <f t="shared" si="240"/>
        <v>…</v>
      </c>
      <c r="M453" s="25" t="str">
        <f t="shared" si="240"/>
        <v>…</v>
      </c>
      <c r="N453" s="25" t="str">
        <f t="shared" si="240"/>
        <v>…</v>
      </c>
      <c r="O453" s="25" t="str">
        <f t="shared" si="240"/>
        <v>…</v>
      </c>
      <c r="P453" s="25"/>
      <c r="Q453" s="25"/>
      <c r="R453" s="25"/>
      <c r="S453" s="25"/>
      <c r="T453" s="25"/>
      <c r="U453" s="25"/>
      <c r="V453" s="25"/>
      <c r="W453" s="25"/>
      <c r="X453" s="25"/>
      <c r="Y453" s="25"/>
      <c r="Z453" s="25"/>
      <c r="AA453" s="25"/>
      <c r="AB453" s="25"/>
      <c r="AC453" s="25"/>
      <c r="AD453" s="24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25"/>
      <c r="AZ453" s="5"/>
      <c r="BJ453" s="24"/>
      <c r="BK453" s="22"/>
      <c r="BL453" s="23"/>
      <c r="BM453" s="22"/>
      <c r="BN453" s="22"/>
      <c r="BO453" s="22"/>
      <c r="BP453" s="22"/>
      <c r="BQ453" s="22"/>
      <c r="BR453" s="24"/>
      <c r="BT453" s="33"/>
    </row>
    <row r="454" spans="2:72" hidden="1" outlineLevel="1">
      <c r="B454" s="5" t="s">
        <v>275</v>
      </c>
      <c r="C454" s="43" t="s">
        <v>154</v>
      </c>
      <c r="D454" s="16" t="s">
        <v>289</v>
      </c>
      <c r="E454" s="16" t="s">
        <v>289</v>
      </c>
      <c r="F454" s="16" t="s">
        <v>289</v>
      </c>
      <c r="G454" s="16" t="s">
        <v>289</v>
      </c>
      <c r="H454" s="16" t="s">
        <v>289</v>
      </c>
      <c r="I454" s="16" t="s">
        <v>289</v>
      </c>
      <c r="J454" s="16" t="s">
        <v>289</v>
      </c>
      <c r="K454" s="16" t="s">
        <v>289</v>
      </c>
      <c r="L454" s="16" t="s">
        <v>289</v>
      </c>
      <c r="M454" s="16" t="s">
        <v>289</v>
      </c>
      <c r="N454" s="16" t="s">
        <v>289</v>
      </c>
      <c r="O454" s="16" t="s">
        <v>289</v>
      </c>
      <c r="P454" s="16" t="s">
        <v>289</v>
      </c>
      <c r="Q454" s="16" t="s">
        <v>289</v>
      </c>
      <c r="R454" s="16" t="s">
        <v>289</v>
      </c>
      <c r="S454" s="16" t="s">
        <v>289</v>
      </c>
      <c r="T454" s="16" t="s">
        <v>289</v>
      </c>
      <c r="U454" s="16" t="s">
        <v>289</v>
      </c>
      <c r="V454" s="16" t="s">
        <v>289</v>
      </c>
      <c r="W454" s="16"/>
      <c r="X454" s="16"/>
      <c r="Y454" s="16"/>
      <c r="Z454" s="16"/>
      <c r="AA454" s="16"/>
      <c r="AB454" s="25"/>
      <c r="AC454" s="25"/>
      <c r="AD454" s="24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16"/>
      <c r="AZ454" s="5"/>
      <c r="BJ454" s="24"/>
      <c r="BK454" s="22"/>
      <c r="BL454" s="23"/>
      <c r="BM454" s="22"/>
      <c r="BN454" s="22"/>
      <c r="BO454" s="22"/>
      <c r="BP454" s="22"/>
      <c r="BQ454" s="22"/>
      <c r="BR454" s="24"/>
    </row>
    <row r="455" spans="2:72" hidden="1" outlineLevel="1">
      <c r="C455" s="5" t="s">
        <v>270</v>
      </c>
      <c r="D455" s="25">
        <f t="shared" ref="D455:O455" si="241">IFERROR(D456/1,"…")</f>
        <v>0</v>
      </c>
      <c r="E455" s="25">
        <f t="shared" si="241"/>
        <v>0</v>
      </c>
      <c r="F455" s="25">
        <f t="shared" si="241"/>
        <v>0</v>
      </c>
      <c r="G455" s="25">
        <f t="shared" si="241"/>
        <v>0</v>
      </c>
      <c r="H455" s="25">
        <f t="shared" si="241"/>
        <v>0</v>
      </c>
      <c r="I455" s="25">
        <f t="shared" si="241"/>
        <v>0</v>
      </c>
      <c r="J455" s="25">
        <f t="shared" si="241"/>
        <v>0</v>
      </c>
      <c r="K455" s="25">
        <f t="shared" si="241"/>
        <v>0</v>
      </c>
      <c r="L455" s="25">
        <f t="shared" si="241"/>
        <v>0</v>
      </c>
      <c r="M455" s="25">
        <f t="shared" si="241"/>
        <v>0</v>
      </c>
      <c r="N455" s="25">
        <f t="shared" si="241"/>
        <v>0</v>
      </c>
      <c r="O455" s="25">
        <f t="shared" si="241"/>
        <v>0</v>
      </c>
      <c r="P455" s="25"/>
      <c r="Q455" s="25"/>
      <c r="R455" s="25"/>
      <c r="S455" s="25"/>
      <c r="T455" s="25"/>
      <c r="U455" s="25"/>
      <c r="V455" s="25"/>
      <c r="W455" s="25"/>
      <c r="X455" s="25"/>
      <c r="Y455" s="25"/>
      <c r="Z455" s="25"/>
      <c r="AA455" s="25"/>
      <c r="AB455" s="25"/>
      <c r="AC455" s="25"/>
      <c r="AD455" s="24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25"/>
      <c r="AZ455" s="5"/>
      <c r="BJ455" s="24"/>
      <c r="BK455" s="22"/>
      <c r="BL455" s="23"/>
      <c r="BM455" s="22"/>
      <c r="BN455" s="22"/>
      <c r="BO455" s="22"/>
      <c r="BP455" s="22"/>
      <c r="BQ455" s="22"/>
      <c r="BR455" s="24"/>
    </row>
    <row r="456" spans="2:72" hidden="1" outlineLevel="1">
      <c r="C456" s="43" t="s">
        <v>154</v>
      </c>
      <c r="D456" s="16"/>
      <c r="E456" s="16"/>
      <c r="F456" s="16"/>
      <c r="G456" s="16"/>
      <c r="H456" s="16"/>
      <c r="I456" s="16"/>
      <c r="J456" s="16"/>
      <c r="K456" s="16"/>
      <c r="L456" s="16"/>
      <c r="M456" s="16"/>
      <c r="N456" s="16"/>
      <c r="O456" s="16"/>
      <c r="P456" s="16"/>
      <c r="Q456" s="16"/>
      <c r="R456" s="16"/>
      <c r="S456" s="16"/>
      <c r="T456" s="16"/>
      <c r="U456" s="16"/>
      <c r="V456" s="16"/>
      <c r="W456" s="16"/>
      <c r="X456" s="16"/>
      <c r="Y456" s="16"/>
      <c r="Z456" s="16"/>
      <c r="AA456" s="16"/>
      <c r="AB456" s="25"/>
      <c r="AC456" s="25"/>
      <c r="AD456" s="24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16"/>
      <c r="AZ456" s="5"/>
      <c r="BK456" s="22"/>
      <c r="BL456" s="23"/>
      <c r="BM456" s="22"/>
      <c r="BN456" s="22"/>
      <c r="BO456" s="22"/>
      <c r="BP456" s="22"/>
      <c r="BQ456" s="22"/>
      <c r="BR456" s="24"/>
    </row>
    <row r="457" spans="2:72" hidden="1" outlineLevel="1">
      <c r="B457" s="5" t="s">
        <v>1745</v>
      </c>
      <c r="C457" s="43" t="s">
        <v>1745</v>
      </c>
      <c r="D457" s="16"/>
      <c r="E457" s="16"/>
      <c r="F457" s="16"/>
      <c r="G457" s="16"/>
      <c r="H457" s="16"/>
      <c r="I457" s="16"/>
      <c r="J457" s="16"/>
      <c r="K457" s="16"/>
      <c r="L457" s="16"/>
      <c r="M457" s="16"/>
      <c r="N457" s="16"/>
      <c r="O457" s="16"/>
      <c r="P457" s="25" t="s">
        <v>289</v>
      </c>
      <c r="Q457" s="25" t="s">
        <v>289</v>
      </c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4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25"/>
      <c r="AZ457" s="5"/>
      <c r="BJ457" s="24"/>
      <c r="BK457" s="22"/>
      <c r="BL457" s="23"/>
      <c r="BM457" s="22"/>
      <c r="BN457" s="22"/>
      <c r="BO457" s="22"/>
      <c r="BP457" s="22"/>
      <c r="BQ457" s="22"/>
      <c r="BR457" s="24"/>
      <c r="BT457" s="33"/>
    </row>
    <row r="458" spans="2:72" hidden="1" outlineLevel="1">
      <c r="C458" s="43"/>
      <c r="D458" s="16"/>
      <c r="E458" s="16"/>
      <c r="F458" s="16"/>
      <c r="G458" s="16"/>
      <c r="H458" s="16"/>
      <c r="I458" s="16"/>
      <c r="J458" s="16"/>
      <c r="K458" s="16"/>
      <c r="L458" s="16"/>
      <c r="M458" s="16"/>
      <c r="N458" s="16"/>
      <c r="O458" s="16"/>
      <c r="P458" s="25"/>
      <c r="Q458" s="25"/>
      <c r="R458" s="25"/>
      <c r="S458" s="25"/>
      <c r="T458" s="25"/>
      <c r="U458" s="25"/>
      <c r="V458" s="25"/>
      <c r="W458" s="25"/>
      <c r="X458" s="25"/>
      <c r="Y458" s="25"/>
      <c r="Z458" s="25"/>
      <c r="AA458" s="25"/>
      <c r="AB458" s="25"/>
      <c r="AC458" s="25"/>
      <c r="AD458" s="24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25"/>
      <c r="AZ458" s="5"/>
      <c r="BJ458" s="24"/>
      <c r="BK458" s="22"/>
      <c r="BL458" s="23"/>
      <c r="BM458" s="22"/>
      <c r="BN458" s="22"/>
      <c r="BO458" s="22"/>
      <c r="BP458" s="22"/>
      <c r="BQ458" s="22"/>
      <c r="BR458" s="24"/>
      <c r="BT458" s="33"/>
    </row>
    <row r="459" spans="2:72" collapsed="1">
      <c r="C459" s="43"/>
      <c r="D459" s="16"/>
      <c r="E459" s="16"/>
      <c r="F459" s="16"/>
      <c r="G459" s="16"/>
      <c r="H459" s="16"/>
      <c r="I459" s="16"/>
      <c r="J459" s="16"/>
      <c r="K459" s="16"/>
      <c r="L459" s="16"/>
      <c r="M459" s="16"/>
      <c r="N459" s="16"/>
      <c r="O459" s="16"/>
      <c r="P459" s="25"/>
      <c r="Q459" s="25"/>
      <c r="R459" s="25"/>
      <c r="S459" s="25"/>
      <c r="T459" s="25"/>
      <c r="U459" s="25"/>
      <c r="V459" s="25"/>
      <c r="W459" s="25"/>
      <c r="X459" s="25"/>
      <c r="Y459" s="25"/>
      <c r="Z459" s="25"/>
      <c r="AA459" s="25"/>
      <c r="AB459" s="25"/>
      <c r="AC459" s="25"/>
      <c r="AD459" s="24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25"/>
      <c r="AZ459" s="5"/>
      <c r="BJ459" s="24"/>
      <c r="BK459" s="22"/>
      <c r="BL459" s="23"/>
      <c r="BM459" s="22"/>
      <c r="BN459" s="22"/>
      <c r="BO459" s="22"/>
      <c r="BP459" s="22"/>
      <c r="BQ459" s="22"/>
      <c r="BR459" s="24"/>
      <c r="BT459" s="33"/>
    </row>
    <row r="463" spans="2:72">
      <c r="C463" s="43"/>
      <c r="D463" s="16"/>
      <c r="E463" s="16"/>
      <c r="F463" s="16"/>
      <c r="G463" s="16"/>
      <c r="H463" s="16"/>
      <c r="I463" s="16"/>
      <c r="J463" s="16"/>
      <c r="K463" s="16"/>
      <c r="L463" s="16"/>
      <c r="M463" s="16"/>
      <c r="N463" s="16"/>
      <c r="O463" s="16"/>
      <c r="P463" s="25"/>
      <c r="Q463" s="25"/>
      <c r="R463" s="25"/>
      <c r="S463" s="25"/>
      <c r="T463" s="25"/>
      <c r="U463" s="25"/>
      <c r="V463" s="25"/>
      <c r="W463" s="25"/>
      <c r="X463" s="25"/>
      <c r="Y463" s="25"/>
      <c r="Z463" s="25"/>
      <c r="AA463" s="25"/>
      <c r="AB463" s="25"/>
      <c r="AC463" s="25"/>
      <c r="AD463" s="24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25"/>
      <c r="AZ463" s="5"/>
      <c r="BJ463" s="24"/>
      <c r="BK463" s="22"/>
      <c r="BL463" s="23"/>
      <c r="BM463" s="22"/>
      <c r="BN463" s="22"/>
      <c r="BO463" s="22"/>
      <c r="BP463" s="22"/>
      <c r="BQ463" s="22"/>
      <c r="BR463" s="24"/>
      <c r="BT463" s="33"/>
    </row>
    <row r="464" spans="2:72">
      <c r="C464" s="43"/>
      <c r="D464" s="16"/>
      <c r="E464" s="16"/>
      <c r="F464" s="16"/>
      <c r="G464" s="16"/>
      <c r="H464" s="16"/>
      <c r="I464" s="16"/>
      <c r="J464" s="16"/>
      <c r="K464" s="16"/>
      <c r="L464" s="16"/>
      <c r="M464" s="16"/>
      <c r="N464" s="16"/>
      <c r="O464" s="16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4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25"/>
      <c r="AZ464" s="5"/>
      <c r="BJ464" s="24"/>
      <c r="BK464" s="22"/>
      <c r="BL464" s="23"/>
      <c r="BM464" s="22"/>
      <c r="BN464" s="22"/>
      <c r="BO464" s="22"/>
      <c r="BP464" s="22"/>
      <c r="BQ464" s="22"/>
      <c r="BR464" s="24"/>
      <c r="BT464" s="33"/>
    </row>
    <row r="465" spans="2:72" ht="13.15">
      <c r="C465" s="9" t="s">
        <v>1999</v>
      </c>
      <c r="D465" s="25" t="str">
        <f t="shared" ref="D465:Y465" si="242">IF(ISNUMBER(D467),D467,IF(ISNUMBER(D466),D466,IF(ISNUMBER(D468),D468,"…")))</f>
        <v>…</v>
      </c>
      <c r="E465" s="25" t="str">
        <f t="shared" si="242"/>
        <v>…</v>
      </c>
      <c r="F465" s="25" t="str">
        <f t="shared" si="242"/>
        <v>…</v>
      </c>
      <c r="G465" s="25" t="str">
        <f t="shared" si="242"/>
        <v>…</v>
      </c>
      <c r="H465" s="25" t="str">
        <f t="shared" si="242"/>
        <v>…</v>
      </c>
      <c r="I465" s="25" t="str">
        <f t="shared" si="242"/>
        <v>…</v>
      </c>
      <c r="J465" s="25" t="str">
        <f t="shared" si="242"/>
        <v>…</v>
      </c>
      <c r="K465" s="25" t="str">
        <f t="shared" si="242"/>
        <v>…</v>
      </c>
      <c r="L465" s="25" t="str">
        <f t="shared" si="242"/>
        <v>…</v>
      </c>
      <c r="M465" s="25" t="str">
        <f t="shared" si="242"/>
        <v>…</v>
      </c>
      <c r="N465" s="25" t="str">
        <f t="shared" si="242"/>
        <v>…</v>
      </c>
      <c r="O465" s="25" t="str">
        <f t="shared" si="242"/>
        <v>…</v>
      </c>
      <c r="P465" s="25" t="str">
        <f t="shared" si="242"/>
        <v>…</v>
      </c>
      <c r="Q465" s="25" t="str">
        <f t="shared" si="242"/>
        <v>…</v>
      </c>
      <c r="R465" s="25" t="str">
        <f t="shared" si="242"/>
        <v>…</v>
      </c>
      <c r="S465" s="25" t="str">
        <f t="shared" si="242"/>
        <v>…</v>
      </c>
      <c r="T465" s="25" t="str">
        <f t="shared" si="242"/>
        <v>…</v>
      </c>
      <c r="U465" s="25" t="str">
        <f t="shared" si="242"/>
        <v>…</v>
      </c>
      <c r="V465" s="25" t="str">
        <f t="shared" si="242"/>
        <v>…</v>
      </c>
      <c r="W465" s="25" t="str">
        <f t="shared" si="242"/>
        <v>…</v>
      </c>
      <c r="X465" s="25" t="str">
        <f t="shared" si="242"/>
        <v>…</v>
      </c>
      <c r="Y465" s="25" t="str">
        <f t="shared" si="242"/>
        <v>…</v>
      </c>
      <c r="Z465" s="25"/>
      <c r="AA465" s="25"/>
      <c r="AB465" s="25"/>
      <c r="AC465" s="25"/>
      <c r="AD465" s="24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25"/>
      <c r="AZ465" s="5"/>
      <c r="BJ465" s="24"/>
      <c r="BK465" s="22"/>
      <c r="BL465" s="23"/>
      <c r="BM465" s="22"/>
      <c r="BN465" s="22"/>
      <c r="BO465" s="22"/>
      <c r="BP465" s="22"/>
      <c r="BQ465" s="22"/>
      <c r="BR465" s="24"/>
      <c r="BT465" s="33"/>
    </row>
    <row r="466" spans="2:72">
      <c r="B466" s="5" t="s">
        <v>1784</v>
      </c>
      <c r="C466" s="43" t="s">
        <v>154</v>
      </c>
      <c r="D466" s="16" t="s">
        <v>289</v>
      </c>
      <c r="E466" s="16" t="s">
        <v>289</v>
      </c>
      <c r="F466" s="16" t="s">
        <v>289</v>
      </c>
      <c r="G466" s="16" t="s">
        <v>289</v>
      </c>
      <c r="H466" s="16" t="s">
        <v>289</v>
      </c>
      <c r="I466" s="16" t="s">
        <v>289</v>
      </c>
      <c r="J466" s="16" t="s">
        <v>289</v>
      </c>
      <c r="K466" s="16" t="s">
        <v>289</v>
      </c>
      <c r="L466" s="16" t="s">
        <v>289</v>
      </c>
      <c r="M466" s="16" t="s">
        <v>289</v>
      </c>
      <c r="N466" s="16" t="s">
        <v>289</v>
      </c>
      <c r="O466" s="16" t="s">
        <v>289</v>
      </c>
      <c r="P466" s="20" t="s">
        <v>289</v>
      </c>
      <c r="Q466" s="20" t="s">
        <v>289</v>
      </c>
      <c r="R466" s="20" t="s">
        <v>289</v>
      </c>
      <c r="S466" s="20" t="s">
        <v>289</v>
      </c>
      <c r="T466" s="20" t="s">
        <v>289</v>
      </c>
      <c r="U466" s="20" t="s">
        <v>289</v>
      </c>
      <c r="V466" s="20" t="s">
        <v>289</v>
      </c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Z466" s="5"/>
    </row>
    <row r="467" spans="2:72">
      <c r="C467" s="43"/>
      <c r="D467" s="16"/>
      <c r="E467" s="16"/>
      <c r="F467" s="16"/>
      <c r="G467" s="16"/>
      <c r="H467" s="16"/>
      <c r="I467" s="16"/>
      <c r="J467" s="16"/>
      <c r="K467" s="16"/>
      <c r="L467" s="16"/>
      <c r="M467" s="16"/>
      <c r="N467" s="16"/>
      <c r="O467" s="16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4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25"/>
      <c r="AZ467" s="5"/>
      <c r="BJ467" s="24"/>
      <c r="BK467" s="22"/>
      <c r="BL467" s="23"/>
      <c r="BM467" s="22"/>
      <c r="BN467" s="22"/>
      <c r="BO467" s="22"/>
      <c r="BP467" s="22"/>
      <c r="BQ467" s="22"/>
      <c r="BR467" s="24"/>
      <c r="BT467" s="33"/>
    </row>
    <row r="468" spans="2:72">
      <c r="C468" s="43"/>
      <c r="D468" s="16"/>
      <c r="E468" s="16"/>
      <c r="F468" s="16"/>
      <c r="G468" s="16"/>
      <c r="H468" s="16"/>
      <c r="I468" s="16"/>
      <c r="J468" s="16"/>
      <c r="K468" s="16"/>
      <c r="L468" s="16"/>
      <c r="M468" s="16"/>
      <c r="N468" s="16"/>
      <c r="O468" s="16"/>
      <c r="P468" s="25"/>
      <c r="Q468" s="25"/>
      <c r="R468" s="25"/>
      <c r="S468" s="25"/>
      <c r="T468" s="25"/>
      <c r="U468" s="25"/>
      <c r="V468" s="25"/>
      <c r="W468" s="25"/>
      <c r="X468" s="25"/>
      <c r="Y468" s="25"/>
      <c r="Z468" s="25"/>
      <c r="AA468" s="25"/>
      <c r="AB468" s="25"/>
      <c r="AC468" s="25"/>
      <c r="AD468" s="24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25"/>
      <c r="AZ468" s="5"/>
      <c r="BJ468" s="24"/>
      <c r="BK468" s="22"/>
      <c r="BL468" s="23"/>
      <c r="BM468" s="22"/>
      <c r="BN468" s="22"/>
      <c r="BO468" s="22"/>
      <c r="BP468" s="22"/>
      <c r="BQ468" s="22"/>
      <c r="BR468" s="24"/>
      <c r="BT468" s="33"/>
    </row>
    <row r="469" spans="2:72">
      <c r="C469" s="43"/>
      <c r="D469" s="16"/>
      <c r="E469" s="16"/>
      <c r="F469" s="16"/>
      <c r="G469" s="16"/>
      <c r="H469" s="16"/>
      <c r="I469" s="16"/>
      <c r="J469" s="16"/>
      <c r="K469" s="16"/>
      <c r="L469" s="16"/>
      <c r="M469" s="16"/>
      <c r="N469" s="16"/>
      <c r="O469" s="16"/>
      <c r="P469" s="25"/>
      <c r="Q469" s="25"/>
      <c r="R469" s="25"/>
      <c r="S469" s="25"/>
      <c r="T469" s="25"/>
      <c r="U469" s="25"/>
      <c r="V469" s="25"/>
      <c r="W469" s="25"/>
      <c r="X469" s="25"/>
      <c r="Y469" s="25"/>
      <c r="Z469" s="25"/>
      <c r="AA469" s="25"/>
      <c r="AB469" s="25"/>
      <c r="AC469" s="25"/>
      <c r="AD469" s="24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25"/>
      <c r="AZ469" s="5"/>
      <c r="BJ469" s="24"/>
      <c r="BK469" s="22"/>
      <c r="BL469" s="23"/>
      <c r="BM469" s="22"/>
      <c r="BN469" s="22"/>
      <c r="BO469" s="22"/>
      <c r="BP469" s="22"/>
      <c r="BQ469" s="22"/>
      <c r="BR469" s="24"/>
      <c r="BT469" s="33"/>
    </row>
    <row r="470" spans="2:72">
      <c r="C470" s="43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25"/>
      <c r="P470" s="25"/>
      <c r="Q470" s="25"/>
      <c r="R470" s="25"/>
      <c r="S470" s="25"/>
      <c r="T470" s="25"/>
      <c r="U470" s="25"/>
      <c r="V470" s="25"/>
      <c r="W470" s="25"/>
      <c r="X470" s="25"/>
      <c r="Y470" s="25"/>
      <c r="Z470" s="25"/>
      <c r="AA470" s="25"/>
      <c r="AB470" s="25"/>
      <c r="AC470" s="25"/>
      <c r="AD470" s="24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25"/>
      <c r="AZ470" s="5"/>
      <c r="BK470" s="22"/>
      <c r="BL470" s="23"/>
      <c r="BM470" s="22"/>
      <c r="BN470" s="22"/>
      <c r="BO470" s="22"/>
      <c r="BP470" s="22"/>
      <c r="BQ470" s="22"/>
      <c r="BR470" s="24"/>
    </row>
    <row r="471" spans="2:72">
      <c r="C471" s="5" t="s">
        <v>2142</v>
      </c>
      <c r="D471" s="103" t="str">
        <f>IF(C$8="A",IF(C474="…","calc.",IFERROR(1/(1/(C474)),IF(C$8="E",IFERROR(1/(1/(MIN(R24))),"…"),"…"))),"...")</f>
        <v>...</v>
      </c>
      <c r="E471" s="103">
        <f t="shared" ref="E471:M471" si="243">IF(D$8="A",IF(D474="…","calc.",IFERROR(1/(1/(D474)),IF(D$8="E",IFERROR(1/(1/(MIN(AC24))),"…"),"…"))),"...")</f>
        <v>48107</v>
      </c>
      <c r="F471" s="103">
        <f t="shared" si="243"/>
        <v>50026</v>
      </c>
      <c r="G471" s="103">
        <f t="shared" si="243"/>
        <v>44299</v>
      </c>
      <c r="H471" s="103">
        <f t="shared" si="243"/>
        <v>41265</v>
      </c>
      <c r="I471" s="103">
        <f t="shared" si="243"/>
        <v>56136</v>
      </c>
      <c r="J471" s="103">
        <f t="shared" si="243"/>
        <v>53729.999999999993</v>
      </c>
      <c r="K471" s="103">
        <f t="shared" si="243"/>
        <v>-16948</v>
      </c>
      <c r="L471" s="103">
        <f t="shared" si="243"/>
        <v>-15017.000000000002</v>
      </c>
      <c r="M471" s="103">
        <f t="shared" si="243"/>
        <v>-8634</v>
      </c>
      <c r="N471" s="103">
        <f>IF(M$8="A",IF(M474="…","calc.",IFERROR(1/(1/(M474)),IF(M$8="E",IFERROR(1/(1/(MIN(AK24))),"…"),"…"))),"...")</f>
        <v>-15193.000000000002</v>
      </c>
      <c r="O471" s="103">
        <f t="shared" ref="O471:V471" si="244">IF(N$8="A",IF(N474="…","calc.",IFERROR(1/(1/(N474)),"...")),IF(N$8="E",IFERROR(1/(1/(MIN(AL24))),"…"),"..."))</f>
        <v>-15900</v>
      </c>
      <c r="P471" s="103">
        <f t="shared" si="244"/>
        <v>-23753.000000000004</v>
      </c>
      <c r="Q471" s="103">
        <f t="shared" si="244"/>
        <v>-33951</v>
      </c>
      <c r="R471" s="103">
        <f t="shared" si="244"/>
        <v>-30241.999999999996</v>
      </c>
      <c r="S471" s="103">
        <f t="shared" si="244"/>
        <v>-34402</v>
      </c>
      <c r="T471" s="103">
        <f t="shared" si="244"/>
        <v>-33540</v>
      </c>
      <c r="U471" s="103">
        <f t="shared" si="244"/>
        <v>-39514</v>
      </c>
      <c r="V471" s="103">
        <f t="shared" si="244"/>
        <v>-39561</v>
      </c>
      <c r="W471" s="103" t="str">
        <f>IF(V$8="A",IF(V474="…","calc.",IFERROR(1/(1/(V474)),"...")),IF(V$8="E",IFERROR(1/(1/(MIN(AX24))),"…"),"..."))</f>
        <v>…</v>
      </c>
      <c r="X471" s="103" t="str">
        <f>IF(W$8="A",IF(W474="…","calc.",IFERROR(1/(1/(W474)),"...")),IF(W$8="E",IFERROR(1/(1/(MIN(AY24))),"…"),"..."))</f>
        <v>…</v>
      </c>
      <c r="Y471" s="103" t="str">
        <f>IF(X$8="A",IF(X474="…","calc.",IFERROR(1/(1/(X474)),"...")),IF(X$8="E",IFERROR(1/(1/(MIN(AZ24))),"…"),"..."))</f>
        <v>…</v>
      </c>
      <c r="Z471" s="103"/>
      <c r="AA471" s="103"/>
      <c r="AB471" s="25"/>
      <c r="AC471" s="25"/>
      <c r="AD471" s="24"/>
      <c r="AE471" s="5" t="s">
        <v>2143</v>
      </c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103"/>
      <c r="AZ471" s="5"/>
      <c r="BK471" s="22"/>
      <c r="BL471" s="23"/>
      <c r="BM471" s="22"/>
      <c r="BN471" s="22"/>
      <c r="BO471" s="22"/>
      <c r="BP471" s="22"/>
      <c r="BQ471" s="22"/>
      <c r="BR471" s="24"/>
    </row>
    <row r="472" spans="2:72">
      <c r="O472" s="103"/>
      <c r="P472" s="103"/>
      <c r="Q472" s="103"/>
      <c r="R472" s="103"/>
      <c r="S472" s="103"/>
      <c r="T472" s="103"/>
      <c r="U472" s="103"/>
      <c r="V472" s="103"/>
      <c r="W472" s="103"/>
      <c r="X472" s="103"/>
      <c r="Y472" s="103"/>
      <c r="Z472" s="103"/>
      <c r="AA472" s="103"/>
      <c r="AB472" s="25"/>
      <c r="AC472" s="25"/>
      <c r="AD472" s="24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103"/>
      <c r="AZ472" s="5"/>
      <c r="BK472" s="22"/>
      <c r="BL472" s="23"/>
      <c r="BM472" s="22"/>
      <c r="BN472" s="22"/>
      <c r="BO472" s="22"/>
      <c r="BP472" s="22"/>
      <c r="BQ472" s="22"/>
      <c r="BR472" s="24"/>
    </row>
    <row r="473" spans="2:72">
      <c r="AB473" s="25"/>
      <c r="AC473" s="25"/>
      <c r="AD473" s="24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Z473" s="5"/>
      <c r="BK473" s="22"/>
      <c r="BL473" s="23"/>
      <c r="BM473" s="22"/>
      <c r="BN473" s="22"/>
      <c r="BO473" s="22"/>
      <c r="BP473" s="22"/>
      <c r="BQ473" s="22"/>
      <c r="BR473" s="24"/>
    </row>
    <row r="474" spans="2:72" ht="13.15">
      <c r="B474" s="5" t="s">
        <v>8</v>
      </c>
      <c r="C474" s="9" t="s">
        <v>8</v>
      </c>
      <c r="D474" s="99">
        <v>48107</v>
      </c>
      <c r="E474" s="99">
        <v>50026</v>
      </c>
      <c r="F474" s="99">
        <v>44299</v>
      </c>
      <c r="G474" s="99">
        <v>41265</v>
      </c>
      <c r="H474" s="99">
        <v>56136</v>
      </c>
      <c r="I474" s="99">
        <v>53730</v>
      </c>
      <c r="J474" s="99">
        <v>-16948</v>
      </c>
      <c r="K474" s="99">
        <v>-15017</v>
      </c>
      <c r="L474" s="99">
        <v>-8634</v>
      </c>
      <c r="M474" s="99">
        <v>-15193</v>
      </c>
      <c r="N474" s="99">
        <v>-15900</v>
      </c>
      <c r="O474" s="99">
        <v>-23753</v>
      </c>
      <c r="P474" s="99">
        <v>-33951</v>
      </c>
      <c r="Q474" s="99">
        <v>-30242</v>
      </c>
      <c r="R474" s="99">
        <v>-34402</v>
      </c>
      <c r="S474" s="99">
        <v>-33540</v>
      </c>
      <c r="T474" s="99">
        <v>-39514</v>
      </c>
      <c r="U474" s="99">
        <v>-39561</v>
      </c>
      <c r="V474" s="99" t="s">
        <v>289</v>
      </c>
      <c r="W474" s="99"/>
      <c r="X474" s="99"/>
      <c r="Y474" s="99"/>
      <c r="Z474" s="99"/>
      <c r="AA474" s="99"/>
      <c r="AB474" s="25"/>
      <c r="AC474" s="25"/>
      <c r="AD474" s="24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99"/>
      <c r="AZ474" s="5"/>
      <c r="BK474" s="22"/>
      <c r="BL474" s="23"/>
      <c r="BM474" s="22"/>
      <c r="BN474" s="22"/>
      <c r="BO474" s="22"/>
      <c r="BP474" s="22"/>
      <c r="BQ474" s="22"/>
      <c r="BR474" s="24"/>
    </row>
    <row r="475" spans="2:72" ht="13.15">
      <c r="C475" s="9"/>
      <c r="AD475" s="24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Z475" s="5"/>
      <c r="BK475" s="22"/>
      <c r="BL475" s="23"/>
      <c r="BM475" s="22"/>
      <c r="BN475" s="22"/>
      <c r="BO475" s="22"/>
      <c r="BP475" s="22"/>
      <c r="BQ475" s="22"/>
      <c r="BR475" s="24"/>
    </row>
    <row r="476" spans="2:72" ht="13.15">
      <c r="C476" s="9" t="s">
        <v>332</v>
      </c>
      <c r="D476" s="39">
        <f t="shared" ref="D476:V476" si="245">IFERROR(D394/D315,"…")</f>
        <v>0.11489046007890921</v>
      </c>
      <c r="E476" s="39">
        <f t="shared" si="245"/>
        <v>8.3585254230171727E-2</v>
      </c>
      <c r="F476" s="39">
        <f t="shared" si="245"/>
        <v>8.9315852205005958E-2</v>
      </c>
      <c r="G476" s="39">
        <f t="shared" si="245"/>
        <v>9.2858389119994125E-2</v>
      </c>
      <c r="H476" s="39">
        <f t="shared" si="245"/>
        <v>8.3245466048080974E-2</v>
      </c>
      <c r="I476" s="39">
        <f t="shared" si="245"/>
        <v>0.19526177189196384</v>
      </c>
      <c r="J476" s="39">
        <f t="shared" si="245"/>
        <v>0.14715270935960592</v>
      </c>
      <c r="K476" s="39">
        <f t="shared" si="245"/>
        <v>0.11479442941689626</v>
      </c>
      <c r="L476" s="39">
        <f t="shared" si="245"/>
        <v>9.5953829226265858E-2</v>
      </c>
      <c r="M476" s="39">
        <f t="shared" si="245"/>
        <v>0.11765064185536554</v>
      </c>
      <c r="N476" s="39">
        <f t="shared" si="245"/>
        <v>9.4454158393345783E-2</v>
      </c>
      <c r="O476" s="39">
        <f t="shared" si="245"/>
        <v>9.7856459689064756E-2</v>
      </c>
      <c r="P476" s="39">
        <f t="shared" si="245"/>
        <v>8.8669701335223478E-2</v>
      </c>
      <c r="Q476" s="39">
        <f t="shared" si="245"/>
        <v>8.0010577331564664E-2</v>
      </c>
      <c r="R476" s="39">
        <f t="shared" si="245"/>
        <v>0.12269714944731587</v>
      </c>
      <c r="S476" s="39">
        <f t="shared" si="245"/>
        <v>0.10261170398049337</v>
      </c>
      <c r="T476" s="39">
        <f t="shared" si="245"/>
        <v>0.15213743471940561</v>
      </c>
      <c r="U476" s="39">
        <f t="shared" si="245"/>
        <v>0.15876498800959232</v>
      </c>
      <c r="V476" s="39" t="str">
        <f t="shared" si="245"/>
        <v>…</v>
      </c>
      <c r="W476" s="39" t="str">
        <f>IFERROR(W394/W315,"…")</f>
        <v>…</v>
      </c>
      <c r="X476" s="39" t="str">
        <f>IFERROR(X394/X315,"…")</f>
        <v>…</v>
      </c>
      <c r="Y476" s="39" t="str">
        <f>IFERROR(Y394/Y315,"…")</f>
        <v>…</v>
      </c>
      <c r="Z476" s="39"/>
      <c r="AA476" s="39"/>
      <c r="AD476" s="24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39"/>
      <c r="AZ476" s="5"/>
    </row>
    <row r="477" spans="2:72"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Z477" s="5"/>
      <c r="BK477" s="22"/>
      <c r="BL477" s="23"/>
      <c r="BM477" s="22"/>
      <c r="BN477" s="22"/>
      <c r="BO477" s="22"/>
      <c r="BP477" s="22"/>
      <c r="BQ477" s="22"/>
      <c r="BR477" s="24"/>
    </row>
    <row r="478" spans="2:72" ht="13.15">
      <c r="C478" s="9" t="s">
        <v>279</v>
      </c>
      <c r="D478" s="49">
        <f t="shared" ref="D478:Y478" si="246">IF(ISNUMBER(D480),D480,IF(ISNUMBER(D479),D479,"…"))</f>
        <v>-5550</v>
      </c>
      <c r="E478" s="49">
        <f t="shared" si="246"/>
        <v>-4434</v>
      </c>
      <c r="F478" s="49">
        <f t="shared" si="246"/>
        <v>-3728</v>
      </c>
      <c r="G478" s="49">
        <f t="shared" si="246"/>
        <v>-4638</v>
      </c>
      <c r="H478" s="49">
        <f t="shared" si="246"/>
        <v>-6883</v>
      </c>
      <c r="I478" s="49">
        <f t="shared" si="246"/>
        <v>-5963</v>
      </c>
      <c r="J478" s="49">
        <f t="shared" si="246"/>
        <v>-5758</v>
      </c>
      <c r="K478" s="49">
        <f t="shared" si="246"/>
        <v>-8087</v>
      </c>
      <c r="L478" s="49">
        <f t="shared" si="246"/>
        <v>-10493</v>
      </c>
      <c r="M478" s="49">
        <f>IF(ISNUMBER(M480),M480,IF(ISNUMBER(M479),M479,"…"))</f>
        <v>-11385</v>
      </c>
      <c r="N478" s="49">
        <f t="shared" si="246"/>
        <v>-12012</v>
      </c>
      <c r="O478" s="49">
        <f t="shared" si="246"/>
        <v>-13213</v>
      </c>
      <c r="P478" s="49">
        <f t="shared" si="246"/>
        <v>-13152</v>
      </c>
      <c r="Q478" s="49">
        <f t="shared" si="246"/>
        <v>-13052</v>
      </c>
      <c r="R478" s="49">
        <f t="shared" si="246"/>
        <v>-13729</v>
      </c>
      <c r="S478" s="49">
        <f t="shared" si="246"/>
        <v>-14230</v>
      </c>
      <c r="T478" s="49">
        <f t="shared" si="246"/>
        <v>-11273</v>
      </c>
      <c r="U478" s="49">
        <f t="shared" si="246"/>
        <v>-18498</v>
      </c>
      <c r="V478" s="49" t="str">
        <f t="shared" si="246"/>
        <v>…</v>
      </c>
      <c r="W478" s="49" t="str">
        <f t="shared" si="246"/>
        <v>…</v>
      </c>
      <c r="X478" s="49" t="str">
        <f t="shared" si="246"/>
        <v>…</v>
      </c>
      <c r="Y478" s="49" t="str">
        <f t="shared" si="246"/>
        <v>…</v>
      </c>
      <c r="Z478" s="49"/>
      <c r="AA478" s="49"/>
      <c r="AD478" s="24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49"/>
      <c r="AZ478" s="5"/>
    </row>
    <row r="479" spans="2:72">
      <c r="B479" s="5" t="s">
        <v>280</v>
      </c>
      <c r="C479" s="44" t="s">
        <v>154</v>
      </c>
      <c r="D479" s="99">
        <v>-5550</v>
      </c>
      <c r="E479" s="99">
        <v>-4434</v>
      </c>
      <c r="F479" s="99">
        <v>-3728</v>
      </c>
      <c r="G479" s="99">
        <v>-4638</v>
      </c>
      <c r="H479" s="99">
        <v>-6883</v>
      </c>
      <c r="I479" s="99">
        <v>-5963</v>
      </c>
      <c r="J479" s="99">
        <v>-5758</v>
      </c>
      <c r="K479" s="99">
        <v>-8087</v>
      </c>
      <c r="L479" s="99">
        <v>-10493</v>
      </c>
      <c r="M479" s="99">
        <v>-11385</v>
      </c>
      <c r="N479" s="99">
        <v>-12012</v>
      </c>
      <c r="O479" s="99">
        <v>-13213</v>
      </c>
      <c r="P479" s="99">
        <v>-13152</v>
      </c>
      <c r="Q479" s="99">
        <v>-13052</v>
      </c>
      <c r="R479" s="99">
        <v>-13729</v>
      </c>
      <c r="S479" s="99">
        <v>-14230</v>
      </c>
      <c r="T479" s="99">
        <v>-11273</v>
      </c>
      <c r="U479" s="99">
        <v>-18498</v>
      </c>
      <c r="V479" s="99" t="s">
        <v>289</v>
      </c>
      <c r="W479" s="99"/>
      <c r="X479" s="99"/>
      <c r="Y479" s="99"/>
      <c r="Z479" s="99"/>
      <c r="AA479" s="99"/>
      <c r="AD479" s="24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99"/>
      <c r="AZ479" s="5"/>
    </row>
    <row r="480" spans="2:72">
      <c r="B480" s="5" t="s">
        <v>281</v>
      </c>
      <c r="C480" s="44" t="s">
        <v>161</v>
      </c>
      <c r="D480" s="99" t="s">
        <v>289</v>
      </c>
      <c r="E480" s="99" t="s">
        <v>289</v>
      </c>
      <c r="F480" s="99" t="s">
        <v>289</v>
      </c>
      <c r="G480" s="99" t="s">
        <v>289</v>
      </c>
      <c r="H480" s="99" t="s">
        <v>289</v>
      </c>
      <c r="I480" s="99" t="s">
        <v>289</v>
      </c>
      <c r="J480" s="99" t="s">
        <v>289</v>
      </c>
      <c r="K480" s="99" t="s">
        <v>289</v>
      </c>
      <c r="L480" s="99" t="s">
        <v>289</v>
      </c>
      <c r="M480" s="99" t="s">
        <v>289</v>
      </c>
      <c r="N480" s="99" t="s">
        <v>289</v>
      </c>
      <c r="O480" s="99" t="s">
        <v>289</v>
      </c>
      <c r="P480" s="99" t="s">
        <v>289</v>
      </c>
      <c r="Q480" s="99" t="s">
        <v>289</v>
      </c>
      <c r="R480" s="99" t="s">
        <v>289</v>
      </c>
      <c r="S480" s="99" t="s">
        <v>289</v>
      </c>
      <c r="T480" s="99" t="s">
        <v>289</v>
      </c>
      <c r="U480" s="99" t="s">
        <v>289</v>
      </c>
      <c r="V480" s="99" t="s">
        <v>289</v>
      </c>
      <c r="W480" s="99"/>
      <c r="X480" s="99"/>
      <c r="Y480" s="99"/>
      <c r="Z480" s="99"/>
      <c r="AA480" s="99"/>
      <c r="AD480" s="24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99"/>
      <c r="AZ480" s="5"/>
    </row>
    <row r="481" spans="2:52" ht="13.15">
      <c r="C481" s="9"/>
      <c r="AD481" s="24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Z481" s="5"/>
    </row>
    <row r="482" spans="2:52" ht="13.15">
      <c r="C482" s="9"/>
      <c r="AD482" s="24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Z482" s="5"/>
    </row>
    <row r="483" spans="2:52" ht="13.15">
      <c r="C483" s="9" t="s">
        <v>282</v>
      </c>
      <c r="AD483" s="24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Z483" s="5"/>
    </row>
    <row r="484" spans="2:52" ht="13.15">
      <c r="C484" s="9"/>
      <c r="AD484" s="24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Z484" s="5"/>
    </row>
    <row r="485" spans="2:52" ht="13.15">
      <c r="C485" s="9" t="s">
        <v>1743</v>
      </c>
      <c r="N485" s="25"/>
      <c r="AD485" s="24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Z485" s="5"/>
    </row>
    <row r="486" spans="2:52">
      <c r="C486" s="38" t="s">
        <v>354</v>
      </c>
      <c r="D486" s="116">
        <f t="shared" ref="D486:V486" si="247">D363</f>
        <v>55391</v>
      </c>
      <c r="E486" s="116">
        <f t="shared" si="247"/>
        <v>57846</v>
      </c>
      <c r="F486" s="116">
        <f t="shared" si="247"/>
        <v>61229</v>
      </c>
      <c r="G486" s="116">
        <f t="shared" si="247"/>
        <v>68516</v>
      </c>
      <c r="H486" s="116">
        <f t="shared" si="247"/>
        <v>76163</v>
      </c>
      <c r="I486" s="116">
        <f t="shared" si="247"/>
        <v>77777</v>
      </c>
      <c r="J486" s="116">
        <f t="shared" si="247"/>
        <v>85936</v>
      </c>
      <c r="K486" s="116">
        <f t="shared" si="247"/>
        <v>105640</v>
      </c>
      <c r="L486" s="116">
        <f t="shared" si="247"/>
        <v>113061</v>
      </c>
      <c r="M486" s="116">
        <f t="shared" si="247"/>
        <v>122192</v>
      </c>
      <c r="N486" s="116">
        <f t="shared" si="247"/>
        <v>131103</v>
      </c>
      <c r="O486" s="116">
        <f t="shared" si="247"/>
        <v>145387</v>
      </c>
      <c r="P486" s="116">
        <f t="shared" si="247"/>
        <v>155722</v>
      </c>
      <c r="Q486" s="116">
        <f t="shared" si="247"/>
        <v>160112</v>
      </c>
      <c r="R486" s="46">
        <f t="shared" si="247"/>
        <v>183536</v>
      </c>
      <c r="S486" s="46">
        <f t="shared" si="247"/>
        <v>187463</v>
      </c>
      <c r="T486" s="46">
        <f t="shared" si="247"/>
        <v>194944</v>
      </c>
      <c r="U486" s="46">
        <f t="shared" si="247"/>
        <v>200347</v>
      </c>
      <c r="V486" s="46" t="str">
        <f t="shared" si="247"/>
        <v>…</v>
      </c>
      <c r="W486" s="46" t="str">
        <f>W363</f>
        <v>…</v>
      </c>
      <c r="X486" s="46" t="str">
        <f>X363</f>
        <v>…</v>
      </c>
      <c r="Y486" s="46" t="str">
        <f>Y363</f>
        <v>…</v>
      </c>
      <c r="Z486" s="46"/>
      <c r="AA486" s="46"/>
      <c r="AD486" s="24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46"/>
      <c r="AZ486" s="5"/>
    </row>
    <row r="487" spans="2:52" ht="13.15">
      <c r="C487" s="9" t="s">
        <v>284</v>
      </c>
      <c r="D487" s="116">
        <f t="shared" ref="D487:Y487" si="248">D367</f>
        <v>32461</v>
      </c>
      <c r="E487" s="116">
        <f t="shared" si="248"/>
        <v>32933</v>
      </c>
      <c r="F487" s="116">
        <f t="shared" si="248"/>
        <v>28379</v>
      </c>
      <c r="G487" s="116">
        <f t="shared" si="248"/>
        <v>27669</v>
      </c>
      <c r="H487" s="116">
        <f t="shared" si="248"/>
        <v>33160</v>
      </c>
      <c r="I487" s="116">
        <f t="shared" si="248"/>
        <v>24444</v>
      </c>
      <c r="J487" s="116">
        <f t="shared" si="248"/>
        <v>25847</v>
      </c>
      <c r="K487" s="116">
        <f t="shared" si="248"/>
        <v>31876</v>
      </c>
      <c r="L487" s="116">
        <f t="shared" si="248"/>
        <v>39424</v>
      </c>
      <c r="M487" s="116">
        <f t="shared" si="248"/>
        <v>42388</v>
      </c>
      <c r="N487" s="116">
        <f t="shared" si="248"/>
        <v>46169</v>
      </c>
      <c r="O487" s="116">
        <f t="shared" si="248"/>
        <v>83344</v>
      </c>
      <c r="P487" s="116">
        <f t="shared" si="248"/>
        <v>92472</v>
      </c>
      <c r="Q487" s="116">
        <f t="shared" si="248"/>
        <v>94965</v>
      </c>
      <c r="R487" s="46">
        <f t="shared" si="248"/>
        <v>101672</v>
      </c>
      <c r="S487" s="46">
        <f t="shared" si="248"/>
        <v>115090</v>
      </c>
      <c r="T487" s="46">
        <f t="shared" si="248"/>
        <v>114571</v>
      </c>
      <c r="U487" s="46">
        <f t="shared" si="248"/>
        <v>123393</v>
      </c>
      <c r="V487" s="46" t="str">
        <f t="shared" si="248"/>
        <v>…</v>
      </c>
      <c r="W487" s="46" t="str">
        <f t="shared" si="248"/>
        <v>…</v>
      </c>
      <c r="X487" s="46" t="str">
        <f t="shared" si="248"/>
        <v>…</v>
      </c>
      <c r="Y487" s="46" t="str">
        <f t="shared" si="248"/>
        <v>…</v>
      </c>
      <c r="Z487" s="46"/>
      <c r="AA487" s="46"/>
      <c r="AD487" s="24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46"/>
      <c r="AZ487" s="5"/>
    </row>
    <row r="488" spans="2:52" ht="13.15">
      <c r="C488" s="9" t="s">
        <v>283</v>
      </c>
      <c r="D488" s="116">
        <f t="shared" ref="D488:Y488" si="249">D433</f>
        <v>293</v>
      </c>
      <c r="E488" s="116">
        <f t="shared" si="249"/>
        <v>336</v>
      </c>
      <c r="F488" s="116">
        <f t="shared" si="249"/>
        <v>410</v>
      </c>
      <c r="G488" s="116">
        <f t="shared" si="249"/>
        <v>548</v>
      </c>
      <c r="H488" s="116">
        <f t="shared" si="249"/>
        <v>583</v>
      </c>
      <c r="I488" s="116">
        <f t="shared" si="249"/>
        <v>543</v>
      </c>
      <c r="J488" s="116">
        <f t="shared" si="249"/>
        <v>640</v>
      </c>
      <c r="K488" s="116">
        <f t="shared" si="249"/>
        <v>3049</v>
      </c>
      <c r="L488" s="116">
        <f t="shared" si="249"/>
        <v>3870</v>
      </c>
      <c r="M488" s="116">
        <f t="shared" si="249"/>
        <v>3941</v>
      </c>
      <c r="N488" s="116">
        <f>N433</f>
        <v>3683</v>
      </c>
      <c r="O488" s="116">
        <f t="shared" si="249"/>
        <v>1948</v>
      </c>
      <c r="P488" s="116">
        <f t="shared" si="249"/>
        <v>15184</v>
      </c>
      <c r="Q488" s="116">
        <f t="shared" si="249"/>
        <v>15451</v>
      </c>
      <c r="R488" s="46">
        <f t="shared" si="249"/>
        <v>14059</v>
      </c>
      <c r="S488" s="46">
        <f t="shared" si="249"/>
        <v>13281</v>
      </c>
      <c r="T488" s="46">
        <f t="shared" si="249"/>
        <v>15964</v>
      </c>
      <c r="U488" s="46">
        <f t="shared" si="249"/>
        <v>20781</v>
      </c>
      <c r="V488" s="46">
        <f t="shared" si="249"/>
        <v>0</v>
      </c>
      <c r="W488" s="46">
        <f t="shared" si="249"/>
        <v>0</v>
      </c>
      <c r="X488" s="46">
        <f t="shared" si="249"/>
        <v>0</v>
      </c>
      <c r="Y488" s="46">
        <f t="shared" si="249"/>
        <v>0</v>
      </c>
      <c r="Z488" s="46"/>
      <c r="AA488" s="46"/>
      <c r="AD488" s="24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46"/>
      <c r="AZ488" s="5"/>
    </row>
    <row r="489" spans="2:52" ht="13.15">
      <c r="C489" s="9" t="s">
        <v>285</v>
      </c>
      <c r="D489" s="116">
        <f t="shared" ref="D489:P489" si="250">IF(D11="no","…",SUM(D375,D390,D399,D409,D412,D417,D420,D423,D450))</f>
        <v>16696</v>
      </c>
      <c r="E489" s="116">
        <f t="shared" si="250"/>
        <v>17008</v>
      </c>
      <c r="F489" s="116">
        <f t="shared" si="250"/>
        <v>20135</v>
      </c>
      <c r="G489" s="116">
        <f t="shared" si="250"/>
        <v>21102</v>
      </c>
      <c r="H489" s="116">
        <f t="shared" si="250"/>
        <v>26158</v>
      </c>
      <c r="I489" s="116">
        <f t="shared" si="250"/>
        <v>41025</v>
      </c>
      <c r="J489" s="116">
        <f t="shared" si="250"/>
        <v>50901</v>
      </c>
      <c r="K489" s="116">
        <f t="shared" si="250"/>
        <v>70414</v>
      </c>
      <c r="L489" s="116">
        <f t="shared" si="250"/>
        <v>102945</v>
      </c>
      <c r="M489" s="116">
        <f t="shared" si="250"/>
        <v>104187</v>
      </c>
      <c r="N489" s="116">
        <f t="shared" si="250"/>
        <v>111892</v>
      </c>
      <c r="O489" s="116">
        <f t="shared" si="250"/>
        <v>151331</v>
      </c>
      <c r="P489" s="116">
        <f t="shared" si="250"/>
        <v>151382</v>
      </c>
      <c r="Q489" s="116">
        <f t="shared" ref="Q489:Y489" si="251">IF(Q11="no","…",SUM(Q375,Q390,Q399,Q409,Q412,Q417,Q420,Q423,Q450,-Q488))</f>
        <v>141484</v>
      </c>
      <c r="R489" s="46">
        <f t="shared" si="251"/>
        <v>150419</v>
      </c>
      <c r="S489" s="46">
        <f t="shared" si="251"/>
        <v>76930</v>
      </c>
      <c r="T489" s="46">
        <f t="shared" si="251"/>
        <v>78436</v>
      </c>
      <c r="U489" s="46">
        <f t="shared" si="251"/>
        <v>85727</v>
      </c>
      <c r="V489" s="46" t="str">
        <f t="shared" si="251"/>
        <v>…</v>
      </c>
      <c r="W489" s="46" t="str">
        <f t="shared" si="251"/>
        <v>…</v>
      </c>
      <c r="X489" s="46" t="str">
        <f t="shared" si="251"/>
        <v>…</v>
      </c>
      <c r="Y489" s="46" t="str">
        <f t="shared" si="251"/>
        <v>…</v>
      </c>
      <c r="Z489" s="46"/>
      <c r="AA489" s="46"/>
      <c r="AD489" s="24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46"/>
      <c r="AZ489" s="5"/>
    </row>
    <row r="490" spans="2:52" ht="13.15">
      <c r="C490" s="9" t="s">
        <v>220</v>
      </c>
      <c r="D490" s="116">
        <f t="shared" ref="D490:V490" si="252">D358</f>
        <v>127603</v>
      </c>
      <c r="E490" s="116">
        <f t="shared" si="252"/>
        <v>133081</v>
      </c>
      <c r="F490" s="116">
        <f t="shared" si="252"/>
        <v>136603</v>
      </c>
      <c r="G490" s="116">
        <f t="shared" si="252"/>
        <v>145357</v>
      </c>
      <c r="H490" s="116">
        <f t="shared" si="252"/>
        <v>167919</v>
      </c>
      <c r="I490" s="116">
        <f t="shared" si="252"/>
        <v>177179</v>
      </c>
      <c r="J490" s="116">
        <f t="shared" si="252"/>
        <v>199393</v>
      </c>
      <c r="K490" s="116">
        <f t="shared" si="252"/>
        <v>253769</v>
      </c>
      <c r="L490" s="116">
        <f t="shared" si="252"/>
        <v>309518</v>
      </c>
      <c r="M490" s="116">
        <f t="shared" si="252"/>
        <v>324333</v>
      </c>
      <c r="N490" s="116">
        <f t="shared" si="252"/>
        <v>351209</v>
      </c>
      <c r="O490" s="116">
        <f t="shared" si="252"/>
        <v>381935</v>
      </c>
      <c r="P490" s="116">
        <f t="shared" si="252"/>
        <v>409732</v>
      </c>
      <c r="Q490" s="116">
        <f t="shared" si="252"/>
        <v>422193</v>
      </c>
      <c r="R490" s="46">
        <f t="shared" si="252"/>
        <v>458156</v>
      </c>
      <c r="S490" s="46">
        <f t="shared" si="252"/>
        <v>488071</v>
      </c>
      <c r="T490" s="46">
        <f t="shared" si="252"/>
        <v>497114</v>
      </c>
      <c r="U490" s="46">
        <f t="shared" si="252"/>
        <v>528609</v>
      </c>
      <c r="V490" s="46" t="str">
        <f t="shared" si="252"/>
        <v>…</v>
      </c>
      <c r="W490" s="46" t="str">
        <f>W358</f>
        <v>…</v>
      </c>
      <c r="X490" s="46" t="str">
        <f>X358</f>
        <v>…</v>
      </c>
      <c r="Y490" s="46" t="str">
        <f>Y358</f>
        <v>…</v>
      </c>
      <c r="Z490" s="46"/>
      <c r="AA490" s="46"/>
      <c r="AD490" s="24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46"/>
      <c r="AZ490" s="5"/>
    </row>
    <row r="491" spans="2:52" ht="13.15">
      <c r="C491" s="9"/>
      <c r="AD491" s="24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Z491" s="5"/>
    </row>
    <row r="492" spans="2:52" ht="13.15">
      <c r="C492" s="9"/>
      <c r="AD492" s="24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Z492" s="5"/>
    </row>
    <row r="493" spans="2:52" ht="13.15">
      <c r="C493" s="50" t="s">
        <v>116</v>
      </c>
      <c r="D493" s="93">
        <f t="shared" ref="D493:Y493" si="253">IF(D11="yes",SUM(D490)-SUM(D486:D489),"…")</f>
        <v>22762</v>
      </c>
      <c r="E493" s="93">
        <f t="shared" si="253"/>
        <v>24958</v>
      </c>
      <c r="F493" s="93">
        <f t="shared" si="253"/>
        <v>26450</v>
      </c>
      <c r="G493" s="93">
        <f t="shared" si="253"/>
        <v>27522</v>
      </c>
      <c r="H493" s="93">
        <f t="shared" si="253"/>
        <v>31855</v>
      </c>
      <c r="I493" s="93">
        <f t="shared" si="253"/>
        <v>33390</v>
      </c>
      <c r="J493" s="93">
        <f t="shared" si="253"/>
        <v>36069</v>
      </c>
      <c r="K493" s="93">
        <f t="shared" si="253"/>
        <v>42790</v>
      </c>
      <c r="L493" s="93">
        <f t="shared" si="253"/>
        <v>50218</v>
      </c>
      <c r="M493" s="93">
        <f t="shared" si="253"/>
        <v>51625</v>
      </c>
      <c r="N493" s="93">
        <f t="shared" si="253"/>
        <v>58362</v>
      </c>
      <c r="O493" s="93">
        <f t="shared" si="253"/>
        <v>-75</v>
      </c>
      <c r="P493" s="46">
        <f t="shared" si="253"/>
        <v>-5028</v>
      </c>
      <c r="Q493" s="46">
        <f t="shared" si="253"/>
        <v>10181</v>
      </c>
      <c r="R493" s="46">
        <f t="shared" si="253"/>
        <v>8470</v>
      </c>
      <c r="S493" s="46">
        <f t="shared" si="253"/>
        <v>95307</v>
      </c>
      <c r="T493" s="46">
        <f t="shared" si="253"/>
        <v>93199</v>
      </c>
      <c r="U493" s="46">
        <f t="shared" si="253"/>
        <v>98361</v>
      </c>
      <c r="V493" s="46" t="str">
        <f t="shared" si="253"/>
        <v>…</v>
      </c>
      <c r="W493" s="46" t="str">
        <f t="shared" si="253"/>
        <v>…</v>
      </c>
      <c r="X493" s="46" t="str">
        <f t="shared" si="253"/>
        <v>…</v>
      </c>
      <c r="Y493" s="46" t="str">
        <f t="shared" si="253"/>
        <v>…</v>
      </c>
      <c r="Z493" s="46"/>
      <c r="AA493" s="46"/>
      <c r="AD493" s="24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46"/>
      <c r="AZ493" s="5"/>
    </row>
    <row r="494" spans="2:52" ht="13.15">
      <c r="C494" s="9"/>
      <c r="AD494" s="24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Z494" s="5"/>
    </row>
    <row r="495" spans="2:52" ht="13.15">
      <c r="C495" s="9"/>
      <c r="AD495" s="24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Z495" s="5"/>
    </row>
    <row r="496" spans="2:52" ht="13.15">
      <c r="B496" s="5" t="s">
        <v>404</v>
      </c>
      <c r="C496" s="9"/>
      <c r="D496" s="16">
        <v>-121</v>
      </c>
      <c r="E496" s="16">
        <v>50</v>
      </c>
      <c r="F496" s="16">
        <v>701</v>
      </c>
      <c r="G496" s="16">
        <v>-963</v>
      </c>
      <c r="H496" s="16">
        <v>-1283</v>
      </c>
      <c r="I496" s="16">
        <v>-764</v>
      </c>
      <c r="J496" s="16">
        <v>-2444</v>
      </c>
      <c r="K496" s="16">
        <v>-8617</v>
      </c>
      <c r="L496" s="16">
        <v>-15280</v>
      </c>
      <c r="M496" s="16">
        <v>-2998</v>
      </c>
      <c r="N496" s="16">
        <v>-3181</v>
      </c>
      <c r="O496" s="16">
        <v>-3774</v>
      </c>
      <c r="P496" s="99">
        <v>-1754</v>
      </c>
      <c r="Q496" s="99">
        <v>-5011</v>
      </c>
      <c r="R496" s="99">
        <v>-6070</v>
      </c>
      <c r="S496" s="99">
        <v>-6394</v>
      </c>
      <c r="T496" s="99">
        <v>-3824</v>
      </c>
      <c r="U496" s="99">
        <v>-2504</v>
      </c>
      <c r="V496" s="99" t="s">
        <v>289</v>
      </c>
      <c r="W496" s="99"/>
      <c r="X496" s="99"/>
      <c r="Y496" s="99"/>
      <c r="Z496" s="99"/>
      <c r="AA496" s="99"/>
      <c r="AD496" s="24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99"/>
      <c r="AZ496" s="5"/>
    </row>
    <row r="497" spans="2:60" ht="13.15">
      <c r="B497" s="5" t="s">
        <v>405</v>
      </c>
      <c r="C497" s="9"/>
      <c r="D497" s="16">
        <v>255</v>
      </c>
      <c r="E497" s="16">
        <v>78</v>
      </c>
      <c r="F497" s="16">
        <v>373</v>
      </c>
      <c r="G497" s="16">
        <v>734</v>
      </c>
      <c r="H497" s="16">
        <v>910</v>
      </c>
      <c r="I497" s="16">
        <v>701</v>
      </c>
      <c r="J497" s="16">
        <v>1944</v>
      </c>
      <c r="K497" s="16">
        <v>2253</v>
      </c>
      <c r="L497" s="16">
        <v>13568</v>
      </c>
      <c r="M497" s="16">
        <v>3588</v>
      </c>
      <c r="N497" s="16">
        <v>3988</v>
      </c>
      <c r="O497" s="16">
        <v>4387</v>
      </c>
      <c r="P497" s="99">
        <v>3497</v>
      </c>
      <c r="Q497" s="99">
        <v>3482</v>
      </c>
      <c r="R497" s="99">
        <v>3369</v>
      </c>
      <c r="S497" s="99">
        <v>3349</v>
      </c>
      <c r="T497" s="99">
        <v>2756</v>
      </c>
      <c r="U497" s="99">
        <v>2321</v>
      </c>
      <c r="V497" s="99" t="s">
        <v>289</v>
      </c>
      <c r="W497" s="99"/>
      <c r="X497" s="99"/>
      <c r="Y497" s="99"/>
      <c r="Z497" s="99"/>
      <c r="AA497" s="99"/>
      <c r="AD497" s="24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99"/>
      <c r="AZ497" s="5"/>
    </row>
    <row r="498" spans="2:60" ht="13.15">
      <c r="B498" s="5" t="s">
        <v>406</v>
      </c>
      <c r="C498" s="9"/>
      <c r="D498" s="16">
        <v>23055</v>
      </c>
      <c r="E498" s="16">
        <v>25294</v>
      </c>
      <c r="F498" s="16">
        <v>26860</v>
      </c>
      <c r="G498" s="16">
        <v>28070</v>
      </c>
      <c r="H498" s="16">
        <v>32438</v>
      </c>
      <c r="I498" s="16">
        <v>33933</v>
      </c>
      <c r="J498" s="16">
        <v>36709</v>
      </c>
      <c r="K498" s="16">
        <v>45839</v>
      </c>
      <c r="L498" s="16">
        <v>54088</v>
      </c>
      <c r="M498" s="16">
        <v>55566</v>
      </c>
      <c r="N498" s="16">
        <v>62045</v>
      </c>
      <c r="O498" s="16">
        <v>66049</v>
      </c>
      <c r="P498" s="99">
        <v>74892</v>
      </c>
      <c r="Q498" s="99">
        <v>78930</v>
      </c>
      <c r="R498" s="99">
        <v>84756</v>
      </c>
      <c r="S498" s="99">
        <v>93337</v>
      </c>
      <c r="T498" s="99">
        <v>89388</v>
      </c>
      <c r="U498" s="99">
        <v>94194</v>
      </c>
      <c r="V498" s="99" t="s">
        <v>289</v>
      </c>
      <c r="W498" s="99"/>
      <c r="X498" s="99"/>
      <c r="Y498" s="99"/>
      <c r="Z498" s="99"/>
      <c r="AA498" s="99"/>
      <c r="AD498" s="24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99"/>
      <c r="AZ498" s="5"/>
    </row>
    <row r="499" spans="2:60" ht="13.15">
      <c r="B499" s="5" t="s">
        <v>410</v>
      </c>
      <c r="C499" s="9"/>
      <c r="D499" s="25" t="s">
        <v>289</v>
      </c>
      <c r="E499" s="25" t="s">
        <v>289</v>
      </c>
      <c r="F499" s="25" t="s">
        <v>289</v>
      </c>
      <c r="G499" s="25" t="s">
        <v>289</v>
      </c>
      <c r="H499" s="25" t="s">
        <v>289</v>
      </c>
      <c r="I499" s="25" t="s">
        <v>289</v>
      </c>
      <c r="J499" s="25" t="s">
        <v>289</v>
      </c>
      <c r="K499" s="25" t="s">
        <v>289</v>
      </c>
      <c r="L499" s="25" t="s">
        <v>289</v>
      </c>
      <c r="M499" s="25" t="s">
        <v>289</v>
      </c>
      <c r="N499" s="25" t="s">
        <v>289</v>
      </c>
      <c r="O499" s="25" t="s">
        <v>289</v>
      </c>
      <c r="P499" s="20" t="s">
        <v>289</v>
      </c>
      <c r="Q499" s="20" t="s">
        <v>289</v>
      </c>
      <c r="R499" s="20" t="s">
        <v>289</v>
      </c>
      <c r="S499" s="20" t="s">
        <v>289</v>
      </c>
      <c r="T499" s="20" t="s">
        <v>289</v>
      </c>
      <c r="U499" s="20" t="s">
        <v>289</v>
      </c>
      <c r="V499" s="20" t="s">
        <v>289</v>
      </c>
      <c r="AD499" s="24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Z499" s="5"/>
    </row>
    <row r="500" spans="2:60" ht="13.15">
      <c r="B500" s="5" t="s">
        <v>411</v>
      </c>
      <c r="C500" s="9"/>
      <c r="D500" s="25" t="s">
        <v>289</v>
      </c>
      <c r="E500" s="25" t="s">
        <v>289</v>
      </c>
      <c r="F500" s="25" t="s">
        <v>289</v>
      </c>
      <c r="G500" s="25" t="s">
        <v>289</v>
      </c>
      <c r="H500" s="25" t="s">
        <v>289</v>
      </c>
      <c r="I500" s="25" t="s">
        <v>289</v>
      </c>
      <c r="J500" s="25" t="s">
        <v>289</v>
      </c>
      <c r="K500" s="25" t="s">
        <v>289</v>
      </c>
      <c r="L500" s="25" t="s">
        <v>289</v>
      </c>
      <c r="M500" s="25" t="s">
        <v>289</v>
      </c>
      <c r="N500" s="25" t="s">
        <v>289</v>
      </c>
      <c r="O500" s="25" t="s">
        <v>289</v>
      </c>
      <c r="P500" s="20" t="s">
        <v>289</v>
      </c>
      <c r="Q500" s="20" t="s">
        <v>289</v>
      </c>
      <c r="R500" s="20" t="s">
        <v>289</v>
      </c>
      <c r="S500" s="20" t="s">
        <v>289</v>
      </c>
      <c r="T500" s="20" t="s">
        <v>289</v>
      </c>
      <c r="U500" s="20" t="s">
        <v>289</v>
      </c>
      <c r="V500" s="20" t="s">
        <v>289</v>
      </c>
      <c r="AD500" s="24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Z500" s="5"/>
    </row>
    <row r="501" spans="2:60" ht="13.15">
      <c r="C501" s="9"/>
      <c r="AD501" s="24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Z501" s="5"/>
    </row>
    <row r="503" spans="2:60" ht="13.15">
      <c r="C503" s="117" t="s">
        <v>2986</v>
      </c>
      <c r="D503" s="118"/>
      <c r="E503" s="118"/>
      <c r="F503" s="118"/>
      <c r="G503" s="118"/>
      <c r="H503" s="118"/>
      <c r="I503" s="118"/>
      <c r="J503" s="118"/>
      <c r="K503" s="118"/>
      <c r="L503" s="118"/>
      <c r="M503" s="118"/>
      <c r="N503" s="118"/>
      <c r="O503" s="118"/>
      <c r="P503" s="118"/>
      <c r="Q503" s="118"/>
      <c r="R503" s="118"/>
      <c r="S503" s="118"/>
      <c r="T503" s="118"/>
      <c r="U503" s="118"/>
      <c r="V503" s="118"/>
      <c r="W503" s="118"/>
      <c r="X503" s="118"/>
      <c r="Y503" s="118"/>
      <c r="Z503" s="118"/>
      <c r="AA503" s="118"/>
      <c r="AB503" s="118"/>
      <c r="AC503" s="118"/>
      <c r="AD503" s="119"/>
      <c r="AE503" s="120"/>
      <c r="AF503" s="120"/>
      <c r="AG503" s="120"/>
      <c r="AH503" s="120"/>
      <c r="AI503" s="120"/>
      <c r="AJ503" s="120"/>
      <c r="AK503" s="120"/>
      <c r="AL503" s="120"/>
      <c r="AM503" s="120"/>
      <c r="AN503" s="120"/>
      <c r="AO503" s="120"/>
      <c r="AP503" s="120"/>
      <c r="AQ503" s="120"/>
      <c r="AR503" s="120"/>
      <c r="AS503" s="120"/>
      <c r="AT503" s="120"/>
      <c r="AU503" s="120"/>
      <c r="AV503" s="120"/>
      <c r="AW503" s="120"/>
      <c r="AX503" s="120"/>
      <c r="AY503" s="118"/>
      <c r="AZ503" s="120"/>
      <c r="BA503" s="120"/>
      <c r="BB503" s="120"/>
      <c r="BC503" s="120"/>
      <c r="BD503" s="120"/>
      <c r="BE503" s="120"/>
      <c r="BF503" s="120"/>
      <c r="BG503" s="120"/>
      <c r="BH503" s="120"/>
    </row>
    <row r="504" spans="2:60" ht="13.15">
      <c r="C504" s="9"/>
      <c r="AD504" s="24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Z504" s="5"/>
    </row>
    <row r="505" spans="2:60" ht="13.15">
      <c r="C505" s="9" t="str">
        <f t="shared" ref="C505:R505" si="254">C325</f>
        <v>EBITDA (Bloomberg)</v>
      </c>
      <c r="D505" s="36">
        <f t="shared" si="254"/>
        <v>10000</v>
      </c>
      <c r="E505" s="36">
        <f t="shared" si="254"/>
        <v>11073</v>
      </c>
      <c r="F505" s="36">
        <f t="shared" si="254"/>
        <v>11848</v>
      </c>
      <c r="G505" s="36">
        <f t="shared" si="254"/>
        <v>15996</v>
      </c>
      <c r="H505" s="36">
        <f t="shared" si="254"/>
        <v>14739</v>
      </c>
      <c r="I505" s="36">
        <f t="shared" si="254"/>
        <v>10716</v>
      </c>
      <c r="J505" s="36">
        <f t="shared" si="254"/>
        <v>17230</v>
      </c>
      <c r="K505" s="36">
        <f t="shared" si="254"/>
        <v>21604</v>
      </c>
      <c r="L505" s="36">
        <f t="shared" si="254"/>
        <v>24612</v>
      </c>
      <c r="M505" s="36">
        <f t="shared" si="254"/>
        <v>26321</v>
      </c>
      <c r="N505" s="36">
        <f t="shared" si="254"/>
        <v>29488</v>
      </c>
      <c r="O505" s="36">
        <f t="shared" si="254"/>
        <v>15587</v>
      </c>
      <c r="P505" s="36">
        <f t="shared" si="254"/>
        <v>27896</v>
      </c>
      <c r="Q505" s="36">
        <f t="shared" si="254"/>
        <v>35848</v>
      </c>
      <c r="R505" s="36">
        <f t="shared" si="254"/>
        <v>36311</v>
      </c>
      <c r="AD505" s="24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Z505" s="5"/>
    </row>
    <row r="506" spans="2:60" ht="13.15">
      <c r="C506" s="9"/>
      <c r="AD506" s="24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Z506" s="5"/>
    </row>
    <row r="507" spans="2:60">
      <c r="C507" s="5" t="s">
        <v>3027</v>
      </c>
      <c r="D507" s="36">
        <f t="shared" ref="D507:Q507" si="255">SUM(D526,D531,D537,D543,D545)</f>
        <v>865</v>
      </c>
      <c r="E507" s="36">
        <f t="shared" si="255"/>
        <v>-291</v>
      </c>
      <c r="F507" s="36">
        <f t="shared" si="255"/>
        <v>553</v>
      </c>
      <c r="G507" s="36">
        <f t="shared" si="255"/>
        <v>388</v>
      </c>
      <c r="H507" s="36">
        <f t="shared" si="255"/>
        <v>-3574</v>
      </c>
      <c r="I507" s="36">
        <f t="shared" si="255"/>
        <v>4421</v>
      </c>
      <c r="J507" s="36">
        <f t="shared" si="255"/>
        <v>539</v>
      </c>
      <c r="K507" s="36">
        <f t="shared" si="255"/>
        <v>-7132</v>
      </c>
      <c r="L507" s="36">
        <f t="shared" si="255"/>
        <v>-7882</v>
      </c>
      <c r="M507" s="36">
        <f t="shared" si="255"/>
        <v>-4634</v>
      </c>
      <c r="N507" s="36">
        <f t="shared" si="255"/>
        <v>-2927</v>
      </c>
      <c r="O507" s="36">
        <f t="shared" si="255"/>
        <v>-7005</v>
      </c>
      <c r="P507" s="36">
        <f t="shared" si="255"/>
        <v>-5186</v>
      </c>
      <c r="Q507" s="36">
        <f t="shared" si="255"/>
        <v>-7145</v>
      </c>
      <c r="R507" s="36">
        <f>SUM(R526,R531,R537,R543,R545)</f>
        <v>-11764</v>
      </c>
      <c r="AD507" s="24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Z507" s="5"/>
    </row>
    <row r="508" spans="2:60">
      <c r="C508" s="5" t="s">
        <v>3060</v>
      </c>
      <c r="D508" s="36">
        <f t="shared" ref="D508:O508" si="256">SUM(D549)</f>
        <v>0</v>
      </c>
      <c r="E508" s="36">
        <f t="shared" si="256"/>
        <v>0</v>
      </c>
      <c r="F508" s="36">
        <f t="shared" si="256"/>
        <v>0</v>
      </c>
      <c r="G508" s="36">
        <f t="shared" si="256"/>
        <v>0</v>
      </c>
      <c r="H508" s="36">
        <f t="shared" si="256"/>
        <v>0</v>
      </c>
      <c r="I508" s="36">
        <f t="shared" si="256"/>
        <v>0</v>
      </c>
      <c r="J508" s="36">
        <f t="shared" si="256"/>
        <v>0</v>
      </c>
      <c r="K508" s="36">
        <f t="shared" si="256"/>
        <v>0</v>
      </c>
      <c r="L508" s="36">
        <f t="shared" si="256"/>
        <v>0</v>
      </c>
      <c r="M508" s="36">
        <f t="shared" si="256"/>
        <v>0</v>
      </c>
      <c r="N508" s="36">
        <f t="shared" si="256"/>
        <v>0</v>
      </c>
      <c r="O508" s="36">
        <f t="shared" si="256"/>
        <v>0</v>
      </c>
      <c r="P508" s="36">
        <f>SUM(P549)</f>
        <v>-20.8</v>
      </c>
      <c r="Q508" s="36">
        <f>SUM(Q549)</f>
        <v>0</v>
      </c>
      <c r="R508" s="36">
        <f>SUM(R549)</f>
        <v>0</v>
      </c>
      <c r="AD508" s="24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Z508" s="5"/>
    </row>
    <row r="509" spans="2:60">
      <c r="AD509" s="24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Z509" s="5"/>
    </row>
    <row r="510" spans="2:60">
      <c r="C510" s="5" t="s">
        <v>3024</v>
      </c>
      <c r="D510" s="36">
        <f t="shared" ref="D510:R510" si="257">SUM(D552:D553)</f>
        <v>0</v>
      </c>
      <c r="E510" s="36">
        <f t="shared" si="257"/>
        <v>0</v>
      </c>
      <c r="F510" s="36">
        <f t="shared" si="257"/>
        <v>0</v>
      </c>
      <c r="G510" s="36">
        <f t="shared" si="257"/>
        <v>0</v>
      </c>
      <c r="H510" s="36">
        <f t="shared" si="257"/>
        <v>0</v>
      </c>
      <c r="I510" s="36">
        <f t="shared" si="257"/>
        <v>0</v>
      </c>
      <c r="J510" s="36">
        <f t="shared" si="257"/>
        <v>0</v>
      </c>
      <c r="K510" s="36">
        <f t="shared" si="257"/>
        <v>0</v>
      </c>
      <c r="L510" s="36">
        <f t="shared" si="257"/>
        <v>0</v>
      </c>
      <c r="M510" s="36">
        <f t="shared" si="257"/>
        <v>0</v>
      </c>
      <c r="N510" s="36">
        <f t="shared" si="257"/>
        <v>0</v>
      </c>
      <c r="O510" s="36">
        <f t="shared" si="257"/>
        <v>0</v>
      </c>
      <c r="P510" s="36">
        <f t="shared" si="257"/>
        <v>0</v>
      </c>
      <c r="Q510" s="36">
        <f t="shared" si="257"/>
        <v>0</v>
      </c>
      <c r="R510" s="36">
        <f t="shared" si="257"/>
        <v>0</v>
      </c>
      <c r="AD510" s="24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Z510" s="5"/>
    </row>
    <row r="511" spans="2:60">
      <c r="C511" s="5" t="str">
        <f>C561</f>
        <v>Oper./Non-rec. items not in EBITDA</v>
      </c>
      <c r="D511" s="5">
        <f t="shared" ref="D511:R511" si="258">D561</f>
        <v>0</v>
      </c>
      <c r="E511" s="5">
        <f t="shared" si="258"/>
        <v>0</v>
      </c>
      <c r="F511" s="5">
        <f t="shared" si="258"/>
        <v>0</v>
      </c>
      <c r="G511" s="5">
        <f t="shared" si="258"/>
        <v>0</v>
      </c>
      <c r="H511" s="5">
        <f t="shared" si="258"/>
        <v>0</v>
      </c>
      <c r="I511" s="5">
        <f t="shared" si="258"/>
        <v>0</v>
      </c>
      <c r="J511" s="5">
        <f t="shared" si="258"/>
        <v>0</v>
      </c>
      <c r="K511" s="5">
        <f t="shared" si="258"/>
        <v>0</v>
      </c>
      <c r="L511" s="5">
        <f t="shared" si="258"/>
        <v>0</v>
      </c>
      <c r="M511" s="5">
        <f t="shared" si="258"/>
        <v>0</v>
      </c>
      <c r="N511" s="5">
        <f t="shared" si="258"/>
        <v>0</v>
      </c>
      <c r="O511" s="5">
        <f t="shared" si="258"/>
        <v>0</v>
      </c>
      <c r="P511" s="5">
        <f t="shared" si="258"/>
        <v>0</v>
      </c>
      <c r="Q511" s="5">
        <f t="shared" si="258"/>
        <v>0</v>
      </c>
      <c r="R511" s="5">
        <f t="shared" si="258"/>
        <v>0</v>
      </c>
      <c r="AD511" s="24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Z511" s="5"/>
    </row>
    <row r="512" spans="2:60">
      <c r="C512" s="5" t="str">
        <f>C558</f>
        <v>Oper./Rec. items not in EBITDA</v>
      </c>
      <c r="D512" s="5">
        <f t="shared" ref="D512:R512" si="259">D558</f>
        <v>0</v>
      </c>
      <c r="E512" s="5">
        <f t="shared" si="259"/>
        <v>0</v>
      </c>
      <c r="F512" s="5">
        <f t="shared" si="259"/>
        <v>0</v>
      </c>
      <c r="G512" s="5">
        <f t="shared" si="259"/>
        <v>0</v>
      </c>
      <c r="H512" s="5">
        <f t="shared" si="259"/>
        <v>0</v>
      </c>
      <c r="I512" s="5">
        <f t="shared" si="259"/>
        <v>0</v>
      </c>
      <c r="J512" s="5">
        <f t="shared" si="259"/>
        <v>0</v>
      </c>
      <c r="K512" s="5">
        <f t="shared" si="259"/>
        <v>0</v>
      </c>
      <c r="L512" s="5">
        <f t="shared" si="259"/>
        <v>0</v>
      </c>
      <c r="M512" s="5">
        <f t="shared" si="259"/>
        <v>0</v>
      </c>
      <c r="N512" s="5">
        <f t="shared" si="259"/>
        <v>0</v>
      </c>
      <c r="O512" s="5">
        <f t="shared" si="259"/>
        <v>0</v>
      </c>
      <c r="P512" s="5">
        <f t="shared" si="259"/>
        <v>-2</v>
      </c>
      <c r="Q512" s="5">
        <f t="shared" si="259"/>
        <v>-4.8</v>
      </c>
      <c r="R512" s="5">
        <f t="shared" si="259"/>
        <v>-6.9</v>
      </c>
      <c r="AD512" s="24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Z512" s="5"/>
    </row>
    <row r="513" spans="2:52">
      <c r="C513" s="5" t="str">
        <f>C565</f>
        <v>Other Items</v>
      </c>
      <c r="D513" s="5">
        <f t="shared" ref="D513:R513" si="260">D565</f>
        <v>0</v>
      </c>
      <c r="E513" s="5">
        <f t="shared" si="260"/>
        <v>0</v>
      </c>
      <c r="F513" s="5">
        <f t="shared" si="260"/>
        <v>0</v>
      </c>
      <c r="G513" s="5">
        <f t="shared" si="260"/>
        <v>0</v>
      </c>
      <c r="H513" s="5">
        <f t="shared" si="260"/>
        <v>0</v>
      </c>
      <c r="I513" s="5">
        <f t="shared" si="260"/>
        <v>0</v>
      </c>
      <c r="J513" s="5">
        <f t="shared" si="260"/>
        <v>0</v>
      </c>
      <c r="K513" s="5">
        <f t="shared" si="260"/>
        <v>0</v>
      </c>
      <c r="L513" s="5">
        <f t="shared" si="260"/>
        <v>0</v>
      </c>
      <c r="M513" s="5">
        <f t="shared" si="260"/>
        <v>0</v>
      </c>
      <c r="N513" s="5">
        <f t="shared" si="260"/>
        <v>0</v>
      </c>
      <c r="O513" s="5">
        <f t="shared" si="260"/>
        <v>0</v>
      </c>
      <c r="P513" s="5">
        <f t="shared" si="260"/>
        <v>0</v>
      </c>
      <c r="Q513" s="5">
        <f t="shared" si="260"/>
        <v>0</v>
      </c>
      <c r="R513" s="5">
        <f t="shared" si="260"/>
        <v>0</v>
      </c>
    </row>
    <row r="514" spans="2:52" ht="13.15">
      <c r="C514" s="9" t="s">
        <v>3059</v>
      </c>
      <c r="D514" s="124">
        <f t="shared" ref="D514:Q514" si="261">SUM(D505:D513)</f>
        <v>10865</v>
      </c>
      <c r="E514" s="124">
        <f t="shared" si="261"/>
        <v>10782</v>
      </c>
      <c r="F514" s="124">
        <f t="shared" si="261"/>
        <v>12401</v>
      </c>
      <c r="G514" s="124">
        <f t="shared" si="261"/>
        <v>16384</v>
      </c>
      <c r="H514" s="124">
        <f t="shared" si="261"/>
        <v>11165</v>
      </c>
      <c r="I514" s="124">
        <f t="shared" si="261"/>
        <v>15137</v>
      </c>
      <c r="J514" s="124">
        <f t="shared" si="261"/>
        <v>17769</v>
      </c>
      <c r="K514" s="124">
        <f t="shared" si="261"/>
        <v>14472</v>
      </c>
      <c r="L514" s="124">
        <f t="shared" si="261"/>
        <v>16730</v>
      </c>
      <c r="M514" s="124">
        <f t="shared" si="261"/>
        <v>21687</v>
      </c>
      <c r="N514" s="124">
        <f t="shared" si="261"/>
        <v>26561</v>
      </c>
      <c r="O514" s="124">
        <f t="shared" si="261"/>
        <v>8582</v>
      </c>
      <c r="P514" s="124">
        <f t="shared" si="261"/>
        <v>22687.200000000001</v>
      </c>
      <c r="Q514" s="124">
        <f t="shared" si="261"/>
        <v>28698.2</v>
      </c>
      <c r="R514" s="124">
        <f>SUM(R505:R513)</f>
        <v>24540.1</v>
      </c>
      <c r="AD514" s="24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Z514" s="5"/>
    </row>
    <row r="515" spans="2:52">
      <c r="C515" s="5" t="s">
        <v>3061</v>
      </c>
      <c r="D515" s="20">
        <f t="shared" ref="D515:Q515" si="262">D568</f>
        <v>-21</v>
      </c>
      <c r="E515" s="20">
        <f t="shared" si="262"/>
        <v>-354</v>
      </c>
      <c r="F515" s="20">
        <f t="shared" si="262"/>
        <v>-888</v>
      </c>
      <c r="G515" s="20">
        <f t="shared" si="262"/>
        <v>-1172</v>
      </c>
      <c r="H515" s="20">
        <f t="shared" si="262"/>
        <v>-2075</v>
      </c>
      <c r="I515" s="5">
        <f t="shared" si="262"/>
        <v>-529</v>
      </c>
      <c r="J515" s="5">
        <f t="shared" si="262"/>
        <v>-1554</v>
      </c>
      <c r="K515" s="5">
        <f t="shared" si="262"/>
        <v>-3269</v>
      </c>
      <c r="L515" s="5">
        <f t="shared" si="262"/>
        <v>-5056</v>
      </c>
      <c r="M515" s="5">
        <f t="shared" si="262"/>
        <v>-3107</v>
      </c>
      <c r="N515" s="5">
        <f t="shared" si="262"/>
        <v>-4040</v>
      </c>
      <c r="O515" s="5">
        <f t="shared" si="262"/>
        <v>-3238</v>
      </c>
      <c r="P515" s="5">
        <f t="shared" si="262"/>
        <v>-3315</v>
      </c>
      <c r="Q515" s="5">
        <f t="shared" si="262"/>
        <v>-3664</v>
      </c>
      <c r="R515" s="5">
        <f>R568</f>
        <v>-3804</v>
      </c>
      <c r="AD515" s="24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Z515" s="5"/>
    </row>
    <row r="516" spans="2:52" ht="13.15">
      <c r="C516" s="9" t="s">
        <v>3062</v>
      </c>
      <c r="D516" s="124">
        <f t="shared" ref="D516:Q516" si="263">SUM(D514:D515)</f>
        <v>10844</v>
      </c>
      <c r="E516" s="124">
        <f t="shared" si="263"/>
        <v>10428</v>
      </c>
      <c r="F516" s="124">
        <f t="shared" si="263"/>
        <v>11513</v>
      </c>
      <c r="G516" s="124">
        <f t="shared" si="263"/>
        <v>15212</v>
      </c>
      <c r="H516" s="124">
        <f t="shared" si="263"/>
        <v>9090</v>
      </c>
      <c r="I516" s="124">
        <f t="shared" si="263"/>
        <v>14608</v>
      </c>
      <c r="J516" s="124">
        <f t="shared" si="263"/>
        <v>16215</v>
      </c>
      <c r="K516" s="124">
        <f t="shared" si="263"/>
        <v>11203</v>
      </c>
      <c r="L516" s="124">
        <f t="shared" si="263"/>
        <v>11674</v>
      </c>
      <c r="M516" s="124">
        <f t="shared" si="263"/>
        <v>18580</v>
      </c>
      <c r="N516" s="124">
        <f t="shared" si="263"/>
        <v>22521</v>
      </c>
      <c r="O516" s="124">
        <f t="shared" si="263"/>
        <v>5344</v>
      </c>
      <c r="P516" s="124">
        <f t="shared" si="263"/>
        <v>19372.2</v>
      </c>
      <c r="Q516" s="124">
        <f t="shared" si="263"/>
        <v>25034.2</v>
      </c>
      <c r="R516" s="124">
        <f>SUM(R514:R515)</f>
        <v>20736.099999999999</v>
      </c>
      <c r="AD516" s="24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Z516" s="5"/>
    </row>
    <row r="518" spans="2:52">
      <c r="B518" s="5" t="s">
        <v>2665</v>
      </c>
      <c r="C518" s="5" t="str">
        <f>B518</f>
        <v>ARD_TOT_CASH_FLOWS_FROM_OPS</v>
      </c>
      <c r="D518" s="99">
        <v>11457</v>
      </c>
      <c r="E518" s="99">
        <v>10709</v>
      </c>
      <c r="F518" s="99">
        <v>14470</v>
      </c>
      <c r="G518" s="99">
        <v>15662</v>
      </c>
      <c r="H518" s="99">
        <v>10799</v>
      </c>
      <c r="I518" s="99">
        <v>12741</v>
      </c>
      <c r="J518" s="99">
        <v>11455</v>
      </c>
      <c r="K518" s="99">
        <v>8500</v>
      </c>
      <c r="L518" s="99">
        <v>7209</v>
      </c>
      <c r="M518" s="99">
        <v>12595</v>
      </c>
      <c r="N518" s="99">
        <v>10784</v>
      </c>
      <c r="O518" s="99">
        <v>13679</v>
      </c>
      <c r="P518" s="99">
        <v>9430</v>
      </c>
      <c r="Q518" s="99">
        <v>-1185</v>
      </c>
      <c r="R518" s="99">
        <v>7272</v>
      </c>
      <c r="S518" s="20">
        <v>17983</v>
      </c>
      <c r="T518" s="20">
        <v>24901</v>
      </c>
      <c r="U518" s="20">
        <v>38633</v>
      </c>
      <c r="V518" s="20" t="s">
        <v>289</v>
      </c>
      <c r="AD518" s="24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Z518" s="5"/>
    </row>
    <row r="519" spans="2:52" ht="13.15">
      <c r="C519" s="9"/>
      <c r="D519" s="36"/>
      <c r="E519" s="36"/>
      <c r="F519" s="36"/>
      <c r="G519" s="36"/>
      <c r="H519" s="36"/>
      <c r="I519" s="36" t="e">
        <f t="shared" ref="I519:R519" si="264">I516-I577+I572-I518</f>
        <v>#VALUE!</v>
      </c>
      <c r="J519" s="36" t="e">
        <f t="shared" si="264"/>
        <v>#VALUE!</v>
      </c>
      <c r="K519" s="36" t="e">
        <f t="shared" si="264"/>
        <v>#VALUE!</v>
      </c>
      <c r="L519" s="36" t="e">
        <f t="shared" si="264"/>
        <v>#VALUE!</v>
      </c>
      <c r="M519" s="36" t="e">
        <f t="shared" si="264"/>
        <v>#VALUE!</v>
      </c>
      <c r="N519" s="36" t="e">
        <f t="shared" si="264"/>
        <v>#VALUE!</v>
      </c>
      <c r="O519" s="36" t="e">
        <f t="shared" si="264"/>
        <v>#VALUE!</v>
      </c>
      <c r="P519" s="36" t="e">
        <f t="shared" si="264"/>
        <v>#VALUE!</v>
      </c>
      <c r="Q519" s="36" t="e">
        <f t="shared" si="264"/>
        <v>#VALUE!</v>
      </c>
      <c r="R519" s="36" t="e">
        <f t="shared" si="264"/>
        <v>#VALUE!</v>
      </c>
      <c r="AD519" s="24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Z519" s="5"/>
    </row>
    <row r="520" spans="2:52" ht="13.15">
      <c r="C520" s="9"/>
      <c r="AD520" s="24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Z520" s="5"/>
    </row>
    <row r="521" spans="2:52" ht="13.15">
      <c r="C521" s="9"/>
      <c r="AD521" s="24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Z521" s="5"/>
    </row>
    <row r="522" spans="2:52">
      <c r="B522" s="5" t="s">
        <v>2666</v>
      </c>
      <c r="C522" s="44" t="str">
        <f>B522</f>
        <v>ARDR_CHG_IN_ACCOUNTS_RECEIVABLE</v>
      </c>
      <c r="D522" s="99" t="s">
        <v>289</v>
      </c>
      <c r="E522" s="99" t="s">
        <v>289</v>
      </c>
      <c r="F522" s="99" t="s">
        <v>289</v>
      </c>
      <c r="G522" s="99" t="s">
        <v>289</v>
      </c>
      <c r="H522" s="99" t="s">
        <v>289</v>
      </c>
      <c r="I522" s="99" t="s">
        <v>289</v>
      </c>
      <c r="J522" s="99" t="s">
        <v>289</v>
      </c>
      <c r="K522" s="99" t="s">
        <v>289</v>
      </c>
      <c r="L522" s="99" t="s">
        <v>289</v>
      </c>
      <c r="M522" s="99" t="s">
        <v>289</v>
      </c>
      <c r="N522" s="99" t="s">
        <v>289</v>
      </c>
      <c r="O522" s="99" t="s">
        <v>289</v>
      </c>
      <c r="P522" s="99" t="s">
        <v>289</v>
      </c>
      <c r="Q522" s="99" t="s">
        <v>289</v>
      </c>
      <c r="R522" s="99" t="s">
        <v>289</v>
      </c>
      <c r="S522" s="20" t="s">
        <v>289</v>
      </c>
      <c r="T522" s="20" t="s">
        <v>289</v>
      </c>
      <c r="U522" s="20" t="s">
        <v>289</v>
      </c>
      <c r="V522" s="20" t="s">
        <v>289</v>
      </c>
      <c r="AD522" s="24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Z522" s="5"/>
    </row>
    <row r="523" spans="2:52">
      <c r="B523" s="5" t="s">
        <v>2672</v>
      </c>
      <c r="C523" s="44" t="str">
        <f>B523</f>
        <v>ARD_CHG_IN_ACCOUNTS_RECEIVABLE</v>
      </c>
      <c r="D523" s="99" t="s">
        <v>289</v>
      </c>
      <c r="E523" s="99" t="s">
        <v>289</v>
      </c>
      <c r="F523" s="99" t="s">
        <v>289</v>
      </c>
      <c r="G523" s="99" t="s">
        <v>289</v>
      </c>
      <c r="H523" s="99">
        <v>-1333</v>
      </c>
      <c r="I523" s="99" t="s">
        <v>289</v>
      </c>
      <c r="J523" s="99">
        <v>-1980</v>
      </c>
      <c r="K523" s="99">
        <v>-2241</v>
      </c>
      <c r="L523" s="99">
        <v>-56</v>
      </c>
      <c r="M523" s="99">
        <v>-1651</v>
      </c>
      <c r="N523" s="99">
        <v>-1433</v>
      </c>
      <c r="O523" s="99">
        <v>-1807</v>
      </c>
      <c r="P523" s="99">
        <v>-2155</v>
      </c>
      <c r="Q523" s="99">
        <v>-1660</v>
      </c>
      <c r="R523" s="99">
        <v>-6400</v>
      </c>
      <c r="S523" s="20">
        <v>-893</v>
      </c>
      <c r="T523" s="20">
        <v>712</v>
      </c>
      <c r="U523" s="20">
        <v>1888</v>
      </c>
      <c r="V523" s="20" t="s">
        <v>289</v>
      </c>
      <c r="AD523" s="24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Z523" s="5"/>
    </row>
    <row r="524" spans="2:52" ht="13.15">
      <c r="C524" s="121"/>
      <c r="AD524" s="24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Z524" s="5"/>
    </row>
    <row r="525" spans="2:52">
      <c r="B525" s="5" t="s">
        <v>2681</v>
      </c>
      <c r="C525" s="44" t="str">
        <f>B525</f>
        <v>CF_ACCT_RCV_UNBILLED_REV</v>
      </c>
      <c r="D525" s="99" t="s">
        <v>289</v>
      </c>
      <c r="E525" s="99" t="s">
        <v>289</v>
      </c>
      <c r="F525" s="99" t="s">
        <v>289</v>
      </c>
      <c r="G525" s="99" t="s">
        <v>289</v>
      </c>
      <c r="H525" s="99">
        <v>-1333</v>
      </c>
      <c r="I525" s="99" t="s">
        <v>289</v>
      </c>
      <c r="J525" s="99">
        <v>-1980</v>
      </c>
      <c r="K525" s="99">
        <v>-2241</v>
      </c>
      <c r="L525" s="99">
        <v>-56</v>
      </c>
      <c r="M525" s="99">
        <v>-1651</v>
      </c>
      <c r="N525" s="99">
        <v>-1433</v>
      </c>
      <c r="O525" s="99">
        <v>-1807</v>
      </c>
      <c r="P525" s="99">
        <v>-2155</v>
      </c>
      <c r="Q525" s="99">
        <v>-1660</v>
      </c>
      <c r="R525" s="99">
        <v>-6400</v>
      </c>
      <c r="S525" s="20">
        <v>-893</v>
      </c>
      <c r="T525" s="20">
        <v>712</v>
      </c>
      <c r="U525" s="20">
        <v>1888</v>
      </c>
      <c r="V525" s="20" t="s">
        <v>289</v>
      </c>
      <c r="AD525" s="24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Z525" s="5"/>
    </row>
    <row r="526" spans="2:52" ht="13.15">
      <c r="C526" s="9" t="s">
        <v>2987</v>
      </c>
      <c r="D526" s="122">
        <f t="shared" ref="D526:R526" si="265">SUM(D522:D524)</f>
        <v>0</v>
      </c>
      <c r="E526" s="122">
        <f t="shared" si="265"/>
        <v>0</v>
      </c>
      <c r="F526" s="122">
        <f t="shared" si="265"/>
        <v>0</v>
      </c>
      <c r="G526" s="122">
        <f t="shared" si="265"/>
        <v>0</v>
      </c>
      <c r="H526" s="122">
        <f t="shared" si="265"/>
        <v>-1333</v>
      </c>
      <c r="I526" s="122">
        <f t="shared" si="265"/>
        <v>0</v>
      </c>
      <c r="J526" s="122">
        <f t="shared" si="265"/>
        <v>-1980</v>
      </c>
      <c r="K526" s="122">
        <f t="shared" si="265"/>
        <v>-2241</v>
      </c>
      <c r="L526" s="122">
        <f t="shared" si="265"/>
        <v>-56</v>
      </c>
      <c r="M526" s="122">
        <f t="shared" si="265"/>
        <v>-1651</v>
      </c>
      <c r="N526" s="122">
        <f t="shared" si="265"/>
        <v>-1433</v>
      </c>
      <c r="O526" s="122">
        <f t="shared" si="265"/>
        <v>-1807</v>
      </c>
      <c r="P526" s="122">
        <f t="shared" si="265"/>
        <v>-2155</v>
      </c>
      <c r="Q526" s="122">
        <f t="shared" si="265"/>
        <v>-1660</v>
      </c>
      <c r="R526" s="122">
        <f t="shared" si="265"/>
        <v>-6400</v>
      </c>
      <c r="AD526" s="24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Z526" s="5"/>
    </row>
    <row r="528" spans="2:52">
      <c r="B528" s="5" t="s">
        <v>2667</v>
      </c>
      <c r="C528" s="44" t="str">
        <f>B528</f>
        <v>ARD_CHANGE_IN_ACCOUNTS_PAYABLE</v>
      </c>
      <c r="D528" s="99" t="s">
        <v>289</v>
      </c>
      <c r="E528" s="99" t="s">
        <v>289</v>
      </c>
      <c r="F528" s="99" t="s">
        <v>289</v>
      </c>
      <c r="G528" s="99" t="s">
        <v>289</v>
      </c>
      <c r="H528" s="99" t="s">
        <v>289</v>
      </c>
      <c r="I528" s="99" t="s">
        <v>289</v>
      </c>
      <c r="J528" s="99" t="s">
        <v>289</v>
      </c>
      <c r="K528" s="99" t="s">
        <v>289</v>
      </c>
      <c r="L528" s="99" t="s">
        <v>289</v>
      </c>
      <c r="M528" s="99" t="s">
        <v>289</v>
      </c>
      <c r="N528" s="99" t="s">
        <v>289</v>
      </c>
      <c r="O528" s="99" t="s">
        <v>289</v>
      </c>
      <c r="P528" s="99" t="s">
        <v>289</v>
      </c>
      <c r="Q528" s="99" t="s">
        <v>289</v>
      </c>
      <c r="R528" s="99" t="s">
        <v>289</v>
      </c>
      <c r="S528" s="20" t="s">
        <v>289</v>
      </c>
      <c r="T528" s="20" t="s">
        <v>289</v>
      </c>
      <c r="U528" s="20" t="s">
        <v>289</v>
      </c>
      <c r="V528" s="20" t="s">
        <v>289</v>
      </c>
      <c r="AD528" s="24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Z528" s="5"/>
    </row>
    <row r="529" spans="2:52">
      <c r="C529" s="44"/>
      <c r="D529" s="99"/>
      <c r="E529" s="99"/>
      <c r="F529" s="99"/>
      <c r="G529" s="99"/>
      <c r="H529" s="99"/>
      <c r="I529" s="99"/>
      <c r="J529" s="99"/>
      <c r="K529" s="99"/>
      <c r="L529" s="99"/>
      <c r="M529" s="99"/>
      <c r="N529" s="99"/>
      <c r="O529" s="99"/>
      <c r="P529" s="99"/>
      <c r="Q529" s="99"/>
      <c r="R529" s="99"/>
      <c r="AD529" s="24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Z529" s="5"/>
    </row>
    <row r="530" spans="2:52" ht="14.25">
      <c r="B530" t="s">
        <v>2985</v>
      </c>
      <c r="C530" s="44" t="str">
        <f>B530</f>
        <v>CF_CHANGE_IN_ACCOUNTS_PAYABLE</v>
      </c>
      <c r="D530" s="99" t="s">
        <v>289</v>
      </c>
      <c r="E530" s="99" t="s">
        <v>289</v>
      </c>
      <c r="F530" s="99" t="s">
        <v>289</v>
      </c>
      <c r="G530" s="99" t="s">
        <v>289</v>
      </c>
      <c r="H530" s="99" t="s">
        <v>289</v>
      </c>
      <c r="I530" s="99" t="s">
        <v>289</v>
      </c>
      <c r="J530" s="99" t="s">
        <v>289</v>
      </c>
      <c r="K530" s="99" t="s">
        <v>289</v>
      </c>
      <c r="L530" s="99" t="s">
        <v>289</v>
      </c>
      <c r="M530" s="99" t="s">
        <v>289</v>
      </c>
      <c r="N530" s="99" t="s">
        <v>289</v>
      </c>
      <c r="O530" s="99" t="s">
        <v>289</v>
      </c>
      <c r="P530" s="99" t="s">
        <v>289</v>
      </c>
      <c r="Q530" s="99">
        <v>0</v>
      </c>
      <c r="R530" s="99">
        <v>0</v>
      </c>
      <c r="S530" s="20" t="s">
        <v>289</v>
      </c>
      <c r="T530" s="20" t="s">
        <v>289</v>
      </c>
      <c r="U530" s="20" t="s">
        <v>289</v>
      </c>
      <c r="V530" s="20" t="s">
        <v>289</v>
      </c>
    </row>
    <row r="531" spans="2:52" ht="13.15">
      <c r="C531" s="9" t="s">
        <v>3021</v>
      </c>
      <c r="D531" s="122">
        <f>SUM(D528:D530)</f>
        <v>0</v>
      </c>
      <c r="E531" s="122">
        <f>SUM(E528:E530)</f>
        <v>0</v>
      </c>
      <c r="F531" s="122">
        <f t="shared" ref="F531:R531" si="266">SUM(F528:F530)</f>
        <v>0</v>
      </c>
      <c r="G531" s="122">
        <f t="shared" si="266"/>
        <v>0</v>
      </c>
      <c r="H531" s="122">
        <f t="shared" si="266"/>
        <v>0</v>
      </c>
      <c r="I531" s="122">
        <f t="shared" si="266"/>
        <v>0</v>
      </c>
      <c r="J531" s="122">
        <f t="shared" si="266"/>
        <v>0</v>
      </c>
      <c r="K531" s="122">
        <f t="shared" si="266"/>
        <v>0</v>
      </c>
      <c r="L531" s="122">
        <f t="shared" si="266"/>
        <v>0</v>
      </c>
      <c r="M531" s="122">
        <f t="shared" si="266"/>
        <v>0</v>
      </c>
      <c r="N531" s="122">
        <f t="shared" si="266"/>
        <v>0</v>
      </c>
      <c r="O531" s="122">
        <f t="shared" si="266"/>
        <v>0</v>
      </c>
      <c r="P531" s="122">
        <f t="shared" si="266"/>
        <v>0</v>
      </c>
      <c r="Q531" s="122">
        <f t="shared" si="266"/>
        <v>0</v>
      </c>
      <c r="R531" s="122">
        <f t="shared" si="266"/>
        <v>0</v>
      </c>
    </row>
    <row r="533" spans="2:52">
      <c r="B533" s="5" t="s">
        <v>2676</v>
      </c>
      <c r="C533" s="44" t="str">
        <f>B533</f>
        <v>ARDR_CHANGE_IN_INVENTORIES</v>
      </c>
      <c r="D533" s="99" t="s">
        <v>289</v>
      </c>
      <c r="E533" s="99" t="s">
        <v>289</v>
      </c>
      <c r="F533" s="99" t="s">
        <v>289</v>
      </c>
      <c r="G533" s="99" t="s">
        <v>289</v>
      </c>
      <c r="H533" s="99" t="s">
        <v>289</v>
      </c>
      <c r="I533" s="99" t="s">
        <v>289</v>
      </c>
      <c r="J533" s="99" t="s">
        <v>289</v>
      </c>
      <c r="K533" s="99" t="s">
        <v>289</v>
      </c>
      <c r="L533" s="99" t="s">
        <v>289</v>
      </c>
      <c r="M533" s="99" t="s">
        <v>289</v>
      </c>
      <c r="N533" s="99" t="s">
        <v>289</v>
      </c>
      <c r="O533" s="99" t="s">
        <v>289</v>
      </c>
      <c r="P533" s="99" t="s">
        <v>289</v>
      </c>
      <c r="Q533" s="99" t="s">
        <v>289</v>
      </c>
      <c r="R533" s="99" t="s">
        <v>289</v>
      </c>
      <c r="S533" s="20" t="s">
        <v>289</v>
      </c>
      <c r="T533" s="20" t="s">
        <v>289</v>
      </c>
      <c r="U533" s="20" t="s">
        <v>289</v>
      </c>
      <c r="V533" s="20" t="s">
        <v>289</v>
      </c>
      <c r="AD533" s="24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Z533" s="5"/>
    </row>
    <row r="534" spans="2:52">
      <c r="B534" s="5" t="s">
        <v>2668</v>
      </c>
      <c r="C534" s="44" t="str">
        <f>B534</f>
        <v>ARD_CHANGE_IN_INVENTORIES</v>
      </c>
      <c r="D534" s="99">
        <v>178</v>
      </c>
      <c r="E534" s="99">
        <v>-720</v>
      </c>
      <c r="F534" s="99">
        <v>-147</v>
      </c>
      <c r="G534" s="99">
        <v>-1856</v>
      </c>
      <c r="H534" s="99">
        <v>-3056</v>
      </c>
      <c r="I534" s="99">
        <v>4155</v>
      </c>
      <c r="J534" s="99">
        <v>-2507</v>
      </c>
      <c r="K534" s="99">
        <v>-4234</v>
      </c>
      <c r="L534" s="99">
        <v>460</v>
      </c>
      <c r="M534" s="99">
        <v>-1021</v>
      </c>
      <c r="N534" s="99">
        <v>-2214</v>
      </c>
      <c r="O534" s="99">
        <v>-3149</v>
      </c>
      <c r="P534" s="99">
        <v>-3637</v>
      </c>
      <c r="Q534" s="99">
        <v>-4198</v>
      </c>
      <c r="R534" s="99">
        <v>-5372</v>
      </c>
      <c r="S534" s="20">
        <v>-674</v>
      </c>
      <c r="T534" s="20">
        <v>1334</v>
      </c>
      <c r="U534" s="20">
        <v>2110</v>
      </c>
      <c r="V534" s="20" t="s">
        <v>289</v>
      </c>
      <c r="AD534" s="24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Z534" s="5"/>
    </row>
    <row r="535" spans="2:52" ht="13.15">
      <c r="C535" s="121"/>
      <c r="D535" s="99"/>
      <c r="E535" s="99"/>
      <c r="F535" s="99"/>
      <c r="G535" s="99"/>
      <c r="H535" s="99"/>
      <c r="I535" s="99"/>
      <c r="J535" s="99"/>
      <c r="K535" s="99"/>
      <c r="L535" s="99"/>
      <c r="M535" s="99"/>
      <c r="N535" s="99"/>
      <c r="O535" s="99"/>
      <c r="P535" s="99"/>
      <c r="Q535" s="99"/>
      <c r="R535" s="99"/>
      <c r="AD535" s="24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Z535" s="5"/>
    </row>
    <row r="536" spans="2:52">
      <c r="B536" s="5" t="s">
        <v>2682</v>
      </c>
      <c r="C536" s="44" t="str">
        <f>B536</f>
        <v>CF_CHANGE_IN_INVENTORIES</v>
      </c>
      <c r="D536" s="99">
        <v>178</v>
      </c>
      <c r="E536" s="99">
        <v>-720</v>
      </c>
      <c r="F536" s="99">
        <v>-147</v>
      </c>
      <c r="G536" s="99">
        <v>-1856</v>
      </c>
      <c r="H536" s="99">
        <v>-3056</v>
      </c>
      <c r="I536" s="99">
        <v>4155</v>
      </c>
      <c r="J536" s="99">
        <v>-2507</v>
      </c>
      <c r="K536" s="99">
        <v>-4234</v>
      </c>
      <c r="L536" s="99">
        <v>460</v>
      </c>
      <c r="M536" s="99">
        <v>-1021</v>
      </c>
      <c r="N536" s="99">
        <v>-2214</v>
      </c>
      <c r="O536" s="99">
        <v>-3149</v>
      </c>
      <c r="P536" s="99">
        <v>-3637</v>
      </c>
      <c r="Q536" s="99">
        <v>-4198</v>
      </c>
      <c r="R536" s="99">
        <v>-5372</v>
      </c>
      <c r="S536" s="20">
        <v>-674</v>
      </c>
      <c r="T536" s="20">
        <v>1334</v>
      </c>
      <c r="U536" s="20">
        <v>2110</v>
      </c>
      <c r="V536" s="20" t="s">
        <v>289</v>
      </c>
      <c r="AD536" s="24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Z536" s="5"/>
    </row>
    <row r="537" spans="2:52" ht="13.15">
      <c r="C537" s="9" t="s">
        <v>2988</v>
      </c>
      <c r="D537" s="122">
        <f t="shared" ref="D537:R537" si="267">SUM(D533:D535)</f>
        <v>178</v>
      </c>
      <c r="E537" s="122">
        <f t="shared" si="267"/>
        <v>-720</v>
      </c>
      <c r="F537" s="122">
        <f t="shared" si="267"/>
        <v>-147</v>
      </c>
      <c r="G537" s="122">
        <f t="shared" si="267"/>
        <v>-1856</v>
      </c>
      <c r="H537" s="122">
        <f t="shared" si="267"/>
        <v>-3056</v>
      </c>
      <c r="I537" s="122">
        <f t="shared" si="267"/>
        <v>4155</v>
      </c>
      <c r="J537" s="122">
        <f t="shared" si="267"/>
        <v>-2507</v>
      </c>
      <c r="K537" s="122">
        <f t="shared" si="267"/>
        <v>-4234</v>
      </c>
      <c r="L537" s="122">
        <f t="shared" si="267"/>
        <v>460</v>
      </c>
      <c r="M537" s="122">
        <f t="shared" si="267"/>
        <v>-1021</v>
      </c>
      <c r="N537" s="122">
        <f t="shared" si="267"/>
        <v>-2214</v>
      </c>
      <c r="O537" s="122">
        <f t="shared" si="267"/>
        <v>-3149</v>
      </c>
      <c r="P537" s="122">
        <f t="shared" si="267"/>
        <v>-3637</v>
      </c>
      <c r="Q537" s="122">
        <f t="shared" si="267"/>
        <v>-4198</v>
      </c>
      <c r="R537" s="122">
        <f t="shared" si="267"/>
        <v>-5372</v>
      </c>
    </row>
    <row r="539" spans="2:52">
      <c r="B539" s="5" t="s">
        <v>2673</v>
      </c>
      <c r="C539" s="44" t="str">
        <f>B539</f>
        <v>ARD_CHG_IN_OTHER_CURRENT_LIAB</v>
      </c>
      <c r="D539" s="99">
        <v>687</v>
      </c>
      <c r="E539" s="99">
        <v>429</v>
      </c>
      <c r="F539" s="99">
        <v>700</v>
      </c>
      <c r="G539" s="99">
        <v>2244</v>
      </c>
      <c r="H539" s="99">
        <v>815</v>
      </c>
      <c r="I539" s="99">
        <v>260</v>
      </c>
      <c r="J539" s="99">
        <v>4064</v>
      </c>
      <c r="K539" s="99">
        <v>3077</v>
      </c>
      <c r="L539" s="99">
        <v>-236</v>
      </c>
      <c r="M539" s="99">
        <v>2363</v>
      </c>
      <c r="N539" s="99">
        <v>4764</v>
      </c>
      <c r="O539" s="99">
        <v>2807</v>
      </c>
      <c r="P539" s="99">
        <v>5048</v>
      </c>
      <c r="Q539" s="99">
        <v>5302</v>
      </c>
      <c r="R539" s="99">
        <v>3645</v>
      </c>
      <c r="S539" s="20">
        <v>2297</v>
      </c>
      <c r="T539" s="20">
        <v>540</v>
      </c>
      <c r="U539" s="20">
        <v>1856</v>
      </c>
      <c r="V539" s="20" t="s">
        <v>289</v>
      </c>
      <c r="AD539" s="24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Z539" s="5"/>
    </row>
    <row r="540" spans="2:52">
      <c r="B540" s="5" t="s">
        <v>2675</v>
      </c>
      <c r="C540" s="44" t="str">
        <f>B540</f>
        <v>ARD_INCR_DECR_IN_TRADE_OTHER_REC</v>
      </c>
      <c r="D540" s="99" t="s">
        <v>289</v>
      </c>
      <c r="E540" s="99" t="s">
        <v>289</v>
      </c>
      <c r="F540" s="99" t="s">
        <v>289</v>
      </c>
      <c r="G540" s="99" t="s">
        <v>289</v>
      </c>
      <c r="H540" s="99" t="s">
        <v>289</v>
      </c>
      <c r="I540" s="99" t="s">
        <v>289</v>
      </c>
      <c r="J540" s="99" t="s">
        <v>289</v>
      </c>
      <c r="K540" s="99" t="s">
        <v>289</v>
      </c>
      <c r="L540" s="99" t="s">
        <v>289</v>
      </c>
      <c r="M540" s="99" t="s">
        <v>289</v>
      </c>
      <c r="N540" s="99" t="s">
        <v>289</v>
      </c>
      <c r="O540" s="99" t="s">
        <v>289</v>
      </c>
      <c r="P540" s="99" t="s">
        <v>289</v>
      </c>
      <c r="Q540" s="99" t="s">
        <v>289</v>
      </c>
      <c r="R540" s="99" t="s">
        <v>289</v>
      </c>
      <c r="S540" s="20" t="s">
        <v>289</v>
      </c>
      <c r="T540" s="20" t="s">
        <v>289</v>
      </c>
      <c r="U540" s="20" t="s">
        <v>289</v>
      </c>
      <c r="V540" s="20" t="s">
        <v>289</v>
      </c>
      <c r="AD540" s="24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Z540" s="5"/>
    </row>
    <row r="541" spans="2:52" ht="13.15">
      <c r="C541" s="121"/>
    </row>
    <row r="542" spans="2:52">
      <c r="B542" s="5" t="s">
        <v>2683</v>
      </c>
      <c r="C542" s="44" t="str">
        <f>B542</f>
        <v>CF_INC_DEC_IN_OT_OP_AST_LIAB</v>
      </c>
      <c r="D542" s="99" t="s">
        <v>289</v>
      </c>
      <c r="E542" s="99" t="s">
        <v>289</v>
      </c>
      <c r="F542" s="99" t="s">
        <v>289</v>
      </c>
      <c r="G542" s="99" t="s">
        <v>289</v>
      </c>
      <c r="H542" s="99" t="s">
        <v>289</v>
      </c>
      <c r="I542" s="99">
        <v>6</v>
      </c>
      <c r="J542" s="99">
        <v>962</v>
      </c>
      <c r="K542" s="99">
        <v>-3734</v>
      </c>
      <c r="L542" s="99">
        <v>-8050</v>
      </c>
      <c r="M542" s="99">
        <v>-4325</v>
      </c>
      <c r="N542" s="99">
        <v>-4044</v>
      </c>
      <c r="O542" s="99">
        <v>-4856</v>
      </c>
      <c r="P542" s="99">
        <v>-4442</v>
      </c>
      <c r="Q542" s="99">
        <v>-6589</v>
      </c>
      <c r="R542" s="99">
        <v>-3637</v>
      </c>
      <c r="S542" s="20">
        <v>-20057</v>
      </c>
      <c r="T542" s="20">
        <v>-11311</v>
      </c>
      <c r="U542" s="20">
        <v>-8061</v>
      </c>
      <c r="V542" s="20" t="s">
        <v>289</v>
      </c>
      <c r="AD542" s="24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Z542" s="5"/>
    </row>
    <row r="543" spans="2:52" ht="13.15">
      <c r="C543" s="9" t="s">
        <v>2989</v>
      </c>
      <c r="D543" s="122">
        <f t="shared" ref="D543:R543" si="268">SUM(D539:D542)</f>
        <v>687</v>
      </c>
      <c r="E543" s="122">
        <f t="shared" si="268"/>
        <v>429</v>
      </c>
      <c r="F543" s="122">
        <f t="shared" si="268"/>
        <v>700</v>
      </c>
      <c r="G543" s="122">
        <f t="shared" si="268"/>
        <v>2244</v>
      </c>
      <c r="H543" s="122">
        <f t="shared" si="268"/>
        <v>815</v>
      </c>
      <c r="I543" s="122">
        <f t="shared" si="268"/>
        <v>266</v>
      </c>
      <c r="J543" s="122">
        <f t="shared" si="268"/>
        <v>5026</v>
      </c>
      <c r="K543" s="122">
        <f t="shared" si="268"/>
        <v>-657</v>
      </c>
      <c r="L543" s="122">
        <f t="shared" si="268"/>
        <v>-8286</v>
      </c>
      <c r="M543" s="122">
        <f t="shared" si="268"/>
        <v>-1962</v>
      </c>
      <c r="N543" s="122">
        <f t="shared" si="268"/>
        <v>720</v>
      </c>
      <c r="O543" s="122">
        <f t="shared" si="268"/>
        <v>-2049</v>
      </c>
      <c r="P543" s="122">
        <f t="shared" si="268"/>
        <v>606</v>
      </c>
      <c r="Q543" s="122">
        <f t="shared" si="268"/>
        <v>-1287</v>
      </c>
      <c r="R543" s="122">
        <f t="shared" si="268"/>
        <v>8</v>
      </c>
    </row>
    <row r="544" spans="2:52" ht="13.15">
      <c r="C544" s="9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</row>
    <row r="545" spans="2:52">
      <c r="B545" s="5" t="s">
        <v>3022</v>
      </c>
      <c r="C545" s="44" t="str">
        <f>B545</f>
        <v>ARD_NET_CHG_IN_WORKING_CAPITAL</v>
      </c>
      <c r="D545" s="99" t="s">
        <v>289</v>
      </c>
      <c r="E545" s="99" t="s">
        <v>289</v>
      </c>
      <c r="F545" s="99" t="s">
        <v>289</v>
      </c>
      <c r="G545" s="99" t="s">
        <v>289</v>
      </c>
      <c r="H545" s="99" t="s">
        <v>289</v>
      </c>
      <c r="I545" s="99" t="s">
        <v>289</v>
      </c>
      <c r="J545" s="99" t="s">
        <v>289</v>
      </c>
      <c r="K545" s="99" t="s">
        <v>289</v>
      </c>
      <c r="L545" s="99" t="s">
        <v>289</v>
      </c>
      <c r="M545" s="99" t="s">
        <v>289</v>
      </c>
      <c r="N545" s="99" t="s">
        <v>289</v>
      </c>
      <c r="O545" s="99" t="s">
        <v>289</v>
      </c>
      <c r="P545" s="99" t="s">
        <v>289</v>
      </c>
      <c r="Q545" s="99" t="s">
        <v>289</v>
      </c>
      <c r="R545" s="99" t="s">
        <v>289</v>
      </c>
      <c r="S545" s="20" t="s">
        <v>289</v>
      </c>
      <c r="T545" s="20" t="s">
        <v>289</v>
      </c>
      <c r="U545" s="20" t="s">
        <v>289</v>
      </c>
      <c r="V545" s="20" t="s">
        <v>289</v>
      </c>
    </row>
    <row r="546" spans="2:52">
      <c r="C546" s="44"/>
    </row>
    <row r="547" spans="2:52">
      <c r="B547" s="5" t="s">
        <v>3114</v>
      </c>
      <c r="C547" s="44" t="s">
        <v>2494</v>
      </c>
      <c r="D547" s="99" t="s">
        <v>289</v>
      </c>
      <c r="E547" s="99" t="s">
        <v>289</v>
      </c>
      <c r="F547" s="99" t="s">
        <v>289</v>
      </c>
      <c r="G547" s="99" t="s">
        <v>289</v>
      </c>
      <c r="H547" s="99" t="s">
        <v>289</v>
      </c>
      <c r="I547" s="99" t="s">
        <v>289</v>
      </c>
      <c r="J547" s="99" t="s">
        <v>289</v>
      </c>
      <c r="K547" s="99" t="s">
        <v>289</v>
      </c>
      <c r="L547" s="99" t="s">
        <v>289</v>
      </c>
      <c r="M547" s="99" t="s">
        <v>289</v>
      </c>
      <c r="N547" s="99" t="s">
        <v>289</v>
      </c>
      <c r="O547" s="99" t="s">
        <v>289</v>
      </c>
      <c r="P547" s="99">
        <v>-20.8</v>
      </c>
      <c r="Q547" s="99" t="s">
        <v>289</v>
      </c>
      <c r="R547" s="99" t="s">
        <v>289</v>
      </c>
    </row>
    <row r="548" spans="2:52">
      <c r="B548" s="5" t="s">
        <v>2494</v>
      </c>
      <c r="C548" s="44" t="str">
        <f>B548</f>
        <v>ARDR_CHANGE_OTHER_PROVISIONS</v>
      </c>
      <c r="D548" s="99" t="s">
        <v>289</v>
      </c>
      <c r="E548" s="99" t="s">
        <v>289</v>
      </c>
      <c r="F548" s="99" t="s">
        <v>289</v>
      </c>
      <c r="G548" s="99" t="s">
        <v>289</v>
      </c>
      <c r="H548" s="99" t="s">
        <v>289</v>
      </c>
      <c r="I548" s="99" t="s">
        <v>289</v>
      </c>
      <c r="J548" s="99" t="s">
        <v>289</v>
      </c>
      <c r="K548" s="99" t="s">
        <v>289</v>
      </c>
      <c r="L548" s="99" t="s">
        <v>289</v>
      </c>
      <c r="M548" s="99" t="s">
        <v>289</v>
      </c>
      <c r="N548" s="99" t="s">
        <v>289</v>
      </c>
      <c r="O548" s="99" t="s">
        <v>289</v>
      </c>
      <c r="P548" s="99" t="s">
        <v>289</v>
      </c>
      <c r="Q548" s="99" t="s">
        <v>289</v>
      </c>
      <c r="R548" s="99" t="s">
        <v>289</v>
      </c>
      <c r="S548" s="20" t="s">
        <v>289</v>
      </c>
      <c r="T548" s="20" t="s">
        <v>289</v>
      </c>
      <c r="U548" s="20" t="s">
        <v>289</v>
      </c>
      <c r="V548" s="20" t="s">
        <v>289</v>
      </c>
      <c r="AD548" s="24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Z548" s="5"/>
    </row>
    <row r="549" spans="2:52" ht="13.15">
      <c r="C549" s="9" t="s">
        <v>3026</v>
      </c>
      <c r="D549" s="122">
        <f>SUM(D547:D548)</f>
        <v>0</v>
      </c>
      <c r="E549" s="122">
        <f>SUM(E547:E548)</f>
        <v>0</v>
      </c>
      <c r="F549" s="122">
        <f>SUM(F547:F548)</f>
        <v>0</v>
      </c>
      <c r="G549" s="122">
        <f t="shared" ref="G549:R549" si="269">SUM(G547:G548)</f>
        <v>0</v>
      </c>
      <c r="H549" s="122">
        <f t="shared" si="269"/>
        <v>0</v>
      </c>
      <c r="I549" s="122">
        <f t="shared" si="269"/>
        <v>0</v>
      </c>
      <c r="J549" s="122">
        <f t="shared" si="269"/>
        <v>0</v>
      </c>
      <c r="K549" s="122">
        <f t="shared" si="269"/>
        <v>0</v>
      </c>
      <c r="L549" s="122">
        <f t="shared" si="269"/>
        <v>0</v>
      </c>
      <c r="M549" s="122">
        <f t="shared" si="269"/>
        <v>0</v>
      </c>
      <c r="N549" s="122">
        <f t="shared" si="269"/>
        <v>0</v>
      </c>
      <c r="O549" s="122">
        <f t="shared" si="269"/>
        <v>0</v>
      </c>
      <c r="P549" s="122">
        <f t="shared" si="269"/>
        <v>-20.8</v>
      </c>
      <c r="Q549" s="122">
        <f t="shared" si="269"/>
        <v>0</v>
      </c>
      <c r="R549" s="122">
        <f t="shared" si="269"/>
        <v>0</v>
      </c>
    </row>
    <row r="552" spans="2:52">
      <c r="B552" s="5" t="s">
        <v>3023</v>
      </c>
      <c r="C552" s="44" t="str">
        <f>B552</f>
        <v>ARD_STOCK_BASED_COMPENSATION</v>
      </c>
      <c r="D552" s="99" t="s">
        <v>289</v>
      </c>
      <c r="E552" s="99" t="s">
        <v>289</v>
      </c>
      <c r="F552" s="99" t="s">
        <v>289</v>
      </c>
      <c r="G552" s="99" t="s">
        <v>289</v>
      </c>
      <c r="H552" s="99" t="s">
        <v>289</v>
      </c>
      <c r="I552" s="99" t="s">
        <v>289</v>
      </c>
      <c r="J552" s="99" t="s">
        <v>289</v>
      </c>
      <c r="K552" s="99" t="s">
        <v>289</v>
      </c>
      <c r="L552" s="99" t="s">
        <v>289</v>
      </c>
      <c r="M552" s="99" t="s">
        <v>289</v>
      </c>
      <c r="N552" s="99" t="s">
        <v>289</v>
      </c>
      <c r="O552" s="99" t="s">
        <v>289</v>
      </c>
      <c r="P552" s="99" t="s">
        <v>289</v>
      </c>
      <c r="Q552" s="99" t="s">
        <v>289</v>
      </c>
      <c r="R552" s="99" t="s">
        <v>289</v>
      </c>
      <c r="S552" s="20" t="s">
        <v>289</v>
      </c>
      <c r="T552" s="20" t="s">
        <v>289</v>
      </c>
      <c r="U552" s="20" t="s">
        <v>289</v>
      </c>
      <c r="V552" s="20" t="s">
        <v>289</v>
      </c>
      <c r="AD552" s="24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Z552" s="5"/>
    </row>
    <row r="553" spans="2:52">
      <c r="B553" s="5" t="s">
        <v>2492</v>
      </c>
      <c r="C553" s="44" t="str">
        <f>B553</f>
        <v>ARDR_STOCK_BASED_COMPENSATION</v>
      </c>
      <c r="D553" s="99" t="s">
        <v>289</v>
      </c>
      <c r="E553" s="99" t="s">
        <v>289</v>
      </c>
      <c r="F553" s="99" t="s">
        <v>289</v>
      </c>
      <c r="G553" s="99" t="s">
        <v>289</v>
      </c>
      <c r="H553" s="99" t="s">
        <v>289</v>
      </c>
      <c r="I553" s="99" t="s">
        <v>289</v>
      </c>
      <c r="J553" s="99" t="s">
        <v>289</v>
      </c>
      <c r="K553" s="99" t="s">
        <v>289</v>
      </c>
      <c r="L553" s="99" t="s">
        <v>289</v>
      </c>
      <c r="M553" s="99" t="s">
        <v>289</v>
      </c>
      <c r="N553" s="99" t="s">
        <v>289</v>
      </c>
      <c r="O553" s="99" t="s">
        <v>289</v>
      </c>
      <c r="P553" s="99" t="s">
        <v>289</v>
      </c>
      <c r="Q553" s="99" t="s">
        <v>289</v>
      </c>
      <c r="R553" s="99" t="s">
        <v>289</v>
      </c>
      <c r="S553" s="20" t="s">
        <v>289</v>
      </c>
      <c r="T553" s="20" t="s">
        <v>289</v>
      </c>
      <c r="U553" s="20" t="s">
        <v>289</v>
      </c>
      <c r="V553" s="20" t="s">
        <v>289</v>
      </c>
      <c r="AD553" s="24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Z553" s="5"/>
    </row>
    <row r="554" spans="2:52" ht="13.15">
      <c r="C554" s="9" t="s">
        <v>3025</v>
      </c>
      <c r="D554" s="122">
        <f t="shared" ref="D554:Q554" si="270">SUM(D552:D553)</f>
        <v>0</v>
      </c>
      <c r="E554" s="122">
        <f t="shared" si="270"/>
        <v>0</v>
      </c>
      <c r="F554" s="122">
        <f t="shared" si="270"/>
        <v>0</v>
      </c>
      <c r="G554" s="122">
        <f t="shared" si="270"/>
        <v>0</v>
      </c>
      <c r="H554" s="122">
        <f t="shared" si="270"/>
        <v>0</v>
      </c>
      <c r="I554" s="122">
        <f t="shared" si="270"/>
        <v>0</v>
      </c>
      <c r="J554" s="122">
        <f t="shared" si="270"/>
        <v>0</v>
      </c>
      <c r="K554" s="122">
        <f t="shared" si="270"/>
        <v>0</v>
      </c>
      <c r="L554" s="122">
        <f t="shared" si="270"/>
        <v>0</v>
      </c>
      <c r="M554" s="122">
        <f t="shared" si="270"/>
        <v>0</v>
      </c>
      <c r="N554" s="122">
        <f t="shared" si="270"/>
        <v>0</v>
      </c>
      <c r="O554" s="122">
        <f t="shared" si="270"/>
        <v>0</v>
      </c>
      <c r="P554" s="122">
        <f t="shared" si="270"/>
        <v>0</v>
      </c>
      <c r="Q554" s="122">
        <f t="shared" si="270"/>
        <v>0</v>
      </c>
      <c r="R554" s="122">
        <f>SUM(R552:R553)</f>
        <v>0</v>
      </c>
      <c r="AD554" s="24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Z554" s="5"/>
    </row>
    <row r="557" spans="2:52">
      <c r="B557" s="5" t="s">
        <v>3068</v>
      </c>
      <c r="C557" s="44" t="s">
        <v>3068</v>
      </c>
      <c r="D557" s="16" t="s">
        <v>289</v>
      </c>
      <c r="E557" s="16" t="s">
        <v>289</v>
      </c>
      <c r="F557" s="16" t="s">
        <v>289</v>
      </c>
      <c r="G557" s="16" t="s">
        <v>289</v>
      </c>
      <c r="H557" s="16" t="s">
        <v>289</v>
      </c>
      <c r="I557" s="16" t="s">
        <v>289</v>
      </c>
      <c r="J557" s="16" t="s">
        <v>289</v>
      </c>
      <c r="K557" s="99" t="s">
        <v>289</v>
      </c>
      <c r="L557" s="99" t="s">
        <v>289</v>
      </c>
      <c r="M557" s="99" t="s">
        <v>289</v>
      </c>
      <c r="N557" s="99" t="s">
        <v>289</v>
      </c>
      <c r="O557" s="99" t="s">
        <v>289</v>
      </c>
      <c r="P557" s="99">
        <v>-2</v>
      </c>
      <c r="Q557" s="99">
        <v>-4.8</v>
      </c>
      <c r="R557" s="99">
        <v>-6.9</v>
      </c>
      <c r="AD557" s="24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Z557" s="5"/>
    </row>
    <row r="558" spans="2:52" ht="13.15">
      <c r="C558" s="9" t="s">
        <v>3066</v>
      </c>
      <c r="D558" s="122">
        <f t="shared" ref="D558:R558" si="271">SUM(D556:D557)</f>
        <v>0</v>
      </c>
      <c r="E558" s="122">
        <f t="shared" si="271"/>
        <v>0</v>
      </c>
      <c r="F558" s="122">
        <f t="shared" si="271"/>
        <v>0</v>
      </c>
      <c r="G558" s="122">
        <f t="shared" si="271"/>
        <v>0</v>
      </c>
      <c r="H558" s="122">
        <f t="shared" si="271"/>
        <v>0</v>
      </c>
      <c r="I558" s="122">
        <f t="shared" si="271"/>
        <v>0</v>
      </c>
      <c r="J558" s="122">
        <f t="shared" si="271"/>
        <v>0</v>
      </c>
      <c r="K558" s="122">
        <f t="shared" si="271"/>
        <v>0</v>
      </c>
      <c r="L558" s="122">
        <f t="shared" si="271"/>
        <v>0</v>
      </c>
      <c r="M558" s="122">
        <f t="shared" si="271"/>
        <v>0</v>
      </c>
      <c r="N558" s="122">
        <f t="shared" si="271"/>
        <v>0</v>
      </c>
      <c r="O558" s="122">
        <f t="shared" si="271"/>
        <v>0</v>
      </c>
      <c r="P558" s="122">
        <f t="shared" si="271"/>
        <v>-2</v>
      </c>
      <c r="Q558" s="122">
        <f t="shared" si="271"/>
        <v>-4.8</v>
      </c>
      <c r="R558" s="122">
        <f t="shared" si="271"/>
        <v>-6.9</v>
      </c>
      <c r="AD558" s="24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Z558" s="5"/>
    </row>
    <row r="560" spans="2:52">
      <c r="B560" s="5" t="s">
        <v>2493</v>
      </c>
      <c r="C560" s="44" t="str">
        <f>B560</f>
        <v>ARDR_OTHER_NON_CASH_ITEMS</v>
      </c>
      <c r="D560" s="16" t="s">
        <v>289</v>
      </c>
      <c r="E560" s="16" t="s">
        <v>289</v>
      </c>
      <c r="F560" s="16" t="s">
        <v>289</v>
      </c>
      <c r="G560" s="16" t="s">
        <v>289</v>
      </c>
      <c r="H560" s="16" t="s">
        <v>289</v>
      </c>
      <c r="I560" s="16" t="s">
        <v>289</v>
      </c>
      <c r="J560" s="16" t="s">
        <v>289</v>
      </c>
      <c r="K560" s="99" t="s">
        <v>289</v>
      </c>
      <c r="L560" s="99" t="s">
        <v>289</v>
      </c>
      <c r="M560" s="99" t="s">
        <v>289</v>
      </c>
      <c r="N560" s="99" t="s">
        <v>289</v>
      </c>
      <c r="O560" s="99" t="s">
        <v>289</v>
      </c>
      <c r="P560" s="99" t="s">
        <v>289</v>
      </c>
      <c r="Q560" s="99" t="s">
        <v>289</v>
      </c>
      <c r="R560" s="99" t="s">
        <v>289</v>
      </c>
      <c r="S560" s="20">
        <v>-1980</v>
      </c>
      <c r="T560" s="20">
        <v>-9184</v>
      </c>
      <c r="U560" s="20">
        <v>-9332</v>
      </c>
      <c r="V560" s="20" t="s">
        <v>289</v>
      </c>
      <c r="AD560" s="24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Z560" s="5"/>
    </row>
    <row r="561" spans="2:52" ht="13.15">
      <c r="C561" s="9" t="s">
        <v>3067</v>
      </c>
      <c r="D561" s="122">
        <f t="shared" ref="D561:Q561" si="272">SUM(D559:D560)</f>
        <v>0</v>
      </c>
      <c r="E561" s="122">
        <f t="shared" si="272"/>
        <v>0</v>
      </c>
      <c r="F561" s="122">
        <f t="shared" si="272"/>
        <v>0</v>
      </c>
      <c r="G561" s="122">
        <f t="shared" si="272"/>
        <v>0</v>
      </c>
      <c r="H561" s="122">
        <f t="shared" si="272"/>
        <v>0</v>
      </c>
      <c r="I561" s="122">
        <f t="shared" si="272"/>
        <v>0</v>
      </c>
      <c r="J561" s="122">
        <f t="shared" si="272"/>
        <v>0</v>
      </c>
      <c r="K561" s="122">
        <f t="shared" si="272"/>
        <v>0</v>
      </c>
      <c r="L561" s="122">
        <f t="shared" si="272"/>
        <v>0</v>
      </c>
      <c r="M561" s="122">
        <f t="shared" si="272"/>
        <v>0</v>
      </c>
      <c r="N561" s="122">
        <f t="shared" si="272"/>
        <v>0</v>
      </c>
      <c r="O561" s="122">
        <f t="shared" si="272"/>
        <v>0</v>
      </c>
      <c r="P561" s="122">
        <f t="shared" si="272"/>
        <v>0</v>
      </c>
      <c r="Q561" s="122">
        <f t="shared" si="272"/>
        <v>0</v>
      </c>
      <c r="R561" s="122">
        <f>SUM(R559:R560)</f>
        <v>0</v>
      </c>
      <c r="AD561" s="24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Z561" s="5"/>
    </row>
    <row r="562" spans="2:52" ht="13.15">
      <c r="C562" s="9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AD562" s="24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Z562" s="5"/>
    </row>
    <row r="563" spans="2:52">
      <c r="B563" s="5" t="s">
        <v>3065</v>
      </c>
      <c r="C563" s="44" t="str">
        <f>B563</f>
        <v>ARD_GAIN_LOSS_SALES_FIXED_ASSETS</v>
      </c>
      <c r="D563" s="20" t="s">
        <v>289</v>
      </c>
      <c r="E563" s="20" t="s">
        <v>289</v>
      </c>
      <c r="F563" s="20" t="s">
        <v>289</v>
      </c>
      <c r="G563" s="20" t="s">
        <v>289</v>
      </c>
      <c r="H563" s="20" t="s">
        <v>289</v>
      </c>
      <c r="I563" s="20" t="s">
        <v>289</v>
      </c>
      <c r="J563" s="20" t="s">
        <v>289</v>
      </c>
      <c r="K563" s="20" t="s">
        <v>289</v>
      </c>
      <c r="L563" s="20" t="s">
        <v>289</v>
      </c>
      <c r="M563" s="20" t="s">
        <v>289</v>
      </c>
      <c r="N563" s="20" t="s">
        <v>289</v>
      </c>
      <c r="O563" s="20" t="s">
        <v>289</v>
      </c>
      <c r="P563" s="20" t="s">
        <v>289</v>
      </c>
      <c r="Q563" s="20" t="s">
        <v>289</v>
      </c>
      <c r="R563" s="20" t="s">
        <v>289</v>
      </c>
      <c r="S563" s="20" t="s">
        <v>289</v>
      </c>
      <c r="T563" s="20" t="s">
        <v>289</v>
      </c>
      <c r="U563" s="20" t="s">
        <v>289</v>
      </c>
      <c r="V563" s="20" t="s">
        <v>289</v>
      </c>
    </row>
    <row r="564" spans="2:52">
      <c r="B564" s="5" t="s">
        <v>2495</v>
      </c>
      <c r="C564" s="44" t="str">
        <f>B564</f>
        <v>ARDR_GAIN_LOSS_SALES_FIX_ASSETS</v>
      </c>
      <c r="D564" s="16" t="s">
        <v>289</v>
      </c>
      <c r="E564" s="16" t="s">
        <v>289</v>
      </c>
      <c r="F564" s="16" t="s">
        <v>289</v>
      </c>
      <c r="G564" s="16" t="s">
        <v>289</v>
      </c>
      <c r="H564" s="16" t="s">
        <v>289</v>
      </c>
      <c r="I564" s="16" t="s">
        <v>289</v>
      </c>
      <c r="J564" s="16" t="s">
        <v>289</v>
      </c>
      <c r="K564" s="99" t="s">
        <v>289</v>
      </c>
      <c r="L564" s="99" t="s">
        <v>289</v>
      </c>
      <c r="M564" s="99" t="s">
        <v>289</v>
      </c>
      <c r="N564" s="99" t="s">
        <v>289</v>
      </c>
      <c r="O564" s="99" t="s">
        <v>289</v>
      </c>
      <c r="P564" s="99" t="s">
        <v>289</v>
      </c>
      <c r="Q564" s="99" t="s">
        <v>289</v>
      </c>
      <c r="R564" s="99" t="s">
        <v>289</v>
      </c>
      <c r="S564" s="20" t="s">
        <v>289</v>
      </c>
      <c r="T564" s="20" t="s">
        <v>289</v>
      </c>
      <c r="U564" s="20" t="s">
        <v>289</v>
      </c>
      <c r="V564" s="20" t="s">
        <v>289</v>
      </c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Z564" s="5"/>
    </row>
    <row r="565" spans="2:52" ht="13.15">
      <c r="C565" s="9" t="s">
        <v>3028</v>
      </c>
      <c r="D565" s="122">
        <f t="shared" ref="D565:R565" si="273">SUM(D563:D564)</f>
        <v>0</v>
      </c>
      <c r="E565" s="122">
        <f t="shared" si="273"/>
        <v>0</v>
      </c>
      <c r="F565" s="122">
        <f t="shared" si="273"/>
        <v>0</v>
      </c>
      <c r="G565" s="122">
        <f t="shared" si="273"/>
        <v>0</v>
      </c>
      <c r="H565" s="122">
        <f t="shared" si="273"/>
        <v>0</v>
      </c>
      <c r="I565" s="122">
        <f t="shared" si="273"/>
        <v>0</v>
      </c>
      <c r="J565" s="122">
        <f t="shared" si="273"/>
        <v>0</v>
      </c>
      <c r="K565" s="122">
        <f t="shared" si="273"/>
        <v>0</v>
      </c>
      <c r="L565" s="122">
        <f t="shared" si="273"/>
        <v>0</v>
      </c>
      <c r="M565" s="122">
        <f t="shared" si="273"/>
        <v>0</v>
      </c>
      <c r="N565" s="122">
        <f t="shared" si="273"/>
        <v>0</v>
      </c>
      <c r="O565" s="122">
        <f t="shared" si="273"/>
        <v>0</v>
      </c>
      <c r="P565" s="122">
        <f t="shared" si="273"/>
        <v>0</v>
      </c>
      <c r="Q565" s="122">
        <f t="shared" si="273"/>
        <v>0</v>
      </c>
      <c r="R565" s="122">
        <f t="shared" si="273"/>
        <v>0</v>
      </c>
      <c r="AD565" s="24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Z565" s="5"/>
    </row>
    <row r="566" spans="2:52" ht="13.15">
      <c r="C566" s="9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AD566" s="24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Z566" s="5"/>
    </row>
    <row r="567" spans="2:52" ht="13.15">
      <c r="C567" s="9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AD567" s="24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Z567" s="5"/>
    </row>
    <row r="568" spans="2:52">
      <c r="B568" s="5" t="s">
        <v>2498</v>
      </c>
      <c r="C568" s="44" t="str">
        <f>B568</f>
        <v>ARD_CASH_PAID_FOR_TAXES</v>
      </c>
      <c r="D568" s="16">
        <v>-21</v>
      </c>
      <c r="E568" s="16">
        <v>-354</v>
      </c>
      <c r="F568" s="16">
        <v>-888</v>
      </c>
      <c r="G568" s="16">
        <v>-1172</v>
      </c>
      <c r="H568" s="16">
        <v>-2075</v>
      </c>
      <c r="I568" s="16">
        <v>-529</v>
      </c>
      <c r="J568" s="16">
        <v>-1554</v>
      </c>
      <c r="K568" s="99">
        <v>-3269</v>
      </c>
      <c r="L568" s="99">
        <v>-5056</v>
      </c>
      <c r="M568" s="99">
        <v>-3107</v>
      </c>
      <c r="N568" s="99">
        <v>-4040</v>
      </c>
      <c r="O568" s="99">
        <v>-3238</v>
      </c>
      <c r="P568" s="99">
        <v>-3315</v>
      </c>
      <c r="Q568" s="99">
        <v>-3664</v>
      </c>
      <c r="R568" s="99">
        <v>-3804</v>
      </c>
      <c r="S568" s="20">
        <v>-2914</v>
      </c>
      <c r="T568" s="20">
        <v>-2646</v>
      </c>
      <c r="U568" s="20">
        <v>-4216</v>
      </c>
      <c r="V568" s="20" t="s">
        <v>289</v>
      </c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Z568" s="5"/>
    </row>
    <row r="569" spans="2:52" ht="13.15">
      <c r="D569" s="122">
        <f t="shared" ref="D569:R569" si="274">SUM(D567:D568)</f>
        <v>-21</v>
      </c>
      <c r="E569" s="122">
        <f t="shared" si="274"/>
        <v>-354</v>
      </c>
      <c r="F569" s="122">
        <f t="shared" si="274"/>
        <v>-888</v>
      </c>
      <c r="G569" s="122">
        <f t="shared" si="274"/>
        <v>-1172</v>
      </c>
      <c r="H569" s="122">
        <f t="shared" si="274"/>
        <v>-2075</v>
      </c>
      <c r="I569" s="122">
        <f t="shared" si="274"/>
        <v>-529</v>
      </c>
      <c r="J569" s="122">
        <f t="shared" si="274"/>
        <v>-1554</v>
      </c>
      <c r="K569" s="122">
        <f t="shared" si="274"/>
        <v>-3269</v>
      </c>
      <c r="L569" s="122">
        <f t="shared" si="274"/>
        <v>-5056</v>
      </c>
      <c r="M569" s="122">
        <f t="shared" si="274"/>
        <v>-3107</v>
      </c>
      <c r="N569" s="122">
        <f t="shared" si="274"/>
        <v>-4040</v>
      </c>
      <c r="O569" s="122">
        <f t="shared" si="274"/>
        <v>-3238</v>
      </c>
      <c r="P569" s="122">
        <f t="shared" si="274"/>
        <v>-3315</v>
      </c>
      <c r="Q569" s="122">
        <f t="shared" si="274"/>
        <v>-3664</v>
      </c>
      <c r="R569" s="122">
        <f t="shared" si="274"/>
        <v>-3804</v>
      </c>
      <c r="AD569" s="24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Z569" s="5"/>
    </row>
    <row r="570" spans="2:52">
      <c r="B570" s="5" t="s">
        <v>3063</v>
      </c>
      <c r="C570" s="44"/>
      <c r="D570" s="16">
        <v>21</v>
      </c>
      <c r="E570" s="16">
        <v>354</v>
      </c>
      <c r="F570" s="16">
        <v>888</v>
      </c>
      <c r="G570" s="16">
        <v>1172</v>
      </c>
      <c r="H570" s="16">
        <v>2075</v>
      </c>
      <c r="I570" s="16">
        <v>529</v>
      </c>
      <c r="J570" s="16">
        <v>1554</v>
      </c>
      <c r="K570" s="99">
        <v>3269</v>
      </c>
      <c r="L570" s="99">
        <v>5056</v>
      </c>
      <c r="M570" s="99">
        <v>3107</v>
      </c>
      <c r="N570" s="99">
        <v>4040</v>
      </c>
      <c r="O570" s="99">
        <v>3238</v>
      </c>
      <c r="P570" s="99">
        <v>3315</v>
      </c>
      <c r="Q570" s="99">
        <v>3664</v>
      </c>
      <c r="R570" s="99">
        <v>3804</v>
      </c>
      <c r="S570" s="20">
        <v>2914</v>
      </c>
      <c r="T570" s="20">
        <v>2646</v>
      </c>
      <c r="U570" s="20">
        <v>4216</v>
      </c>
      <c r="V570" s="20" t="s">
        <v>289</v>
      </c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Z570" s="5"/>
    </row>
    <row r="571" spans="2:52">
      <c r="C571" s="44"/>
      <c r="D571" s="16"/>
      <c r="E571" s="16"/>
      <c r="F571" s="16"/>
      <c r="G571" s="16"/>
      <c r="H571" s="16"/>
      <c r="I571" s="16"/>
      <c r="J571" s="16"/>
      <c r="K571" s="99"/>
      <c r="L571" s="99"/>
      <c r="M571" s="99"/>
      <c r="N571" s="99"/>
      <c r="O571" s="99"/>
      <c r="P571" s="99"/>
      <c r="Q571" s="99"/>
      <c r="R571" s="99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Z571" s="5"/>
    </row>
    <row r="572" spans="2:52">
      <c r="B572" s="5" t="s">
        <v>2497</v>
      </c>
      <c r="C572" s="44" t="str">
        <f>B572</f>
        <v>ARD_CASH_PAID_FOR_INTEREST</v>
      </c>
      <c r="D572" s="16" t="s">
        <v>289</v>
      </c>
      <c r="E572" s="16" t="s">
        <v>289</v>
      </c>
      <c r="F572" s="16" t="s">
        <v>289</v>
      </c>
      <c r="G572" s="16" t="s">
        <v>289</v>
      </c>
      <c r="H572" s="16" t="s">
        <v>289</v>
      </c>
      <c r="I572" s="16" t="s">
        <v>289</v>
      </c>
      <c r="J572" s="16" t="s">
        <v>289</v>
      </c>
      <c r="K572" s="99" t="s">
        <v>289</v>
      </c>
      <c r="L572" s="99" t="s">
        <v>289</v>
      </c>
      <c r="M572" s="99" t="s">
        <v>289</v>
      </c>
      <c r="N572" s="99" t="s">
        <v>289</v>
      </c>
      <c r="O572" s="99" t="s">
        <v>289</v>
      </c>
      <c r="P572" s="99" t="s">
        <v>289</v>
      </c>
      <c r="Q572" s="99" t="s">
        <v>289</v>
      </c>
      <c r="R572" s="99" t="s">
        <v>289</v>
      </c>
      <c r="S572" s="20" t="s">
        <v>289</v>
      </c>
      <c r="T572" s="20" t="s">
        <v>289</v>
      </c>
      <c r="U572" s="20" t="s">
        <v>289</v>
      </c>
      <c r="V572" s="20" t="s">
        <v>289</v>
      </c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Z572" s="5"/>
    </row>
    <row r="573" spans="2:52" ht="13.15">
      <c r="D573" s="122">
        <f t="shared" ref="D573:R573" si="275">SUM(D570:D572)</f>
        <v>21</v>
      </c>
      <c r="E573" s="122">
        <f t="shared" si="275"/>
        <v>354</v>
      </c>
      <c r="F573" s="122">
        <f t="shared" si="275"/>
        <v>888</v>
      </c>
      <c r="G573" s="122">
        <f t="shared" si="275"/>
        <v>1172</v>
      </c>
      <c r="H573" s="122">
        <f t="shared" si="275"/>
        <v>2075</v>
      </c>
      <c r="I573" s="122">
        <f t="shared" si="275"/>
        <v>529</v>
      </c>
      <c r="J573" s="122">
        <f t="shared" si="275"/>
        <v>1554</v>
      </c>
      <c r="K573" s="122">
        <f t="shared" si="275"/>
        <v>3269</v>
      </c>
      <c r="L573" s="122">
        <f t="shared" si="275"/>
        <v>5056</v>
      </c>
      <c r="M573" s="122">
        <f t="shared" si="275"/>
        <v>3107</v>
      </c>
      <c r="N573" s="122">
        <f t="shared" si="275"/>
        <v>4040</v>
      </c>
      <c r="O573" s="122">
        <f t="shared" si="275"/>
        <v>3238</v>
      </c>
      <c r="P573" s="122">
        <f t="shared" si="275"/>
        <v>3315</v>
      </c>
      <c r="Q573" s="122">
        <f t="shared" si="275"/>
        <v>3664</v>
      </c>
      <c r="R573" s="122">
        <f t="shared" si="275"/>
        <v>3804</v>
      </c>
      <c r="AD573" s="24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Z573" s="5"/>
    </row>
    <row r="574" spans="2:52">
      <c r="B574" s="5" t="s">
        <v>3064</v>
      </c>
      <c r="D574" s="20">
        <v>2335</v>
      </c>
      <c r="E574" s="20">
        <v>2729</v>
      </c>
      <c r="F574" s="20">
        <v>3184</v>
      </c>
      <c r="G574" s="20">
        <v>2934</v>
      </c>
      <c r="H574" s="20">
        <v>3404</v>
      </c>
      <c r="I574" s="20">
        <v>3172</v>
      </c>
      <c r="J574" s="20">
        <v>3049</v>
      </c>
      <c r="K574" s="20">
        <v>4796</v>
      </c>
      <c r="L574" s="20">
        <v>3915</v>
      </c>
      <c r="M574" s="20">
        <v>3864</v>
      </c>
      <c r="N574" s="20">
        <v>3397</v>
      </c>
      <c r="O574" s="20">
        <v>2440</v>
      </c>
      <c r="P574" s="20">
        <v>2716</v>
      </c>
      <c r="Q574" s="20">
        <v>2332</v>
      </c>
      <c r="R574" s="20" t="s">
        <v>289</v>
      </c>
      <c r="S574" s="20">
        <v>2604</v>
      </c>
      <c r="T574" s="20">
        <v>2677</v>
      </c>
      <c r="U574" s="20">
        <v>2471</v>
      </c>
      <c r="V574" s="20" t="s">
        <v>289</v>
      </c>
      <c r="AD574" s="24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Z574" s="5"/>
    </row>
    <row r="575" spans="2:52">
      <c r="AD575" s="24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Z575" s="5"/>
    </row>
    <row r="576" spans="2:52">
      <c r="B576" s="5" t="s">
        <v>2496</v>
      </c>
      <c r="C576" s="44" t="str">
        <f>B576</f>
        <v>ARD_INT_REC_FROM_INVESTING_ACT</v>
      </c>
      <c r="D576" s="16" t="s">
        <v>289</v>
      </c>
      <c r="E576" s="16" t="s">
        <v>289</v>
      </c>
      <c r="F576" s="16" t="s">
        <v>289</v>
      </c>
      <c r="G576" s="16" t="s">
        <v>289</v>
      </c>
      <c r="H576" s="16" t="s">
        <v>289</v>
      </c>
      <c r="I576" s="16" t="s">
        <v>289</v>
      </c>
      <c r="J576" s="16" t="s">
        <v>289</v>
      </c>
      <c r="K576" s="99" t="s">
        <v>289</v>
      </c>
      <c r="L576" s="99" t="s">
        <v>289</v>
      </c>
      <c r="M576" s="99" t="s">
        <v>289</v>
      </c>
      <c r="N576" s="99" t="s">
        <v>289</v>
      </c>
      <c r="O576" s="99" t="s">
        <v>289</v>
      </c>
      <c r="P576" s="99" t="s">
        <v>289</v>
      </c>
      <c r="Q576" s="99" t="s">
        <v>289</v>
      </c>
      <c r="R576" s="99" t="s">
        <v>289</v>
      </c>
      <c r="S576" s="20" t="s">
        <v>289</v>
      </c>
      <c r="T576" s="20" t="s">
        <v>289</v>
      </c>
      <c r="U576" s="20" t="s">
        <v>289</v>
      </c>
      <c r="V576" s="20" t="s">
        <v>289</v>
      </c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Z576" s="5"/>
    </row>
    <row r="577" spans="2:52" ht="13.15">
      <c r="D577" s="122">
        <f>SUM(D574:D576)</f>
        <v>2335</v>
      </c>
      <c r="E577" s="122">
        <f>SUM(E574:E576)</f>
        <v>2729</v>
      </c>
      <c r="F577" s="122">
        <f>SUM(F574:F576)</f>
        <v>3184</v>
      </c>
      <c r="G577" s="122">
        <f t="shared" ref="G577:R577" si="276">SUM(G574:G576)</f>
        <v>2934</v>
      </c>
      <c r="H577" s="122">
        <f t="shared" si="276"/>
        <v>3404</v>
      </c>
      <c r="I577" s="122">
        <f t="shared" si="276"/>
        <v>3172</v>
      </c>
      <c r="J577" s="122">
        <f t="shared" si="276"/>
        <v>3049</v>
      </c>
      <c r="K577" s="122">
        <f t="shared" si="276"/>
        <v>4796</v>
      </c>
      <c r="L577" s="122">
        <f t="shared" si="276"/>
        <v>3915</v>
      </c>
      <c r="M577" s="122">
        <f t="shared" si="276"/>
        <v>3864</v>
      </c>
      <c r="N577" s="122">
        <f t="shared" si="276"/>
        <v>3397</v>
      </c>
      <c r="O577" s="122">
        <f t="shared" si="276"/>
        <v>2440</v>
      </c>
      <c r="P577" s="122">
        <f t="shared" si="276"/>
        <v>2716</v>
      </c>
      <c r="Q577" s="122">
        <f t="shared" si="276"/>
        <v>2332</v>
      </c>
      <c r="R577" s="122">
        <f t="shared" si="276"/>
        <v>0</v>
      </c>
      <c r="AD577" s="24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Z577" s="5"/>
    </row>
    <row r="578" spans="2:52" ht="13.15"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AD578" s="24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Z578" s="5"/>
    </row>
    <row r="579" spans="2:52" ht="13.15"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AD579" s="24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Z579" s="5"/>
    </row>
    <row r="580" spans="2:52" ht="13.15"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AD580" s="24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Z580" s="5"/>
    </row>
    <row r="582" spans="2:52">
      <c r="B582" s="5" t="s">
        <v>2490</v>
      </c>
      <c r="C582" s="123" t="str">
        <f>B582</f>
        <v>CF_CASH_FROM_OPER</v>
      </c>
      <c r="D582" s="99">
        <v>9515</v>
      </c>
      <c r="E582" s="99">
        <v>7759</v>
      </c>
      <c r="F582" s="99">
        <v>11942</v>
      </c>
      <c r="G582" s="99">
        <v>12899</v>
      </c>
      <c r="H582" s="99">
        <v>7744</v>
      </c>
      <c r="I582" s="99">
        <v>12741</v>
      </c>
      <c r="J582" s="99">
        <v>11455</v>
      </c>
      <c r="K582" s="99">
        <v>8500</v>
      </c>
      <c r="L582" s="99">
        <v>7208</v>
      </c>
      <c r="M582" s="99">
        <v>12595</v>
      </c>
      <c r="N582" s="99">
        <v>10784</v>
      </c>
      <c r="O582" s="99">
        <v>13679</v>
      </c>
      <c r="P582" s="99">
        <v>9430</v>
      </c>
      <c r="Q582" s="99">
        <v>-1186</v>
      </c>
      <c r="R582" s="99">
        <v>7271</v>
      </c>
      <c r="S582" s="20">
        <v>17983</v>
      </c>
      <c r="T582" s="20">
        <v>24902</v>
      </c>
      <c r="U582" s="20">
        <v>38632</v>
      </c>
      <c r="V582" s="20" t="s">
        <v>289</v>
      </c>
      <c r="AD582" s="24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Z582" s="5"/>
    </row>
    <row r="583" spans="2:52">
      <c r="B583" s="5" t="s">
        <v>2491</v>
      </c>
      <c r="C583" s="5" t="str">
        <f>B583</f>
        <v>CF_FREE_CASH_FLOW_FIRM</v>
      </c>
      <c r="D583" s="99">
        <v>4410.2344000000003</v>
      </c>
      <c r="E583" s="99">
        <v>3858.7446</v>
      </c>
      <c r="F583" s="99" t="s">
        <v>289</v>
      </c>
      <c r="G583" s="99">
        <v>8916.8156999999992</v>
      </c>
      <c r="H583" s="99">
        <v>1576.1186</v>
      </c>
      <c r="I583" s="99">
        <v>7608.7452000000003</v>
      </c>
      <c r="J583" s="99">
        <v>6622.6731</v>
      </c>
      <c r="K583" s="99">
        <v>1369.7156</v>
      </c>
      <c r="L583" s="99">
        <v>-2083.9360000000001</v>
      </c>
      <c r="M583" s="99">
        <v>2323.3235</v>
      </c>
      <c r="N583" s="99">
        <v>-154.41749999999999</v>
      </c>
      <c r="O583" s="99" t="s">
        <v>289</v>
      </c>
      <c r="P583" s="99">
        <v>-2740.9151999999999</v>
      </c>
      <c r="Q583" s="99">
        <v>-12295.5023</v>
      </c>
      <c r="R583" s="99">
        <v>-5256.1403</v>
      </c>
      <c r="S583" s="20">
        <v>6034.3557000000001</v>
      </c>
      <c r="T583" s="20">
        <v>15014.5805</v>
      </c>
      <c r="U583" s="20">
        <v>21401.141199999998</v>
      </c>
      <c r="V583" s="20" t="s">
        <v>289</v>
      </c>
      <c r="AD583" s="24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Z583" s="5"/>
    </row>
    <row r="584" spans="2:52" ht="14.25">
      <c r="B584"/>
    </row>
    <row r="586" spans="2:52">
      <c r="B586" s="5" t="s">
        <v>2669</v>
      </c>
      <c r="C586" s="44" t="str">
        <f t="shared" ref="C586:C593" si="277">B586</f>
        <v>ARD_CHANGE_IN_OTHER_CUR_ASSETS</v>
      </c>
      <c r="D586" s="99">
        <v>-4</v>
      </c>
      <c r="E586" s="99">
        <v>-757</v>
      </c>
      <c r="F586" s="99">
        <v>736</v>
      </c>
      <c r="G586" s="99">
        <v>-942</v>
      </c>
      <c r="H586" s="99" t="s">
        <v>289</v>
      </c>
      <c r="I586" s="99">
        <v>-254</v>
      </c>
      <c r="J586" s="99">
        <v>-3102</v>
      </c>
      <c r="K586" s="99">
        <v>-6811</v>
      </c>
      <c r="L586" s="99">
        <v>-7814</v>
      </c>
      <c r="M586" s="99">
        <v>-6688</v>
      </c>
      <c r="N586" s="99">
        <v>-8808</v>
      </c>
      <c r="O586" s="99">
        <v>-7663</v>
      </c>
      <c r="P586" s="99">
        <v>-9490</v>
      </c>
      <c r="Q586" s="99">
        <v>-11891</v>
      </c>
      <c r="R586" s="99">
        <v>-7282</v>
      </c>
      <c r="S586" s="20">
        <v>-13204</v>
      </c>
      <c r="T586" s="20">
        <v>-12914</v>
      </c>
      <c r="U586" s="20">
        <v>-16205</v>
      </c>
      <c r="V586" s="20" t="s">
        <v>289</v>
      </c>
      <c r="AD586" s="24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Z586" s="5"/>
    </row>
    <row r="587" spans="2:52">
      <c r="B587" s="5" t="s">
        <v>2670</v>
      </c>
      <c r="C587" s="44" t="str">
        <f t="shared" si="277"/>
        <v>ARD_CHANGE_IN_PREPAID_EXP</v>
      </c>
      <c r="D587" s="99" t="s">
        <v>289</v>
      </c>
      <c r="E587" s="99" t="s">
        <v>289</v>
      </c>
      <c r="F587" s="99" t="s">
        <v>289</v>
      </c>
      <c r="G587" s="99" t="s">
        <v>289</v>
      </c>
      <c r="H587" s="99" t="s">
        <v>289</v>
      </c>
      <c r="I587" s="99" t="s">
        <v>289</v>
      </c>
      <c r="J587" s="99" t="s">
        <v>289</v>
      </c>
      <c r="K587" s="99" t="s">
        <v>289</v>
      </c>
      <c r="L587" s="99" t="s">
        <v>289</v>
      </c>
      <c r="M587" s="99" t="s">
        <v>289</v>
      </c>
      <c r="N587" s="99" t="s">
        <v>289</v>
      </c>
      <c r="O587" s="99" t="s">
        <v>289</v>
      </c>
      <c r="P587" s="99" t="s">
        <v>289</v>
      </c>
      <c r="Q587" s="99" t="s">
        <v>289</v>
      </c>
      <c r="R587" s="99" t="s">
        <v>289</v>
      </c>
      <c r="S587" s="20" t="s">
        <v>289</v>
      </c>
      <c r="T587" s="20" t="s">
        <v>289</v>
      </c>
      <c r="U587" s="20" t="s">
        <v>289</v>
      </c>
      <c r="V587" s="20" t="s">
        <v>289</v>
      </c>
      <c r="AD587" s="24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Z587" s="5"/>
    </row>
    <row r="588" spans="2:52">
      <c r="B588" s="5" t="s">
        <v>2671</v>
      </c>
      <c r="C588" s="44" t="str">
        <f t="shared" si="277"/>
        <v>ARD_CHG_IN_ACC_COMP_PAY_EXP</v>
      </c>
      <c r="D588" s="99" t="s">
        <v>289</v>
      </c>
      <c r="E588" s="99" t="s">
        <v>289</v>
      </c>
      <c r="F588" s="99" t="s">
        <v>289</v>
      </c>
      <c r="G588" s="99" t="s">
        <v>289</v>
      </c>
      <c r="H588" s="99" t="s">
        <v>289</v>
      </c>
      <c r="I588" s="99" t="s">
        <v>289</v>
      </c>
      <c r="J588" s="99" t="s">
        <v>289</v>
      </c>
      <c r="K588" s="99" t="s">
        <v>289</v>
      </c>
      <c r="L588" s="99" t="s">
        <v>289</v>
      </c>
      <c r="M588" s="99" t="s">
        <v>289</v>
      </c>
      <c r="N588" s="99" t="s">
        <v>289</v>
      </c>
      <c r="O588" s="99" t="s">
        <v>289</v>
      </c>
      <c r="P588" s="99" t="s">
        <v>289</v>
      </c>
      <c r="Q588" s="99" t="s">
        <v>289</v>
      </c>
      <c r="R588" s="99" t="s">
        <v>289</v>
      </c>
      <c r="S588" s="20" t="s">
        <v>289</v>
      </c>
      <c r="T588" s="20" t="s">
        <v>289</v>
      </c>
      <c r="U588" s="20" t="s">
        <v>289</v>
      </c>
      <c r="V588" s="20" t="s">
        <v>289</v>
      </c>
      <c r="AD588" s="24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Z588" s="5"/>
    </row>
    <row r="589" spans="2:52">
      <c r="B589" s="5" t="s">
        <v>2674</v>
      </c>
      <c r="C589" s="44" t="str">
        <f t="shared" si="277"/>
        <v>ARD_CHNG_TRADE_PAY_OTH_CUR_LIAB</v>
      </c>
      <c r="D589" s="99" t="s">
        <v>289</v>
      </c>
      <c r="E589" s="99" t="s">
        <v>289</v>
      </c>
      <c r="F589" s="99" t="s">
        <v>289</v>
      </c>
      <c r="G589" s="99" t="s">
        <v>289</v>
      </c>
      <c r="H589" s="99" t="s">
        <v>289</v>
      </c>
      <c r="I589" s="99" t="s">
        <v>289</v>
      </c>
      <c r="J589" s="99" t="s">
        <v>289</v>
      </c>
      <c r="K589" s="99" t="s">
        <v>289</v>
      </c>
      <c r="L589" s="99" t="s">
        <v>289</v>
      </c>
      <c r="M589" s="99" t="s">
        <v>289</v>
      </c>
      <c r="N589" s="99" t="s">
        <v>289</v>
      </c>
      <c r="O589" s="99" t="s">
        <v>289</v>
      </c>
      <c r="P589" s="99" t="s">
        <v>289</v>
      </c>
      <c r="Q589" s="99" t="s">
        <v>289</v>
      </c>
      <c r="R589" s="99" t="s">
        <v>289</v>
      </c>
      <c r="S589" s="20" t="s">
        <v>289</v>
      </c>
      <c r="T589" s="20" t="s">
        <v>289</v>
      </c>
      <c r="U589" s="20" t="s">
        <v>289</v>
      </c>
      <c r="V589" s="20" t="s">
        <v>289</v>
      </c>
      <c r="AD589" s="24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Z589" s="5"/>
    </row>
    <row r="590" spans="2:52">
      <c r="B590" s="5" t="s">
        <v>2677</v>
      </c>
      <c r="C590" s="44" t="str">
        <f t="shared" si="277"/>
        <v>ARDR_CHG_IN_INC_TAX_PAYABLE_REC</v>
      </c>
      <c r="D590" s="99" t="s">
        <v>289</v>
      </c>
      <c r="E590" s="99" t="s">
        <v>289</v>
      </c>
      <c r="F590" s="99" t="s">
        <v>289</v>
      </c>
      <c r="G590" s="99" t="s">
        <v>289</v>
      </c>
      <c r="H590" s="99" t="s">
        <v>289</v>
      </c>
      <c r="I590" s="99" t="s">
        <v>289</v>
      </c>
      <c r="J590" s="99" t="s">
        <v>289</v>
      </c>
      <c r="K590" s="99" t="s">
        <v>289</v>
      </c>
      <c r="L590" s="99" t="s">
        <v>289</v>
      </c>
      <c r="M590" s="99" t="s">
        <v>289</v>
      </c>
      <c r="N590" s="99" t="s">
        <v>289</v>
      </c>
      <c r="O590" s="99" t="s">
        <v>289</v>
      </c>
      <c r="P590" s="99" t="s">
        <v>289</v>
      </c>
      <c r="Q590" s="99" t="s">
        <v>289</v>
      </c>
      <c r="R590" s="99" t="s">
        <v>289</v>
      </c>
      <c r="S590" s="20" t="s">
        <v>289</v>
      </c>
      <c r="T590" s="20" t="s">
        <v>289</v>
      </c>
      <c r="U590" s="20" t="s">
        <v>289</v>
      </c>
      <c r="V590" s="20" t="s">
        <v>289</v>
      </c>
      <c r="AD590" s="24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Z590" s="5"/>
    </row>
    <row r="591" spans="2:52">
      <c r="B591" s="5" t="s">
        <v>2678</v>
      </c>
      <c r="C591" s="44" t="str">
        <f t="shared" si="277"/>
        <v>ARDR_CHNG_TRADE_PAY_OTH_CUR_LIAB</v>
      </c>
      <c r="D591" s="99" t="s">
        <v>289</v>
      </c>
      <c r="E591" s="99" t="s">
        <v>289</v>
      </c>
      <c r="F591" s="99" t="s">
        <v>289</v>
      </c>
      <c r="G591" s="99" t="s">
        <v>289</v>
      </c>
      <c r="H591" s="99" t="s">
        <v>289</v>
      </c>
      <c r="I591" s="99" t="s">
        <v>289</v>
      </c>
      <c r="J591" s="99" t="s">
        <v>289</v>
      </c>
      <c r="K591" s="99" t="s">
        <v>289</v>
      </c>
      <c r="L591" s="99" t="s">
        <v>289</v>
      </c>
      <c r="M591" s="99" t="s">
        <v>289</v>
      </c>
      <c r="N591" s="99" t="s">
        <v>289</v>
      </c>
      <c r="O591" s="99" t="s">
        <v>289</v>
      </c>
      <c r="P591" s="99" t="s">
        <v>289</v>
      </c>
      <c r="Q591" s="99" t="s">
        <v>289</v>
      </c>
      <c r="R591" s="99" t="s">
        <v>289</v>
      </c>
      <c r="S591" s="20" t="s">
        <v>289</v>
      </c>
      <c r="T591" s="20" t="s">
        <v>289</v>
      </c>
      <c r="U591" s="20" t="s">
        <v>289</v>
      </c>
      <c r="V591" s="20" t="s">
        <v>289</v>
      </c>
      <c r="AD591" s="24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Z591" s="5"/>
    </row>
    <row r="592" spans="2:52">
      <c r="B592" s="5" t="s">
        <v>2679</v>
      </c>
      <c r="C592" s="44" t="str">
        <f t="shared" si="277"/>
        <v>ARDR_INCR_DECR_IN_PROVISIONS</v>
      </c>
      <c r="D592" s="99" t="s">
        <v>289</v>
      </c>
      <c r="E592" s="99" t="s">
        <v>289</v>
      </c>
      <c r="F592" s="99" t="s">
        <v>289</v>
      </c>
      <c r="G592" s="99" t="s">
        <v>289</v>
      </c>
      <c r="H592" s="99" t="s">
        <v>289</v>
      </c>
      <c r="I592" s="99" t="s">
        <v>289</v>
      </c>
      <c r="J592" s="99" t="s">
        <v>289</v>
      </c>
      <c r="K592" s="99" t="s">
        <v>289</v>
      </c>
      <c r="L592" s="99" t="s">
        <v>289</v>
      </c>
      <c r="M592" s="99" t="s">
        <v>289</v>
      </c>
      <c r="N592" s="99" t="s">
        <v>289</v>
      </c>
      <c r="O592" s="99" t="s">
        <v>289</v>
      </c>
      <c r="P592" s="99" t="s">
        <v>289</v>
      </c>
      <c r="Q592" s="99" t="s">
        <v>289</v>
      </c>
      <c r="R592" s="99" t="s">
        <v>289</v>
      </c>
      <c r="S592" s="20" t="s">
        <v>289</v>
      </c>
      <c r="T592" s="20" t="s">
        <v>289</v>
      </c>
      <c r="U592" s="20" t="s">
        <v>289</v>
      </c>
      <c r="V592" s="20" t="s">
        <v>289</v>
      </c>
      <c r="AD592" s="24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Z592" s="5"/>
    </row>
    <row r="593" spans="2:52">
      <c r="B593" s="5" t="s">
        <v>2680</v>
      </c>
      <c r="C593" s="44" t="str">
        <f t="shared" si="277"/>
        <v>ARDR_INCR_DECR_IN_TRADE_OTH_REC</v>
      </c>
      <c r="D593" s="99" t="s">
        <v>289</v>
      </c>
      <c r="E593" s="99" t="s">
        <v>289</v>
      </c>
      <c r="F593" s="99" t="s">
        <v>289</v>
      </c>
      <c r="G593" s="99" t="s">
        <v>289</v>
      </c>
      <c r="H593" s="99" t="s">
        <v>289</v>
      </c>
      <c r="I593" s="99" t="s">
        <v>289</v>
      </c>
      <c r="J593" s="99" t="s">
        <v>289</v>
      </c>
      <c r="K593" s="99" t="s">
        <v>289</v>
      </c>
      <c r="L593" s="99" t="s">
        <v>289</v>
      </c>
      <c r="M593" s="99" t="s">
        <v>289</v>
      </c>
      <c r="N593" s="99" t="s">
        <v>289</v>
      </c>
      <c r="O593" s="99" t="s">
        <v>289</v>
      </c>
      <c r="P593" s="99" t="s">
        <v>289</v>
      </c>
      <c r="Q593" s="99" t="s">
        <v>289</v>
      </c>
      <c r="R593" s="99" t="s">
        <v>289</v>
      </c>
      <c r="S593" s="20" t="s">
        <v>289</v>
      </c>
      <c r="T593" s="20" t="s">
        <v>289</v>
      </c>
      <c r="U593" s="20" t="s">
        <v>289</v>
      </c>
      <c r="V593" s="20" t="s">
        <v>289</v>
      </c>
      <c r="AD593" s="24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Z593" s="5"/>
    </row>
    <row r="597" spans="2:52">
      <c r="AD597" s="24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Z597" s="5"/>
    </row>
    <row r="598" spans="2:52">
      <c r="AD598" s="24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Z598" s="5"/>
    </row>
    <row r="599" spans="2:52">
      <c r="AD599" s="24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Z599" s="5"/>
    </row>
    <row r="602" spans="2:52" ht="13.15">
      <c r="B602" s="5" t="s">
        <v>2665</v>
      </c>
      <c r="C602" s="9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Z602" s="5"/>
    </row>
    <row r="603" spans="2:52">
      <c r="B603" s="5" t="s">
        <v>2499</v>
      </c>
      <c r="C603" s="44" t="str">
        <f>B603</f>
        <v>OTHER_NON_CASH_ADJ_LESS_DETAILED</v>
      </c>
      <c r="D603" s="99">
        <v>-341</v>
      </c>
      <c r="E603" s="99">
        <v>-961</v>
      </c>
      <c r="F603" s="99">
        <v>-472</v>
      </c>
      <c r="G603" s="99">
        <v>275</v>
      </c>
      <c r="H603" s="99">
        <v>-1841</v>
      </c>
      <c r="I603" s="99">
        <v>-1241</v>
      </c>
      <c r="J603" s="99">
        <v>-1944</v>
      </c>
      <c r="K603" s="99">
        <v>-7033</v>
      </c>
      <c r="L603" s="99">
        <v>-19972</v>
      </c>
      <c r="M603" s="99">
        <v>-4124</v>
      </c>
      <c r="N603" s="99">
        <v>-9301</v>
      </c>
      <c r="O603" s="99">
        <v>5205</v>
      </c>
      <c r="P603" s="99">
        <v>-6498</v>
      </c>
      <c r="Q603" s="99">
        <v>-22222</v>
      </c>
      <c r="R603" s="99">
        <v>-11847</v>
      </c>
      <c r="S603" s="20">
        <v>1315</v>
      </c>
      <c r="T603" s="20">
        <v>-449</v>
      </c>
      <c r="U603" s="20">
        <v>32</v>
      </c>
      <c r="V603" s="20" t="s">
        <v>289</v>
      </c>
      <c r="AD603" s="24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Z603" s="5"/>
    </row>
    <row r="604" spans="2:52" ht="14.25">
      <c r="B604" t="s">
        <v>2990</v>
      </c>
      <c r="C604" s="44" t="str">
        <f>B604</f>
        <v>CF_CHNG_NON_CASH_WORK_CAP</v>
      </c>
      <c r="D604" s="99">
        <v>861</v>
      </c>
      <c r="E604" s="99">
        <v>-1048</v>
      </c>
      <c r="F604" s="99">
        <v>1289</v>
      </c>
      <c r="G604" s="99">
        <v>-554</v>
      </c>
      <c r="H604" s="99">
        <v>-3574</v>
      </c>
      <c r="I604" s="99">
        <v>4161</v>
      </c>
      <c r="J604" s="99">
        <v>-3525</v>
      </c>
      <c r="K604" s="99">
        <v>-10209</v>
      </c>
      <c r="L604" s="99">
        <v>-7646</v>
      </c>
      <c r="M604" s="99">
        <v>-6997</v>
      </c>
      <c r="N604" s="99">
        <v>-7691</v>
      </c>
      <c r="O604" s="99">
        <v>-9812</v>
      </c>
      <c r="P604" s="99">
        <v>-10234</v>
      </c>
      <c r="Q604" s="99">
        <v>-12447</v>
      </c>
      <c r="R604" s="99">
        <v>-15409</v>
      </c>
      <c r="S604" s="20">
        <v>-21624</v>
      </c>
      <c r="T604" s="20">
        <v>-9265</v>
      </c>
      <c r="U604" s="20">
        <v>-4063</v>
      </c>
      <c r="V604" s="20" t="s">
        <v>289</v>
      </c>
    </row>
    <row r="605" spans="2:52">
      <c r="B605" s="5" t="s">
        <v>2684</v>
      </c>
      <c r="C605" s="44" t="str">
        <f>B605</f>
        <v>INC_DEC_IN_OT_OP_AST_LIAB_DETAIL</v>
      </c>
      <c r="D605" s="99">
        <v>683</v>
      </c>
      <c r="E605" s="99">
        <v>-328</v>
      </c>
      <c r="F605" s="99">
        <v>1436</v>
      </c>
      <c r="G605" s="99">
        <v>1302</v>
      </c>
      <c r="H605" s="99">
        <v>815</v>
      </c>
      <c r="I605" s="99">
        <v>6</v>
      </c>
      <c r="J605" s="99">
        <v>962</v>
      </c>
      <c r="K605" s="99">
        <v>-3734</v>
      </c>
      <c r="L605" s="99">
        <v>-8050</v>
      </c>
      <c r="M605" s="99">
        <v>-4325</v>
      </c>
      <c r="N605" s="99">
        <v>-4044</v>
      </c>
      <c r="O605" s="99">
        <v>-4856</v>
      </c>
      <c r="P605" s="99">
        <v>-4442</v>
      </c>
      <c r="Q605" s="99">
        <v>-6589</v>
      </c>
      <c r="R605" s="99">
        <v>-3637</v>
      </c>
      <c r="S605" s="20">
        <v>-20057</v>
      </c>
      <c r="T605" s="20">
        <v>-11311</v>
      </c>
      <c r="U605" s="20">
        <v>-8061</v>
      </c>
      <c r="V605" s="20" t="s">
        <v>289</v>
      </c>
      <c r="AD605" s="24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Z605" s="5"/>
    </row>
    <row r="606" spans="2:52" ht="13.15">
      <c r="C606" s="9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Z606" s="5"/>
    </row>
    <row r="607" spans="2:52">
      <c r="B607" s="5" t="s">
        <v>1778</v>
      </c>
      <c r="C607" s="44" t="str">
        <f>B607</f>
        <v>CF_ACQ_OF_FXD_&amp;_INTANGIBLES</v>
      </c>
      <c r="D607" s="115" t="s">
        <v>289</v>
      </c>
      <c r="E607" s="115" t="s">
        <v>289</v>
      </c>
      <c r="F607" s="115" t="s">
        <v>289</v>
      </c>
      <c r="G607" s="115" t="s">
        <v>289</v>
      </c>
      <c r="H607" s="115" t="s">
        <v>289</v>
      </c>
      <c r="I607" s="115">
        <v>-7911</v>
      </c>
      <c r="J607" s="115">
        <v>-7425</v>
      </c>
      <c r="K607" s="115">
        <v>-9753</v>
      </c>
      <c r="L607" s="115">
        <v>-13108</v>
      </c>
      <c r="M607" s="115">
        <v>-15406</v>
      </c>
      <c r="N607" s="115">
        <v>-16613</v>
      </c>
      <c r="O607" s="115">
        <v>-18234</v>
      </c>
      <c r="P607" s="115">
        <v>-18902</v>
      </c>
      <c r="Q607" s="115">
        <v>-18312</v>
      </c>
      <c r="R607" s="115">
        <v>-18963</v>
      </c>
      <c r="S607" s="20">
        <v>-19401</v>
      </c>
      <c r="T607" s="20">
        <v>-17746</v>
      </c>
      <c r="U607" s="20">
        <v>-18498</v>
      </c>
      <c r="V607" s="20" t="s">
        <v>289</v>
      </c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Z607" s="5"/>
    </row>
    <row r="608" spans="2:52">
      <c r="B608" s="5" t="s">
        <v>1779</v>
      </c>
      <c r="C608" s="44" t="str">
        <f>B608</f>
        <v>CF_ACQUISITION_OF_INTANG_ASSETS</v>
      </c>
      <c r="D608" s="115" t="s">
        <v>289</v>
      </c>
      <c r="E608" s="115" t="s">
        <v>289</v>
      </c>
      <c r="F608" s="115" t="s">
        <v>289</v>
      </c>
      <c r="G608" s="115" t="s">
        <v>289</v>
      </c>
      <c r="H608" s="115" t="s">
        <v>289</v>
      </c>
      <c r="I608" s="115">
        <v>-1948</v>
      </c>
      <c r="J608" s="115">
        <v>-1667</v>
      </c>
      <c r="K608" s="115">
        <v>-1666</v>
      </c>
      <c r="L608" s="115">
        <v>-2615</v>
      </c>
      <c r="M608" s="115">
        <v>-4021</v>
      </c>
      <c r="N608" s="115">
        <v>-4601</v>
      </c>
      <c r="O608" s="115">
        <v>-5021</v>
      </c>
      <c r="P608" s="115">
        <v>-5750</v>
      </c>
      <c r="Q608" s="115">
        <v>-5260</v>
      </c>
      <c r="R608" s="115">
        <v>-5234</v>
      </c>
      <c r="S608" s="20">
        <v>-5171</v>
      </c>
      <c r="T608" s="20">
        <v>-6473</v>
      </c>
      <c r="U608" s="20" t="s">
        <v>289</v>
      </c>
      <c r="V608" s="20" t="s">
        <v>289</v>
      </c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Z608" s="5"/>
    </row>
    <row r="629" spans="2:70">
      <c r="B629" s="5" t="s">
        <v>1780</v>
      </c>
      <c r="C629" s="44" t="str">
        <f>B629</f>
        <v>ARDR_PURCHASE_OF_INTANGIBLES</v>
      </c>
      <c r="D629" s="16" t="s">
        <v>289</v>
      </c>
      <c r="E629" s="16" t="s">
        <v>289</v>
      </c>
      <c r="F629" s="16" t="s">
        <v>289</v>
      </c>
      <c r="G629" s="16" t="s">
        <v>289</v>
      </c>
      <c r="H629" s="16" t="s">
        <v>289</v>
      </c>
      <c r="I629" s="16" t="s">
        <v>289</v>
      </c>
      <c r="J629" s="16" t="s">
        <v>289</v>
      </c>
      <c r="K629" s="16" t="s">
        <v>289</v>
      </c>
      <c r="L629" s="16" t="s">
        <v>289</v>
      </c>
      <c r="M629" s="16" t="s">
        <v>289</v>
      </c>
      <c r="N629" s="16" t="s">
        <v>289</v>
      </c>
      <c r="O629" s="16" t="s">
        <v>289</v>
      </c>
      <c r="P629" s="16" t="s">
        <v>289</v>
      </c>
      <c r="Q629" s="16" t="s">
        <v>289</v>
      </c>
      <c r="R629" s="16" t="s">
        <v>289</v>
      </c>
      <c r="S629" s="20" t="s">
        <v>289</v>
      </c>
      <c r="T629" s="20" t="s">
        <v>289</v>
      </c>
      <c r="U629" s="20" t="s">
        <v>289</v>
      </c>
      <c r="V629" s="20" t="s">
        <v>289</v>
      </c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Z629" s="5"/>
    </row>
    <row r="630" spans="2:70">
      <c r="B630" s="5" t="s">
        <v>1781</v>
      </c>
      <c r="C630" s="44" t="str">
        <f>B630</f>
        <v>ARD_ADDITIONS_FIXED_INTANG_ASSET</v>
      </c>
      <c r="D630" s="16">
        <v>-5550</v>
      </c>
      <c r="E630" s="16">
        <v>-4434</v>
      </c>
      <c r="F630" s="16">
        <v>-3728</v>
      </c>
      <c r="G630" s="16">
        <v>-4638</v>
      </c>
      <c r="H630" s="16">
        <v>-6883</v>
      </c>
      <c r="I630" s="16" t="s">
        <v>289</v>
      </c>
      <c r="J630" s="16" t="s">
        <v>289</v>
      </c>
      <c r="K630" s="16" t="s">
        <v>289</v>
      </c>
      <c r="L630" s="16" t="s">
        <v>289</v>
      </c>
      <c r="M630" s="16" t="s">
        <v>289</v>
      </c>
      <c r="N630" s="16" t="s">
        <v>289</v>
      </c>
      <c r="O630" s="16" t="s">
        <v>289</v>
      </c>
      <c r="P630" s="16" t="s">
        <v>289</v>
      </c>
      <c r="Q630" s="16" t="s">
        <v>289</v>
      </c>
      <c r="R630" s="16" t="s">
        <v>289</v>
      </c>
      <c r="S630" s="20" t="s">
        <v>289</v>
      </c>
      <c r="T630" s="20" t="s">
        <v>289</v>
      </c>
      <c r="U630" s="20" t="s">
        <v>289</v>
      </c>
      <c r="V630" s="20" t="s">
        <v>289</v>
      </c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Z630" s="5"/>
    </row>
    <row r="631" spans="2:70">
      <c r="B631" s="5" t="s">
        <v>1782</v>
      </c>
      <c r="C631" s="44" t="str">
        <f>B631</f>
        <v>IS_R&amp;D_GAAP</v>
      </c>
      <c r="D631" s="16" t="s">
        <v>289</v>
      </c>
      <c r="E631" s="16" t="s">
        <v>289</v>
      </c>
      <c r="F631" s="16" t="s">
        <v>289</v>
      </c>
      <c r="G631" s="16" t="s">
        <v>289</v>
      </c>
      <c r="H631" s="16" t="s">
        <v>289</v>
      </c>
      <c r="I631" s="16" t="s">
        <v>289</v>
      </c>
      <c r="J631" s="16" t="s">
        <v>289</v>
      </c>
      <c r="K631" s="16" t="s">
        <v>289</v>
      </c>
      <c r="L631" s="16" t="s">
        <v>289</v>
      </c>
      <c r="M631" s="16" t="s">
        <v>289</v>
      </c>
      <c r="N631" s="16" t="s">
        <v>289</v>
      </c>
      <c r="O631" s="16" t="s">
        <v>289</v>
      </c>
      <c r="P631" s="16" t="s">
        <v>289</v>
      </c>
      <c r="Q631" s="16" t="s">
        <v>289</v>
      </c>
      <c r="R631" s="16" t="s">
        <v>289</v>
      </c>
      <c r="S631" s="20" t="s">
        <v>289</v>
      </c>
      <c r="T631" s="20" t="s">
        <v>289</v>
      </c>
      <c r="U631" s="20" t="s">
        <v>289</v>
      </c>
      <c r="V631" s="20" t="s">
        <v>289</v>
      </c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Z631" s="5"/>
    </row>
    <row r="632" spans="2:70">
      <c r="B632" s="5" t="s">
        <v>1783</v>
      </c>
      <c r="C632" s="44" t="str">
        <f>B632</f>
        <v>IS_OPEX_R&amp;D_GAAP</v>
      </c>
      <c r="D632" s="16" t="s">
        <v>289</v>
      </c>
      <c r="E632" s="16" t="s">
        <v>289</v>
      </c>
      <c r="F632" s="16" t="s">
        <v>289</v>
      </c>
      <c r="G632" s="16" t="s">
        <v>289</v>
      </c>
      <c r="H632" s="16" t="s">
        <v>289</v>
      </c>
      <c r="I632" s="16">
        <v>5429</v>
      </c>
      <c r="J632" s="16">
        <v>6257</v>
      </c>
      <c r="K632" s="16">
        <v>7234</v>
      </c>
      <c r="L632" s="16">
        <v>8851</v>
      </c>
      <c r="M632" s="16">
        <v>10186</v>
      </c>
      <c r="N632" s="16">
        <v>11545</v>
      </c>
      <c r="O632" s="16">
        <v>11853</v>
      </c>
      <c r="P632" s="16">
        <v>11509</v>
      </c>
      <c r="Q632" s="16">
        <v>11614</v>
      </c>
      <c r="R632" s="16">
        <v>12116</v>
      </c>
      <c r="S632" s="20">
        <v>13199</v>
      </c>
      <c r="T632" s="20">
        <v>12056</v>
      </c>
      <c r="U632" s="20">
        <v>12790</v>
      </c>
      <c r="V632" s="20" t="s">
        <v>289</v>
      </c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Z632" s="5"/>
    </row>
    <row r="634" spans="2:70">
      <c r="B634" s="5" t="s">
        <v>1785</v>
      </c>
      <c r="C634" s="44" t="str">
        <f t="shared" ref="C634:C643" si="278">B634</f>
        <v>IS_R&amp;D_EXPENSE_NONGAAP_ADJUST</v>
      </c>
      <c r="D634" s="16" t="s">
        <v>289</v>
      </c>
      <c r="E634" s="16" t="s">
        <v>289</v>
      </c>
      <c r="F634" s="16" t="s">
        <v>289</v>
      </c>
      <c r="G634" s="16" t="s">
        <v>289</v>
      </c>
      <c r="H634" s="16" t="s">
        <v>289</v>
      </c>
      <c r="I634" s="16">
        <v>0</v>
      </c>
      <c r="J634" s="16">
        <v>0</v>
      </c>
      <c r="K634" s="16">
        <v>0</v>
      </c>
      <c r="L634" s="16">
        <v>0</v>
      </c>
      <c r="M634" s="16">
        <v>0</v>
      </c>
      <c r="N634" s="16">
        <v>0</v>
      </c>
      <c r="O634" s="16">
        <v>0</v>
      </c>
      <c r="P634" s="16">
        <v>0</v>
      </c>
      <c r="Q634" s="16">
        <v>0</v>
      </c>
      <c r="R634" s="16">
        <v>0</v>
      </c>
      <c r="S634" s="20">
        <v>0</v>
      </c>
      <c r="T634" s="20">
        <v>0</v>
      </c>
      <c r="U634" s="20">
        <v>0</v>
      </c>
      <c r="V634" s="20" t="s">
        <v>289</v>
      </c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Z634" s="5"/>
      <c r="BK634" s="22"/>
      <c r="BL634" s="23"/>
      <c r="BM634" s="22"/>
      <c r="BN634" s="22"/>
      <c r="BO634" s="22"/>
      <c r="BP634" s="22"/>
      <c r="BQ634" s="22"/>
      <c r="BR634" s="24"/>
    </row>
    <row r="635" spans="2:70">
      <c r="B635" s="5" t="s">
        <v>1786</v>
      </c>
      <c r="C635" s="44" t="str">
        <f t="shared" si="278"/>
        <v>ARD_ACQUIRED_IN_PROCESS_R&amp;D</v>
      </c>
      <c r="D635" s="16" t="s">
        <v>289</v>
      </c>
      <c r="E635" s="16" t="s">
        <v>289</v>
      </c>
      <c r="F635" s="16" t="s">
        <v>289</v>
      </c>
      <c r="G635" s="16" t="s">
        <v>289</v>
      </c>
      <c r="H635" s="16" t="s">
        <v>289</v>
      </c>
      <c r="I635" s="16" t="s">
        <v>289</v>
      </c>
      <c r="J635" s="16" t="s">
        <v>289</v>
      </c>
      <c r="K635" s="16" t="s">
        <v>289</v>
      </c>
      <c r="L635" s="16" t="s">
        <v>289</v>
      </c>
      <c r="M635" s="16" t="s">
        <v>289</v>
      </c>
      <c r="N635" s="16" t="s">
        <v>289</v>
      </c>
      <c r="O635" s="16" t="s">
        <v>289</v>
      </c>
      <c r="P635" s="16" t="s">
        <v>289</v>
      </c>
      <c r="Q635" s="16" t="s">
        <v>289</v>
      </c>
      <c r="R635" s="16" t="s">
        <v>289</v>
      </c>
      <c r="S635" s="20" t="s">
        <v>289</v>
      </c>
      <c r="T635" s="20" t="s">
        <v>289</v>
      </c>
      <c r="U635" s="20" t="s">
        <v>289</v>
      </c>
      <c r="V635" s="20" t="s">
        <v>289</v>
      </c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Z635" s="5"/>
      <c r="BK635" s="22"/>
      <c r="BL635" s="23"/>
      <c r="BM635" s="22"/>
      <c r="BN635" s="22"/>
      <c r="BO635" s="22"/>
      <c r="BP635" s="22"/>
      <c r="BQ635" s="22"/>
      <c r="BR635" s="24"/>
    </row>
    <row r="636" spans="2:70">
      <c r="B636" s="5" t="s">
        <v>1787</v>
      </c>
      <c r="C636" s="44" t="str">
        <f t="shared" si="278"/>
        <v>ARDR_ACQUIRED_IN_PROCESS_R&amp;D</v>
      </c>
      <c r="D636" s="16" t="s">
        <v>289</v>
      </c>
      <c r="E636" s="16" t="s">
        <v>289</v>
      </c>
      <c r="F636" s="16" t="s">
        <v>289</v>
      </c>
      <c r="G636" s="16" t="s">
        <v>289</v>
      </c>
      <c r="H636" s="16" t="s">
        <v>289</v>
      </c>
      <c r="I636" s="16" t="s">
        <v>289</v>
      </c>
      <c r="J636" s="16" t="s">
        <v>289</v>
      </c>
      <c r="K636" s="16" t="s">
        <v>289</v>
      </c>
      <c r="L636" s="16" t="s">
        <v>289</v>
      </c>
      <c r="M636" s="16" t="s">
        <v>289</v>
      </c>
      <c r="N636" s="16" t="s">
        <v>289</v>
      </c>
      <c r="O636" s="16" t="s">
        <v>289</v>
      </c>
      <c r="P636" s="16" t="s">
        <v>289</v>
      </c>
      <c r="Q636" s="16" t="s">
        <v>289</v>
      </c>
      <c r="R636" s="16" t="s">
        <v>289</v>
      </c>
      <c r="S636" s="20" t="s">
        <v>289</v>
      </c>
      <c r="T636" s="20" t="s">
        <v>289</v>
      </c>
      <c r="U636" s="20" t="s">
        <v>289</v>
      </c>
      <c r="V636" s="20" t="s">
        <v>289</v>
      </c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Z636" s="5"/>
      <c r="BK636" s="22"/>
      <c r="BL636" s="23"/>
      <c r="BM636" s="22"/>
      <c r="BN636" s="22"/>
      <c r="BO636" s="22"/>
      <c r="BP636" s="22"/>
      <c r="BQ636" s="22"/>
      <c r="BR636" s="24"/>
    </row>
    <row r="637" spans="2:70">
      <c r="B637" s="5" t="s">
        <v>1788</v>
      </c>
      <c r="C637" s="44" t="str">
        <f t="shared" si="278"/>
        <v>ARD_R&amp;D_EXPENSES_WITHIN_SGA</v>
      </c>
      <c r="D637" s="16" t="s">
        <v>289</v>
      </c>
      <c r="E637" s="16" t="s">
        <v>289</v>
      </c>
      <c r="F637" s="16" t="s">
        <v>289</v>
      </c>
      <c r="G637" s="16" t="s">
        <v>289</v>
      </c>
      <c r="H637" s="16" t="s">
        <v>289</v>
      </c>
      <c r="I637" s="16" t="s">
        <v>289</v>
      </c>
      <c r="J637" s="16" t="s">
        <v>289</v>
      </c>
      <c r="K637" s="16" t="s">
        <v>289</v>
      </c>
      <c r="L637" s="16" t="s">
        <v>289</v>
      </c>
      <c r="M637" s="16" t="s">
        <v>289</v>
      </c>
      <c r="N637" s="16" t="s">
        <v>289</v>
      </c>
      <c r="O637" s="16" t="s">
        <v>289</v>
      </c>
      <c r="P637" s="16" t="s">
        <v>289</v>
      </c>
      <c r="Q637" s="16" t="s">
        <v>289</v>
      </c>
      <c r="R637" s="16" t="s">
        <v>289</v>
      </c>
      <c r="S637" s="20" t="s">
        <v>289</v>
      </c>
      <c r="T637" s="20" t="s">
        <v>289</v>
      </c>
      <c r="U637" s="20" t="s">
        <v>289</v>
      </c>
      <c r="V637" s="20" t="s">
        <v>289</v>
      </c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Z637" s="5"/>
      <c r="BK637" s="22"/>
      <c r="BL637" s="23"/>
      <c r="BM637" s="22"/>
      <c r="BN637" s="22"/>
      <c r="BO637" s="22"/>
      <c r="BP637" s="22"/>
      <c r="BQ637" s="22"/>
      <c r="BR637" s="24"/>
    </row>
    <row r="638" spans="2:70">
      <c r="B638" s="5" t="s">
        <v>1789</v>
      </c>
      <c r="C638" s="44" t="str">
        <f t="shared" si="278"/>
        <v>ARD_R&amp;D_EXPENSES_WITHIN_CGS</v>
      </c>
      <c r="D638" s="16" t="s">
        <v>289</v>
      </c>
      <c r="E638" s="16" t="s">
        <v>289</v>
      </c>
      <c r="F638" s="16" t="s">
        <v>289</v>
      </c>
      <c r="G638" s="16" t="s">
        <v>289</v>
      </c>
      <c r="H638" s="16" t="s">
        <v>289</v>
      </c>
      <c r="I638" s="16" t="s">
        <v>289</v>
      </c>
      <c r="J638" s="16" t="s">
        <v>289</v>
      </c>
      <c r="K638" s="16" t="s">
        <v>289</v>
      </c>
      <c r="L638" s="16" t="s">
        <v>289</v>
      </c>
      <c r="M638" s="16" t="s">
        <v>289</v>
      </c>
      <c r="N638" s="16" t="s">
        <v>289</v>
      </c>
      <c r="O638" s="16" t="s">
        <v>289</v>
      </c>
      <c r="P638" s="16" t="s">
        <v>289</v>
      </c>
      <c r="Q638" s="16" t="s">
        <v>289</v>
      </c>
      <c r="R638" s="16" t="s">
        <v>289</v>
      </c>
      <c r="S638" s="20" t="s">
        <v>289</v>
      </c>
      <c r="T638" s="20" t="s">
        <v>289</v>
      </c>
      <c r="U638" s="20" t="s">
        <v>289</v>
      </c>
      <c r="V638" s="20" t="s">
        <v>289</v>
      </c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Z638" s="5"/>
      <c r="BK638" s="22"/>
      <c r="BL638" s="23"/>
      <c r="BM638" s="22"/>
      <c r="BN638" s="22"/>
      <c r="BO638" s="22"/>
      <c r="BP638" s="22"/>
      <c r="BQ638" s="22"/>
      <c r="BR638" s="24"/>
    </row>
    <row r="639" spans="2:70">
      <c r="B639" s="5" t="s">
        <v>1790</v>
      </c>
      <c r="C639" s="44" t="str">
        <f t="shared" si="278"/>
        <v>ARDR_R&amp;D_EXPENDITURES</v>
      </c>
      <c r="D639" s="16">
        <v>3797</v>
      </c>
      <c r="E639" s="16">
        <v>4075</v>
      </c>
      <c r="F639" s="16">
        <v>4240</v>
      </c>
      <c r="G639" s="16">
        <v>4923</v>
      </c>
      <c r="H639" s="16">
        <v>5926</v>
      </c>
      <c r="I639" s="16">
        <v>5429</v>
      </c>
      <c r="J639" s="16">
        <v>6257</v>
      </c>
      <c r="K639" s="16">
        <v>7234</v>
      </c>
      <c r="L639" s="16">
        <v>8851</v>
      </c>
      <c r="M639" s="16">
        <v>10186</v>
      </c>
      <c r="N639" s="16">
        <v>11545</v>
      </c>
      <c r="O639" s="16">
        <v>11853</v>
      </c>
      <c r="P639" s="16">
        <v>11509</v>
      </c>
      <c r="Q639" s="16">
        <v>11614</v>
      </c>
      <c r="R639" s="16">
        <v>12116</v>
      </c>
      <c r="S639" s="20">
        <v>13199</v>
      </c>
      <c r="T639" s="20">
        <v>12056</v>
      </c>
      <c r="U639" s="20">
        <v>12790</v>
      </c>
      <c r="V639" s="20" t="s">
        <v>289</v>
      </c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Z639" s="5"/>
      <c r="BK639" s="22"/>
      <c r="BL639" s="23"/>
      <c r="BM639" s="22"/>
      <c r="BN639" s="22"/>
      <c r="BO639" s="22"/>
      <c r="BP639" s="22"/>
      <c r="BQ639" s="22"/>
      <c r="BR639" s="24"/>
    </row>
    <row r="640" spans="2:70">
      <c r="B640" s="5" t="s">
        <v>1791</v>
      </c>
      <c r="C640" s="44" t="str">
        <f t="shared" si="278"/>
        <v>ARDR_EXPEND_INCUR_ON_R&amp;D_RECUR</v>
      </c>
      <c r="D640" s="16" t="s">
        <v>289</v>
      </c>
      <c r="E640" s="16" t="s">
        <v>289</v>
      </c>
      <c r="F640" s="16" t="s">
        <v>289</v>
      </c>
      <c r="G640" s="16" t="s">
        <v>289</v>
      </c>
      <c r="H640" s="16" t="s">
        <v>289</v>
      </c>
      <c r="I640" s="16" t="s">
        <v>289</v>
      </c>
      <c r="J640" s="16" t="s">
        <v>289</v>
      </c>
      <c r="K640" s="16" t="s">
        <v>289</v>
      </c>
      <c r="L640" s="16" t="s">
        <v>289</v>
      </c>
      <c r="M640" s="16" t="s">
        <v>289</v>
      </c>
      <c r="N640" s="16" t="s">
        <v>289</v>
      </c>
      <c r="O640" s="16" t="s">
        <v>289</v>
      </c>
      <c r="P640" s="16" t="s">
        <v>289</v>
      </c>
      <c r="Q640" s="16" t="s">
        <v>289</v>
      </c>
      <c r="R640" s="16" t="s">
        <v>289</v>
      </c>
      <c r="S640" s="20" t="s">
        <v>289</v>
      </c>
      <c r="T640" s="20" t="s">
        <v>289</v>
      </c>
      <c r="U640" s="20" t="s">
        <v>289</v>
      </c>
      <c r="V640" s="20" t="s">
        <v>289</v>
      </c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Z640" s="5"/>
      <c r="BK640" s="22"/>
      <c r="BL640" s="23"/>
      <c r="BM640" s="22"/>
      <c r="BN640" s="22"/>
      <c r="BO640" s="22"/>
      <c r="BP640" s="22"/>
      <c r="BQ640" s="22"/>
      <c r="BR640" s="24"/>
    </row>
    <row r="641" spans="1:72">
      <c r="B641" s="5" t="s">
        <v>1792</v>
      </c>
      <c r="C641" s="44" t="str">
        <f t="shared" si="278"/>
        <v>ARDR_R&amp;D_EXPENSES_WITHIN_SGA</v>
      </c>
      <c r="D641" s="16" t="s">
        <v>289</v>
      </c>
      <c r="E641" s="16" t="s">
        <v>289</v>
      </c>
      <c r="F641" s="16" t="s">
        <v>289</v>
      </c>
      <c r="G641" s="16" t="s">
        <v>289</v>
      </c>
      <c r="H641" s="16" t="s">
        <v>289</v>
      </c>
      <c r="I641" s="16" t="s">
        <v>289</v>
      </c>
      <c r="J641" s="16" t="s">
        <v>289</v>
      </c>
      <c r="K641" s="16" t="s">
        <v>289</v>
      </c>
      <c r="L641" s="16" t="s">
        <v>289</v>
      </c>
      <c r="M641" s="16" t="s">
        <v>289</v>
      </c>
      <c r="N641" s="16" t="s">
        <v>289</v>
      </c>
      <c r="O641" s="16" t="s">
        <v>289</v>
      </c>
      <c r="P641" s="16" t="s">
        <v>289</v>
      </c>
      <c r="Q641" s="16" t="s">
        <v>289</v>
      </c>
      <c r="R641" s="16" t="s">
        <v>289</v>
      </c>
      <c r="S641" s="20" t="s">
        <v>289</v>
      </c>
      <c r="T641" s="20" t="s">
        <v>289</v>
      </c>
      <c r="U641" s="20" t="s">
        <v>289</v>
      </c>
      <c r="V641" s="20" t="s">
        <v>289</v>
      </c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Z641" s="5"/>
      <c r="BK641" s="22"/>
      <c r="BL641" s="23"/>
      <c r="BM641" s="22"/>
      <c r="BN641" s="22"/>
      <c r="BO641" s="22"/>
      <c r="BP641" s="22"/>
      <c r="BQ641" s="22"/>
      <c r="BR641" s="24"/>
    </row>
    <row r="642" spans="1:72">
      <c r="B642" s="5" t="s">
        <v>1793</v>
      </c>
      <c r="C642" s="44" t="str">
        <f t="shared" si="278"/>
        <v>ARDR_R_D_EXPENSES_COG</v>
      </c>
      <c r="D642" s="16" t="s">
        <v>289</v>
      </c>
      <c r="E642" s="16" t="s">
        <v>289</v>
      </c>
      <c r="F642" s="16" t="s">
        <v>289</v>
      </c>
      <c r="G642" s="16" t="s">
        <v>289</v>
      </c>
      <c r="H642" s="16" t="s">
        <v>289</v>
      </c>
      <c r="I642" s="16" t="s">
        <v>289</v>
      </c>
      <c r="J642" s="16" t="s">
        <v>289</v>
      </c>
      <c r="K642" s="16" t="s">
        <v>289</v>
      </c>
      <c r="L642" s="16" t="s">
        <v>289</v>
      </c>
      <c r="M642" s="16" t="s">
        <v>289</v>
      </c>
      <c r="N642" s="16" t="s">
        <v>289</v>
      </c>
      <c r="O642" s="16" t="s">
        <v>289</v>
      </c>
      <c r="P642" s="16" t="s">
        <v>289</v>
      </c>
      <c r="Q642" s="16" t="s">
        <v>289</v>
      </c>
      <c r="R642" s="16" t="s">
        <v>289</v>
      </c>
      <c r="S642" s="20" t="s">
        <v>289</v>
      </c>
      <c r="T642" s="20" t="s">
        <v>289</v>
      </c>
      <c r="U642" s="20" t="s">
        <v>289</v>
      </c>
      <c r="V642" s="20" t="s">
        <v>289</v>
      </c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Z642" s="5"/>
      <c r="BK642" s="22"/>
      <c r="BL642" s="23"/>
      <c r="BM642" s="22"/>
      <c r="BN642" s="22"/>
      <c r="BO642" s="22"/>
      <c r="BP642" s="22"/>
      <c r="BQ642" s="22"/>
      <c r="BR642" s="24"/>
    </row>
    <row r="643" spans="1:72">
      <c r="B643" s="5" t="s">
        <v>1794</v>
      </c>
      <c r="C643" s="44" t="str">
        <f t="shared" si="278"/>
        <v>ARDR_NON_GAAP_R&amp;D</v>
      </c>
      <c r="D643" s="16" t="s">
        <v>289</v>
      </c>
      <c r="E643" s="16" t="s">
        <v>289</v>
      </c>
      <c r="F643" s="16" t="s">
        <v>289</v>
      </c>
      <c r="G643" s="16" t="s">
        <v>289</v>
      </c>
      <c r="H643" s="16" t="s">
        <v>289</v>
      </c>
      <c r="I643" s="16" t="s">
        <v>289</v>
      </c>
      <c r="J643" s="16" t="s">
        <v>289</v>
      </c>
      <c r="K643" s="16" t="s">
        <v>289</v>
      </c>
      <c r="L643" s="16" t="s">
        <v>289</v>
      </c>
      <c r="M643" s="16" t="s">
        <v>289</v>
      </c>
      <c r="N643" s="16" t="s">
        <v>289</v>
      </c>
      <c r="O643" s="16" t="s">
        <v>289</v>
      </c>
      <c r="P643" s="16" t="s">
        <v>289</v>
      </c>
      <c r="Q643" s="16" t="s">
        <v>289</v>
      </c>
      <c r="R643" s="16" t="s">
        <v>289</v>
      </c>
      <c r="S643" s="20" t="s">
        <v>289</v>
      </c>
      <c r="T643" s="20" t="s">
        <v>289</v>
      </c>
      <c r="U643" s="20" t="s">
        <v>289</v>
      </c>
      <c r="V643" s="20" t="s">
        <v>289</v>
      </c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Z643" s="5"/>
      <c r="BK643" s="22"/>
      <c r="BL643" s="23"/>
      <c r="BM643" s="22"/>
      <c r="BN643" s="22"/>
      <c r="BO643" s="22"/>
      <c r="BP643" s="22"/>
      <c r="BQ643" s="22"/>
      <c r="BR643" s="24"/>
    </row>
    <row r="644" spans="1:72"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Z644" s="5"/>
      <c r="BK644" s="22"/>
      <c r="BL644" s="23"/>
      <c r="BM644" s="22"/>
      <c r="BN644" s="22"/>
      <c r="BO644" s="22"/>
      <c r="BP644" s="22"/>
      <c r="BQ644" s="22"/>
      <c r="BR644" s="24"/>
    </row>
    <row r="645" spans="1:72"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Z645" s="5"/>
      <c r="BK645" s="22"/>
      <c r="BL645" s="23"/>
      <c r="BM645" s="22"/>
      <c r="BN645" s="22"/>
      <c r="BO645" s="22"/>
      <c r="BP645" s="22"/>
      <c r="BQ645" s="22"/>
      <c r="BR645" s="24"/>
    </row>
    <row r="646" spans="1:72"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Z646" s="5"/>
      <c r="BK646" s="22"/>
      <c r="BL646" s="23"/>
      <c r="BM646" s="22"/>
      <c r="BN646" s="22"/>
      <c r="BO646" s="22"/>
      <c r="BP646" s="22"/>
      <c r="BQ646" s="22"/>
      <c r="BR646" s="24"/>
    </row>
    <row r="647" spans="1:72" s="33" customFormat="1">
      <c r="A647" s="5"/>
      <c r="B647" s="5" t="s">
        <v>180</v>
      </c>
      <c r="C647" s="5"/>
      <c r="D647" s="16" t="s">
        <v>289</v>
      </c>
      <c r="E647" s="16" t="s">
        <v>289</v>
      </c>
      <c r="F647" s="16" t="s">
        <v>289</v>
      </c>
      <c r="G647" s="16" t="s">
        <v>289</v>
      </c>
      <c r="H647" s="16" t="s">
        <v>289</v>
      </c>
      <c r="I647" s="16" t="s">
        <v>289</v>
      </c>
      <c r="J647" s="16" t="s">
        <v>289</v>
      </c>
      <c r="K647" s="16" t="s">
        <v>289</v>
      </c>
      <c r="L647" s="16" t="s">
        <v>289</v>
      </c>
      <c r="M647" s="16" t="s">
        <v>289</v>
      </c>
      <c r="N647" s="16" t="s">
        <v>289</v>
      </c>
      <c r="O647" s="16" t="s">
        <v>289</v>
      </c>
      <c r="P647" s="16" t="s">
        <v>289</v>
      </c>
      <c r="Q647" s="16" t="s">
        <v>289</v>
      </c>
      <c r="R647" s="16" t="s">
        <v>289</v>
      </c>
      <c r="S647" s="16" t="s">
        <v>289</v>
      </c>
      <c r="T647" s="16" t="s">
        <v>289</v>
      </c>
      <c r="U647" s="16" t="s">
        <v>289</v>
      </c>
      <c r="V647" s="16" t="s">
        <v>289</v>
      </c>
      <c r="W647" s="16"/>
      <c r="X647" s="16"/>
      <c r="Y647" s="16"/>
      <c r="Z647" s="16"/>
      <c r="AA647" s="16"/>
      <c r="AB647" s="25"/>
      <c r="AC647" s="25"/>
      <c r="AD647" s="24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16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22"/>
      <c r="BL647" s="23"/>
      <c r="BM647" s="22"/>
      <c r="BN647" s="22"/>
      <c r="BO647" s="22"/>
      <c r="BP647" s="22"/>
      <c r="BQ647" s="22"/>
      <c r="BR647" s="42"/>
      <c r="BS647" s="5"/>
      <c r="BT647" s="5"/>
    </row>
    <row r="648" spans="1:72">
      <c r="AD648" s="24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Z648" s="5"/>
      <c r="BJ648" s="24"/>
      <c r="BK648" s="22"/>
      <c r="BL648" s="23"/>
      <c r="BM648" s="22"/>
      <c r="BN648" s="22"/>
      <c r="BO648" s="22"/>
      <c r="BP648" s="22"/>
      <c r="BQ648" s="22"/>
      <c r="BR648" s="24"/>
    </row>
    <row r="649" spans="1:72">
      <c r="B649" s="5" t="s">
        <v>182</v>
      </c>
      <c r="D649" s="16" t="s">
        <v>289</v>
      </c>
      <c r="E649" s="16" t="s">
        <v>289</v>
      </c>
      <c r="F649" s="16" t="s">
        <v>289</v>
      </c>
      <c r="G649" s="16" t="s">
        <v>289</v>
      </c>
      <c r="H649" s="16" t="s">
        <v>289</v>
      </c>
      <c r="I649" s="16" t="s">
        <v>289</v>
      </c>
      <c r="J649" s="16" t="s">
        <v>289</v>
      </c>
      <c r="K649" s="16" t="s">
        <v>289</v>
      </c>
      <c r="L649" s="16" t="s">
        <v>289</v>
      </c>
      <c r="M649" s="16" t="s">
        <v>289</v>
      </c>
      <c r="N649" s="16" t="s">
        <v>289</v>
      </c>
      <c r="O649" s="16" t="s">
        <v>289</v>
      </c>
      <c r="P649" s="16" t="s">
        <v>289</v>
      </c>
      <c r="Q649" s="16" t="s">
        <v>289</v>
      </c>
      <c r="R649" s="16" t="s">
        <v>289</v>
      </c>
      <c r="S649" s="16" t="s">
        <v>289</v>
      </c>
      <c r="T649" s="16" t="s">
        <v>289</v>
      </c>
      <c r="U649" s="16" t="s">
        <v>289</v>
      </c>
      <c r="V649" s="16" t="s">
        <v>289</v>
      </c>
      <c r="W649" s="16"/>
      <c r="X649" s="16"/>
      <c r="Y649" s="16"/>
      <c r="Z649" s="16"/>
      <c r="AA649" s="16"/>
      <c r="AB649" s="25"/>
      <c r="AC649" s="25"/>
      <c r="AD649" s="24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16"/>
      <c r="AZ649" s="5"/>
      <c r="BK649" s="22"/>
      <c r="BL649" s="23"/>
      <c r="BM649" s="22"/>
      <c r="BN649" s="22"/>
      <c r="BO649" s="22"/>
      <c r="BP649" s="22"/>
      <c r="BQ649" s="22"/>
      <c r="BR649" s="24"/>
    </row>
    <row r="650" spans="1:72">
      <c r="B650" s="5" t="s">
        <v>183</v>
      </c>
      <c r="D650" s="16" t="s">
        <v>289</v>
      </c>
      <c r="E650" s="16" t="s">
        <v>289</v>
      </c>
      <c r="F650" s="16" t="s">
        <v>289</v>
      </c>
      <c r="G650" s="16" t="s">
        <v>289</v>
      </c>
      <c r="H650" s="16" t="s">
        <v>289</v>
      </c>
      <c r="I650" s="16" t="s">
        <v>289</v>
      </c>
      <c r="J650" s="16" t="s">
        <v>289</v>
      </c>
      <c r="K650" s="16" t="s">
        <v>289</v>
      </c>
      <c r="L650" s="16" t="s">
        <v>289</v>
      </c>
      <c r="M650" s="16" t="s">
        <v>289</v>
      </c>
      <c r="N650" s="16" t="s">
        <v>289</v>
      </c>
      <c r="O650" s="16" t="s">
        <v>289</v>
      </c>
      <c r="P650" s="16" t="s">
        <v>289</v>
      </c>
      <c r="Q650" s="16" t="s">
        <v>289</v>
      </c>
      <c r="R650" s="16" t="s">
        <v>289</v>
      </c>
      <c r="S650" s="16" t="s">
        <v>289</v>
      </c>
      <c r="T650" s="16" t="s">
        <v>289</v>
      </c>
      <c r="U650" s="16" t="s">
        <v>289</v>
      </c>
      <c r="V650" s="16" t="s">
        <v>289</v>
      </c>
      <c r="W650" s="16"/>
      <c r="X650" s="16"/>
      <c r="Y650" s="16"/>
      <c r="Z650" s="16"/>
      <c r="AA650" s="16"/>
      <c r="AB650" s="25"/>
      <c r="AC650" s="25"/>
      <c r="AD650" s="24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16"/>
      <c r="AZ650" s="5"/>
      <c r="BK650" s="22"/>
      <c r="BL650" s="23"/>
      <c r="BM650" s="22"/>
      <c r="BN650" s="22"/>
      <c r="BO650" s="22"/>
      <c r="BP650" s="22"/>
      <c r="BQ650" s="22"/>
      <c r="BR650" s="24"/>
    </row>
    <row r="651" spans="1:72">
      <c r="B651" s="5" t="s">
        <v>184</v>
      </c>
      <c r="D651" s="16" t="s">
        <v>289</v>
      </c>
      <c r="E651" s="16" t="s">
        <v>289</v>
      </c>
      <c r="F651" s="16" t="s">
        <v>289</v>
      </c>
      <c r="G651" s="16" t="s">
        <v>289</v>
      </c>
      <c r="H651" s="16" t="s">
        <v>289</v>
      </c>
      <c r="I651" s="16" t="s">
        <v>289</v>
      </c>
      <c r="J651" s="16" t="s">
        <v>289</v>
      </c>
      <c r="K651" s="16" t="s">
        <v>289</v>
      </c>
      <c r="L651" s="16" t="s">
        <v>289</v>
      </c>
      <c r="M651" s="16" t="s">
        <v>289</v>
      </c>
      <c r="N651" s="16" t="s">
        <v>289</v>
      </c>
      <c r="O651" s="16" t="s">
        <v>289</v>
      </c>
      <c r="P651" s="16" t="s">
        <v>289</v>
      </c>
      <c r="Q651" s="16" t="s">
        <v>289</v>
      </c>
      <c r="R651" s="16" t="s">
        <v>289</v>
      </c>
      <c r="S651" s="16" t="s">
        <v>289</v>
      </c>
      <c r="T651" s="16" t="s">
        <v>289</v>
      </c>
      <c r="U651" s="16" t="s">
        <v>289</v>
      </c>
      <c r="V651" s="16" t="s">
        <v>289</v>
      </c>
      <c r="W651" s="16"/>
      <c r="X651" s="16"/>
      <c r="Y651" s="16"/>
      <c r="Z651" s="16"/>
      <c r="AA651" s="16"/>
      <c r="AB651" s="25"/>
      <c r="AC651" s="2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16"/>
      <c r="AZ651" s="5"/>
      <c r="BK651" s="22"/>
      <c r="BL651" s="23"/>
      <c r="BM651" s="22"/>
      <c r="BN651" s="22"/>
      <c r="BO651" s="22"/>
      <c r="BP651" s="22"/>
      <c r="BQ651" s="22"/>
      <c r="BR651" s="24"/>
    </row>
    <row r="652" spans="1:72"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Z652" s="5"/>
      <c r="BK652" s="22"/>
      <c r="BL652" s="23"/>
      <c r="BM652" s="22"/>
      <c r="BN652" s="22"/>
      <c r="BO652" s="22"/>
      <c r="BP652" s="22"/>
      <c r="BQ652" s="22"/>
      <c r="BR652" s="24"/>
    </row>
    <row r="653" spans="1:72">
      <c r="D653" s="25"/>
      <c r="E653" s="25"/>
      <c r="F653" s="25"/>
      <c r="G653" s="25"/>
      <c r="H653" s="25"/>
      <c r="I653" s="25"/>
      <c r="J653" s="25"/>
      <c r="K653" s="25"/>
      <c r="L653" s="25"/>
      <c r="M653" s="25"/>
      <c r="N653" s="25"/>
      <c r="O653" s="25"/>
      <c r="P653" s="25"/>
      <c r="Q653" s="25"/>
      <c r="R653" s="25"/>
      <c r="S653" s="25"/>
      <c r="T653" s="25"/>
      <c r="U653" s="25"/>
      <c r="V653" s="25"/>
      <c r="W653" s="25"/>
      <c r="X653" s="25"/>
      <c r="Y653" s="25"/>
      <c r="Z653" s="25"/>
      <c r="AA653" s="25"/>
      <c r="AB653" s="25"/>
      <c r="AC653" s="2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25"/>
      <c r="AZ653" s="5"/>
      <c r="BK653" s="22"/>
      <c r="BL653" s="23"/>
      <c r="BM653" s="22"/>
      <c r="BN653" s="22"/>
      <c r="BO653" s="22"/>
      <c r="BP653" s="22"/>
      <c r="BQ653" s="22"/>
      <c r="BR653" s="24"/>
    </row>
    <row r="654" spans="1:72">
      <c r="B654" s="5" t="s">
        <v>185</v>
      </c>
      <c r="D654" s="16" t="s">
        <v>289</v>
      </c>
      <c r="E654" s="16" t="s">
        <v>289</v>
      </c>
      <c r="F654" s="16" t="s">
        <v>289</v>
      </c>
      <c r="G654" s="16" t="s">
        <v>289</v>
      </c>
      <c r="H654" s="16" t="s">
        <v>289</v>
      </c>
      <c r="I654" s="16" t="s">
        <v>289</v>
      </c>
      <c r="J654" s="16" t="s">
        <v>289</v>
      </c>
      <c r="K654" s="16" t="s">
        <v>289</v>
      </c>
      <c r="L654" s="16" t="s">
        <v>289</v>
      </c>
      <c r="M654" s="16" t="s">
        <v>289</v>
      </c>
      <c r="N654" s="16" t="s">
        <v>289</v>
      </c>
      <c r="O654" s="16" t="s">
        <v>289</v>
      </c>
      <c r="P654" s="16" t="s">
        <v>289</v>
      </c>
      <c r="Q654" s="16" t="s">
        <v>289</v>
      </c>
      <c r="R654" s="16" t="s">
        <v>289</v>
      </c>
      <c r="S654" s="16" t="s">
        <v>289</v>
      </c>
      <c r="T654" s="16" t="s">
        <v>289</v>
      </c>
      <c r="U654" s="16" t="s">
        <v>289</v>
      </c>
      <c r="V654" s="16" t="s">
        <v>289</v>
      </c>
      <c r="W654" s="16"/>
      <c r="X654" s="16"/>
      <c r="Y654" s="16"/>
      <c r="Z654" s="16"/>
      <c r="AA654" s="16"/>
      <c r="AB654" s="25"/>
      <c r="AC654" s="2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16"/>
      <c r="AZ654" s="5"/>
      <c r="BK654" s="25"/>
      <c r="BL654" s="25"/>
      <c r="BM654" s="25"/>
      <c r="BN654" s="25"/>
      <c r="BO654" s="25"/>
      <c r="BP654" s="25"/>
      <c r="BQ654" s="25"/>
      <c r="BR654" s="24"/>
    </row>
    <row r="655" spans="1:72">
      <c r="B655" s="5" t="s">
        <v>186</v>
      </c>
      <c r="D655" s="16">
        <v>7422</v>
      </c>
      <c r="E655" s="16" t="s">
        <v>289</v>
      </c>
      <c r="F655" s="16" t="s">
        <v>289</v>
      </c>
      <c r="G655" s="16" t="s">
        <v>289</v>
      </c>
      <c r="H655" s="16" t="s">
        <v>289</v>
      </c>
      <c r="I655" s="16" t="s">
        <v>289</v>
      </c>
      <c r="J655" s="16" t="s">
        <v>289</v>
      </c>
      <c r="K655" s="16" t="s">
        <v>289</v>
      </c>
      <c r="L655" s="16" t="s">
        <v>289</v>
      </c>
      <c r="M655" s="16" t="s">
        <v>289</v>
      </c>
      <c r="N655" s="16" t="s">
        <v>289</v>
      </c>
      <c r="O655" s="16" t="s">
        <v>289</v>
      </c>
      <c r="P655" s="16" t="s">
        <v>289</v>
      </c>
      <c r="Q655" s="16" t="s">
        <v>289</v>
      </c>
      <c r="R655" s="16" t="s">
        <v>289</v>
      </c>
      <c r="S655" s="16">
        <v>24439</v>
      </c>
      <c r="T655" s="16">
        <v>27070</v>
      </c>
      <c r="U655" s="16">
        <v>27473</v>
      </c>
      <c r="V655" s="16" t="s">
        <v>289</v>
      </c>
      <c r="W655" s="16"/>
      <c r="X655" s="16"/>
      <c r="Y655" s="16"/>
      <c r="Z655" s="16"/>
      <c r="AA655" s="16"/>
      <c r="AB655" s="25"/>
      <c r="AC655" s="2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16"/>
      <c r="AZ655" s="5"/>
      <c r="BK655" s="22"/>
      <c r="BL655" s="23"/>
      <c r="BM655" s="22"/>
      <c r="BN655" s="22"/>
      <c r="BO655" s="22"/>
      <c r="BP655" s="22"/>
      <c r="BQ655" s="22"/>
      <c r="BR655" s="24"/>
    </row>
    <row r="656" spans="1:72">
      <c r="B656" s="5" t="s">
        <v>187</v>
      </c>
      <c r="D656" s="16" t="s">
        <v>289</v>
      </c>
      <c r="E656" s="16" t="s">
        <v>289</v>
      </c>
      <c r="F656" s="16" t="s">
        <v>289</v>
      </c>
      <c r="G656" s="16" t="s">
        <v>289</v>
      </c>
      <c r="H656" s="16" t="s">
        <v>289</v>
      </c>
      <c r="I656" s="16" t="s">
        <v>289</v>
      </c>
      <c r="J656" s="16" t="s">
        <v>289</v>
      </c>
      <c r="K656" s="16" t="s">
        <v>289</v>
      </c>
      <c r="L656" s="16" t="s">
        <v>289</v>
      </c>
      <c r="M656" s="16" t="s">
        <v>289</v>
      </c>
      <c r="N656" s="16" t="s">
        <v>289</v>
      </c>
      <c r="O656" s="16" t="s">
        <v>289</v>
      </c>
      <c r="P656" s="16" t="s">
        <v>289</v>
      </c>
      <c r="Q656" s="16" t="s">
        <v>289</v>
      </c>
      <c r="R656" s="16" t="s">
        <v>289</v>
      </c>
      <c r="S656" s="16" t="s">
        <v>289</v>
      </c>
      <c r="T656" s="16" t="s">
        <v>289</v>
      </c>
      <c r="U656" s="16" t="s">
        <v>289</v>
      </c>
      <c r="V656" s="16" t="s">
        <v>289</v>
      </c>
      <c r="W656" s="16"/>
      <c r="X656" s="16"/>
      <c r="Y656" s="16"/>
      <c r="Z656" s="16"/>
      <c r="AA656" s="16"/>
      <c r="AB656" s="25"/>
      <c r="AC656" s="2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16"/>
      <c r="AZ656" s="5"/>
      <c r="BK656" s="22"/>
      <c r="BL656" s="23"/>
      <c r="BM656" s="22"/>
      <c r="BN656" s="22"/>
      <c r="BO656" s="22"/>
      <c r="BP656" s="22"/>
      <c r="BQ656" s="22"/>
      <c r="BR656" s="24"/>
    </row>
    <row r="657" spans="1:72">
      <c r="B657" s="5" t="s">
        <v>188</v>
      </c>
      <c r="D657" s="16" t="s">
        <v>289</v>
      </c>
      <c r="E657" s="16" t="s">
        <v>289</v>
      </c>
      <c r="F657" s="16" t="s">
        <v>289</v>
      </c>
      <c r="G657" s="16" t="s">
        <v>289</v>
      </c>
      <c r="H657" s="16" t="s">
        <v>289</v>
      </c>
      <c r="I657" s="16" t="s">
        <v>289</v>
      </c>
      <c r="J657" s="16" t="s">
        <v>289</v>
      </c>
      <c r="K657" s="16" t="s">
        <v>289</v>
      </c>
      <c r="L657" s="16" t="s">
        <v>289</v>
      </c>
      <c r="M657" s="16" t="s">
        <v>289</v>
      </c>
      <c r="N657" s="16" t="s">
        <v>289</v>
      </c>
      <c r="O657" s="16" t="s">
        <v>289</v>
      </c>
      <c r="P657" s="16" t="s">
        <v>289</v>
      </c>
      <c r="Q657" s="16" t="s">
        <v>289</v>
      </c>
      <c r="R657" s="16" t="s">
        <v>289</v>
      </c>
      <c r="S657" s="16" t="s">
        <v>289</v>
      </c>
      <c r="T657" s="16" t="s">
        <v>289</v>
      </c>
      <c r="U657" s="16" t="s">
        <v>289</v>
      </c>
      <c r="V657" s="16" t="s">
        <v>289</v>
      </c>
      <c r="W657" s="16"/>
      <c r="X657" s="16"/>
      <c r="Y657" s="16"/>
      <c r="Z657" s="16"/>
      <c r="AA657" s="16"/>
      <c r="AB657" s="25"/>
      <c r="AC657" s="2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16"/>
      <c r="AZ657" s="5"/>
      <c r="BK657" s="22"/>
      <c r="BL657" s="23"/>
      <c r="BM657" s="22"/>
      <c r="BN657" s="22"/>
      <c r="BO657" s="22"/>
      <c r="BP657" s="22"/>
      <c r="BQ657" s="22"/>
      <c r="BR657" s="24"/>
    </row>
    <row r="658" spans="1:72">
      <c r="B658" s="5" t="s">
        <v>189</v>
      </c>
      <c r="D658" s="16" t="s">
        <v>289</v>
      </c>
      <c r="E658" s="16" t="s">
        <v>289</v>
      </c>
      <c r="F658" s="16" t="s">
        <v>289</v>
      </c>
      <c r="G658" s="16" t="s">
        <v>289</v>
      </c>
      <c r="H658" s="16" t="s">
        <v>289</v>
      </c>
      <c r="I658" s="16" t="s">
        <v>289</v>
      </c>
      <c r="J658" s="16" t="s">
        <v>289</v>
      </c>
      <c r="K658" s="16" t="s">
        <v>289</v>
      </c>
      <c r="L658" s="16" t="s">
        <v>289</v>
      </c>
      <c r="M658" s="16" t="s">
        <v>289</v>
      </c>
      <c r="N658" s="16" t="s">
        <v>289</v>
      </c>
      <c r="O658" s="16" t="s">
        <v>289</v>
      </c>
      <c r="P658" s="16" t="s">
        <v>289</v>
      </c>
      <c r="Q658" s="16" t="s">
        <v>289</v>
      </c>
      <c r="R658" s="16" t="s">
        <v>289</v>
      </c>
      <c r="S658" s="16" t="s">
        <v>289</v>
      </c>
      <c r="T658" s="16" t="s">
        <v>289</v>
      </c>
      <c r="U658" s="16" t="s">
        <v>289</v>
      </c>
      <c r="V658" s="16" t="s">
        <v>289</v>
      </c>
      <c r="W658" s="16"/>
      <c r="X658" s="16"/>
      <c r="Y658" s="16"/>
      <c r="Z658" s="16"/>
      <c r="AA658" s="16"/>
      <c r="AB658" s="25"/>
      <c r="AC658" s="2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16"/>
      <c r="AZ658" s="5"/>
      <c r="BK658" s="22"/>
      <c r="BL658" s="23"/>
      <c r="BM658" s="22"/>
      <c r="BN658" s="22"/>
      <c r="BO658" s="22"/>
      <c r="BP658" s="22"/>
      <c r="BQ658" s="22"/>
      <c r="BR658" s="24"/>
      <c r="BT658" s="33"/>
    </row>
    <row r="659" spans="1:72"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Z659" s="5"/>
      <c r="BK659" s="22"/>
      <c r="BL659" s="23"/>
      <c r="BM659" s="22"/>
      <c r="BN659" s="22"/>
      <c r="BO659" s="22"/>
      <c r="BP659" s="22"/>
      <c r="BQ659" s="22"/>
      <c r="BR659" s="24"/>
      <c r="BT659" s="33"/>
    </row>
    <row r="660" spans="1:72">
      <c r="B660" s="5" t="s">
        <v>190</v>
      </c>
      <c r="D660" s="16">
        <v>0</v>
      </c>
      <c r="E660" s="16">
        <v>0</v>
      </c>
      <c r="F660" s="16">
        <v>0</v>
      </c>
      <c r="G660" s="16" t="s">
        <v>289</v>
      </c>
      <c r="H660" s="16" t="s">
        <v>289</v>
      </c>
      <c r="I660" s="16" t="s">
        <v>289</v>
      </c>
      <c r="J660" s="16" t="s">
        <v>289</v>
      </c>
      <c r="K660" s="16" t="s">
        <v>289</v>
      </c>
      <c r="L660" s="16" t="s">
        <v>289</v>
      </c>
      <c r="M660" s="16" t="s">
        <v>289</v>
      </c>
      <c r="N660" s="16" t="s">
        <v>289</v>
      </c>
      <c r="O660" s="16" t="s">
        <v>289</v>
      </c>
      <c r="P660" s="16" t="s">
        <v>289</v>
      </c>
      <c r="Q660" s="16" t="s">
        <v>289</v>
      </c>
      <c r="R660" s="16" t="s">
        <v>289</v>
      </c>
      <c r="S660" s="16" t="s">
        <v>289</v>
      </c>
      <c r="T660" s="16" t="s">
        <v>289</v>
      </c>
      <c r="U660" s="16" t="s">
        <v>289</v>
      </c>
      <c r="V660" s="16" t="s">
        <v>289</v>
      </c>
      <c r="W660" s="16"/>
      <c r="X660" s="16"/>
      <c r="Y660" s="16"/>
      <c r="Z660" s="16"/>
      <c r="AA660" s="16"/>
      <c r="AB660" s="25"/>
      <c r="AC660" s="2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16"/>
      <c r="AZ660" s="5"/>
      <c r="BJ660" s="24"/>
      <c r="BK660" s="22"/>
      <c r="BL660" s="23"/>
      <c r="BM660" s="22"/>
      <c r="BN660" s="22"/>
      <c r="BO660" s="22"/>
      <c r="BP660" s="22"/>
      <c r="BQ660" s="22"/>
      <c r="BR660" s="24"/>
      <c r="BT660" s="33"/>
    </row>
    <row r="661" spans="1:72" s="33" customFormat="1">
      <c r="A661" s="5"/>
      <c r="B661" s="5" t="s">
        <v>191</v>
      </c>
      <c r="C661" s="5"/>
      <c r="D661" s="16" t="s">
        <v>289</v>
      </c>
      <c r="E661" s="16" t="s">
        <v>289</v>
      </c>
      <c r="F661" s="16" t="s">
        <v>289</v>
      </c>
      <c r="G661" s="16" t="s">
        <v>289</v>
      </c>
      <c r="H661" s="16" t="s">
        <v>289</v>
      </c>
      <c r="I661" s="16" t="s">
        <v>289</v>
      </c>
      <c r="J661" s="16" t="s">
        <v>289</v>
      </c>
      <c r="K661" s="16" t="s">
        <v>289</v>
      </c>
      <c r="L661" s="16" t="s">
        <v>289</v>
      </c>
      <c r="M661" s="16" t="s">
        <v>289</v>
      </c>
      <c r="N661" s="16" t="s">
        <v>289</v>
      </c>
      <c r="O661" s="16" t="s">
        <v>289</v>
      </c>
      <c r="P661" s="16" t="s">
        <v>289</v>
      </c>
      <c r="Q661" s="16" t="s">
        <v>289</v>
      </c>
      <c r="R661" s="16" t="s">
        <v>289</v>
      </c>
      <c r="S661" s="16" t="s">
        <v>289</v>
      </c>
      <c r="T661" s="16" t="s">
        <v>289</v>
      </c>
      <c r="U661" s="16" t="s">
        <v>289</v>
      </c>
      <c r="V661" s="16" t="s">
        <v>289</v>
      </c>
      <c r="W661" s="16"/>
      <c r="X661" s="16"/>
      <c r="Y661" s="16"/>
      <c r="Z661" s="16"/>
      <c r="AA661" s="16"/>
      <c r="AB661" s="25"/>
      <c r="AC661" s="2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16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24"/>
      <c r="BK661" s="22"/>
      <c r="BL661" s="23"/>
      <c r="BM661" s="22"/>
      <c r="BN661" s="22"/>
      <c r="BO661" s="22"/>
      <c r="BP661" s="22"/>
      <c r="BQ661" s="22"/>
      <c r="BR661" s="24"/>
      <c r="BS661" s="5"/>
    </row>
    <row r="662" spans="1:72" s="33" customFormat="1">
      <c r="A662" s="5"/>
      <c r="B662" s="5" t="s">
        <v>192</v>
      </c>
      <c r="C662" s="5"/>
      <c r="D662" s="16" t="s">
        <v>289</v>
      </c>
      <c r="E662" s="16" t="s">
        <v>289</v>
      </c>
      <c r="F662" s="16" t="s">
        <v>289</v>
      </c>
      <c r="G662" s="16" t="s">
        <v>289</v>
      </c>
      <c r="H662" s="16" t="s">
        <v>289</v>
      </c>
      <c r="I662" s="16" t="s">
        <v>289</v>
      </c>
      <c r="J662" s="16" t="s">
        <v>289</v>
      </c>
      <c r="K662" s="16" t="s">
        <v>289</v>
      </c>
      <c r="L662" s="16" t="s">
        <v>289</v>
      </c>
      <c r="M662" s="16" t="s">
        <v>289</v>
      </c>
      <c r="N662" s="16" t="s">
        <v>289</v>
      </c>
      <c r="O662" s="16" t="s">
        <v>289</v>
      </c>
      <c r="P662" s="16"/>
      <c r="Q662" s="16"/>
      <c r="R662" s="16"/>
      <c r="S662" s="16"/>
      <c r="T662" s="16"/>
      <c r="U662" s="16"/>
      <c r="V662" s="16"/>
      <c r="W662" s="16"/>
      <c r="X662" s="16"/>
      <c r="Y662" s="16"/>
      <c r="Z662" s="16"/>
      <c r="AA662" s="16"/>
      <c r="AB662" s="25"/>
      <c r="AC662" s="2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16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24"/>
      <c r="BK662" s="22"/>
      <c r="BL662" s="23"/>
      <c r="BM662" s="22"/>
      <c r="BN662" s="22"/>
      <c r="BO662" s="22"/>
      <c r="BP662" s="22"/>
      <c r="BQ662" s="22"/>
      <c r="BR662" s="24"/>
      <c r="BS662" s="5"/>
    </row>
    <row r="663" spans="1:72" s="33" customFormat="1">
      <c r="A663" s="5"/>
      <c r="B663" s="5" t="s">
        <v>193</v>
      </c>
      <c r="C663" s="5"/>
      <c r="D663" s="16" t="s">
        <v>289</v>
      </c>
      <c r="E663" s="16" t="s">
        <v>289</v>
      </c>
      <c r="F663" s="16" t="s">
        <v>289</v>
      </c>
      <c r="G663" s="16" t="s">
        <v>289</v>
      </c>
      <c r="H663" s="16" t="s">
        <v>289</v>
      </c>
      <c r="I663" s="16" t="s">
        <v>289</v>
      </c>
      <c r="J663" s="16" t="s">
        <v>289</v>
      </c>
      <c r="K663" s="16" t="s">
        <v>289</v>
      </c>
      <c r="L663" s="16" t="s">
        <v>289</v>
      </c>
      <c r="M663" s="16" t="s">
        <v>289</v>
      </c>
      <c r="N663" s="16" t="s">
        <v>289</v>
      </c>
      <c r="O663" s="16" t="s">
        <v>289</v>
      </c>
      <c r="P663" s="16" t="s">
        <v>289</v>
      </c>
      <c r="Q663" s="16" t="s">
        <v>289</v>
      </c>
      <c r="R663" s="16" t="s">
        <v>289</v>
      </c>
      <c r="S663" s="16" t="s">
        <v>289</v>
      </c>
      <c r="T663" s="16" t="s">
        <v>289</v>
      </c>
      <c r="U663" s="16" t="s">
        <v>289</v>
      </c>
      <c r="V663" s="16" t="s">
        <v>289</v>
      </c>
      <c r="W663" s="16"/>
      <c r="X663" s="16"/>
      <c r="Y663" s="16"/>
      <c r="Z663" s="16"/>
      <c r="AA663" s="16"/>
      <c r="AB663" s="25"/>
      <c r="AC663" s="2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16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24"/>
      <c r="BK663" s="22"/>
      <c r="BL663" s="23"/>
      <c r="BM663" s="22"/>
      <c r="BN663" s="22"/>
      <c r="BO663" s="22"/>
      <c r="BP663" s="22"/>
      <c r="BQ663" s="22"/>
      <c r="BR663" s="24"/>
      <c r="BS663" s="5"/>
    </row>
    <row r="664" spans="1:72" s="33" customFormat="1">
      <c r="A664" s="5"/>
      <c r="B664" s="5" t="s">
        <v>194</v>
      </c>
      <c r="C664" s="5"/>
      <c r="D664" s="16" t="s">
        <v>289</v>
      </c>
      <c r="E664" s="16" t="s">
        <v>289</v>
      </c>
      <c r="F664" s="16" t="s">
        <v>289</v>
      </c>
      <c r="G664" s="16" t="s">
        <v>289</v>
      </c>
      <c r="H664" s="16" t="s">
        <v>289</v>
      </c>
      <c r="I664" s="16" t="s">
        <v>289</v>
      </c>
      <c r="J664" s="16" t="s">
        <v>289</v>
      </c>
      <c r="K664" s="16" t="s">
        <v>289</v>
      </c>
      <c r="L664" s="16" t="s">
        <v>289</v>
      </c>
      <c r="M664" s="16" t="s">
        <v>289</v>
      </c>
      <c r="N664" s="16" t="s">
        <v>289</v>
      </c>
      <c r="O664" s="16" t="s">
        <v>289</v>
      </c>
      <c r="P664" s="16" t="s">
        <v>289</v>
      </c>
      <c r="Q664" s="16" t="s">
        <v>289</v>
      </c>
      <c r="R664" s="16" t="s">
        <v>289</v>
      </c>
      <c r="S664" s="16" t="s">
        <v>289</v>
      </c>
      <c r="T664" s="16" t="s">
        <v>289</v>
      </c>
      <c r="U664" s="16" t="s">
        <v>289</v>
      </c>
      <c r="V664" s="16" t="s">
        <v>289</v>
      </c>
      <c r="W664" s="16"/>
      <c r="X664" s="16"/>
      <c r="Y664" s="16"/>
      <c r="Z664" s="16"/>
      <c r="AA664" s="16"/>
      <c r="AB664" s="25"/>
      <c r="AC664" s="2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16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24"/>
      <c r="BK664" s="22"/>
      <c r="BL664" s="23"/>
      <c r="BM664" s="22"/>
      <c r="BN664" s="22"/>
      <c r="BO664" s="22"/>
      <c r="BP664" s="22"/>
      <c r="BQ664" s="22"/>
      <c r="BR664" s="24"/>
      <c r="BS664" s="5"/>
      <c r="BT664" s="5"/>
    </row>
    <row r="665" spans="1:72" s="33" customFormat="1">
      <c r="A665" s="5"/>
      <c r="B665" s="5" t="s">
        <v>195</v>
      </c>
      <c r="C665" s="5"/>
      <c r="D665" s="16" t="s">
        <v>289</v>
      </c>
      <c r="E665" s="16" t="s">
        <v>289</v>
      </c>
      <c r="F665" s="16" t="s">
        <v>289</v>
      </c>
      <c r="G665" s="16" t="s">
        <v>289</v>
      </c>
      <c r="H665" s="16" t="s">
        <v>289</v>
      </c>
      <c r="I665" s="16" t="s">
        <v>289</v>
      </c>
      <c r="J665" s="16" t="s">
        <v>289</v>
      </c>
      <c r="K665" s="16" t="s">
        <v>289</v>
      </c>
      <c r="L665" s="16" t="s">
        <v>289</v>
      </c>
      <c r="M665" s="16" t="s">
        <v>289</v>
      </c>
      <c r="N665" s="16" t="s">
        <v>289</v>
      </c>
      <c r="O665" s="16" t="s">
        <v>289</v>
      </c>
      <c r="P665" s="16" t="s">
        <v>289</v>
      </c>
      <c r="Q665" s="16" t="s">
        <v>289</v>
      </c>
      <c r="R665" s="16" t="s">
        <v>289</v>
      </c>
      <c r="S665" s="16" t="s">
        <v>289</v>
      </c>
      <c r="T665" s="16" t="s">
        <v>289</v>
      </c>
      <c r="U665" s="16" t="s">
        <v>289</v>
      </c>
      <c r="V665" s="16" t="s">
        <v>289</v>
      </c>
      <c r="W665" s="16"/>
      <c r="X665" s="16"/>
      <c r="Y665" s="16"/>
      <c r="Z665" s="16"/>
      <c r="AA665" s="16"/>
      <c r="AB665" s="25"/>
      <c r="AC665" s="2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16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22"/>
      <c r="BL665" s="23"/>
      <c r="BM665" s="22"/>
      <c r="BN665" s="22"/>
      <c r="BO665" s="22"/>
      <c r="BP665" s="22"/>
      <c r="BQ665" s="22"/>
      <c r="BR665" s="24"/>
      <c r="BS665" s="5"/>
      <c r="BT665" s="5"/>
    </row>
    <row r="666" spans="1:72" s="33" customFormat="1">
      <c r="A666" s="5"/>
      <c r="B666" s="5" t="s">
        <v>196</v>
      </c>
      <c r="C666" s="5"/>
      <c r="D666" s="16" t="s">
        <v>289</v>
      </c>
      <c r="E666" s="16" t="s">
        <v>289</v>
      </c>
      <c r="F666" s="16" t="s">
        <v>289</v>
      </c>
      <c r="G666" s="16" t="s">
        <v>289</v>
      </c>
      <c r="H666" s="16" t="s">
        <v>289</v>
      </c>
      <c r="I666" s="16" t="s">
        <v>289</v>
      </c>
      <c r="J666" s="16" t="s">
        <v>289</v>
      </c>
      <c r="K666" s="16" t="s">
        <v>289</v>
      </c>
      <c r="L666" s="16" t="s">
        <v>289</v>
      </c>
      <c r="M666" s="16" t="s">
        <v>289</v>
      </c>
      <c r="N666" s="16" t="s">
        <v>289</v>
      </c>
      <c r="O666" s="16" t="s">
        <v>289</v>
      </c>
      <c r="P666" s="16" t="s">
        <v>289</v>
      </c>
      <c r="Q666" s="16" t="s">
        <v>289</v>
      </c>
      <c r="R666" s="16" t="s">
        <v>289</v>
      </c>
      <c r="S666" s="16" t="s">
        <v>289</v>
      </c>
      <c r="T666" s="16" t="s">
        <v>289</v>
      </c>
      <c r="U666" s="16" t="s">
        <v>289</v>
      </c>
      <c r="V666" s="16" t="s">
        <v>289</v>
      </c>
      <c r="W666" s="16"/>
      <c r="X666" s="16"/>
      <c r="Y666" s="16"/>
      <c r="Z666" s="16"/>
      <c r="AA666" s="16"/>
      <c r="AB666" s="25"/>
      <c r="AC666" s="2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16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22"/>
      <c r="BL666" s="23"/>
      <c r="BM666" s="22"/>
      <c r="BN666" s="22"/>
      <c r="BO666" s="22"/>
      <c r="BP666" s="22"/>
      <c r="BQ666" s="22"/>
      <c r="BR666" s="24"/>
      <c r="BS666" s="5"/>
      <c r="BT666" s="5"/>
    </row>
    <row r="667" spans="1:72" s="33" customFormat="1">
      <c r="A667" s="5"/>
      <c r="B667" s="5"/>
      <c r="C667" s="5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  <c r="AA667" s="20"/>
      <c r="AB667" s="20"/>
      <c r="AC667" s="20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20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22"/>
      <c r="BL667" s="23"/>
      <c r="BM667" s="22"/>
      <c r="BN667" s="22"/>
      <c r="BO667" s="22"/>
      <c r="BP667" s="22"/>
      <c r="BQ667" s="22"/>
      <c r="BR667" s="24"/>
      <c r="BS667" s="5"/>
      <c r="BT667" s="5"/>
    </row>
    <row r="668" spans="1:72" s="33" customFormat="1">
      <c r="A668" s="5"/>
      <c r="B668" s="5"/>
      <c r="C668" s="5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  <c r="AA668" s="20"/>
      <c r="AB668" s="20"/>
      <c r="AC668" s="20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20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22"/>
      <c r="BL668" s="23"/>
      <c r="BM668" s="22"/>
      <c r="BN668" s="22"/>
      <c r="BO668" s="22"/>
      <c r="BP668" s="22"/>
      <c r="BQ668" s="22"/>
      <c r="BR668" s="24"/>
      <c r="BS668" s="5"/>
      <c r="BT668" s="5"/>
    </row>
    <row r="669" spans="1:72" s="33" customFormat="1">
      <c r="A669" s="5"/>
      <c r="B669" s="5" t="s">
        <v>197</v>
      </c>
      <c r="C669" s="5"/>
      <c r="D669" s="16" t="s">
        <v>289</v>
      </c>
      <c r="E669" s="16" t="s">
        <v>289</v>
      </c>
      <c r="F669" s="16" t="s">
        <v>289</v>
      </c>
      <c r="G669" s="16" t="s">
        <v>289</v>
      </c>
      <c r="H669" s="16" t="s">
        <v>289</v>
      </c>
      <c r="I669" s="16" t="s">
        <v>289</v>
      </c>
      <c r="J669" s="16" t="s">
        <v>289</v>
      </c>
      <c r="K669" s="16" t="s">
        <v>289</v>
      </c>
      <c r="L669" s="16" t="s">
        <v>289</v>
      </c>
      <c r="M669" s="16" t="s">
        <v>289</v>
      </c>
      <c r="N669" s="16" t="s">
        <v>289</v>
      </c>
      <c r="O669" s="16" t="s">
        <v>289</v>
      </c>
      <c r="P669" s="16" t="s">
        <v>289</v>
      </c>
      <c r="Q669" s="16" t="s">
        <v>289</v>
      </c>
      <c r="R669" s="16" t="s">
        <v>289</v>
      </c>
      <c r="S669" s="16" t="s">
        <v>289</v>
      </c>
      <c r="T669" s="16" t="s">
        <v>289</v>
      </c>
      <c r="U669" s="16" t="s">
        <v>289</v>
      </c>
      <c r="V669" s="16" t="s">
        <v>289</v>
      </c>
      <c r="W669" s="16"/>
      <c r="X669" s="16"/>
      <c r="Y669" s="16"/>
      <c r="Z669" s="16"/>
      <c r="AA669" s="16"/>
      <c r="AB669" s="25"/>
      <c r="AC669" s="2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16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22"/>
      <c r="BL669" s="23"/>
      <c r="BM669" s="22"/>
      <c r="BN669" s="22"/>
      <c r="BO669" s="22"/>
      <c r="BP669" s="22"/>
      <c r="BQ669" s="22"/>
      <c r="BR669" s="24"/>
      <c r="BS669" s="5"/>
      <c r="BT669" s="5"/>
    </row>
    <row r="670" spans="1:72" s="33" customFormat="1">
      <c r="A670" s="5"/>
      <c r="B670" s="5" t="s">
        <v>198</v>
      </c>
      <c r="C670" s="5"/>
      <c r="D670" s="16" t="s">
        <v>289</v>
      </c>
      <c r="E670" s="16" t="s">
        <v>289</v>
      </c>
      <c r="F670" s="16" t="s">
        <v>289</v>
      </c>
      <c r="G670" s="16" t="s">
        <v>289</v>
      </c>
      <c r="H670" s="16" t="s">
        <v>289</v>
      </c>
      <c r="I670" s="16" t="s">
        <v>289</v>
      </c>
      <c r="J670" s="16" t="s">
        <v>289</v>
      </c>
      <c r="K670" s="16" t="s">
        <v>289</v>
      </c>
      <c r="L670" s="16" t="s">
        <v>289</v>
      </c>
      <c r="M670" s="16" t="s">
        <v>289</v>
      </c>
      <c r="N670" s="16" t="s">
        <v>289</v>
      </c>
      <c r="O670" s="16" t="s">
        <v>289</v>
      </c>
      <c r="P670" s="16" t="s">
        <v>289</v>
      </c>
      <c r="Q670" s="16" t="s">
        <v>289</v>
      </c>
      <c r="R670" s="16" t="s">
        <v>289</v>
      </c>
      <c r="S670" s="16" t="s">
        <v>289</v>
      </c>
      <c r="T670" s="16" t="s">
        <v>289</v>
      </c>
      <c r="U670" s="16" t="s">
        <v>289</v>
      </c>
      <c r="V670" s="16" t="s">
        <v>289</v>
      </c>
      <c r="W670" s="16"/>
      <c r="X670" s="16"/>
      <c r="Y670" s="16"/>
      <c r="Z670" s="16"/>
      <c r="AA670" s="16"/>
      <c r="AB670" s="25"/>
      <c r="AC670" s="2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16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22"/>
      <c r="BL670" s="23"/>
      <c r="BM670" s="22"/>
      <c r="BN670" s="22"/>
      <c r="BO670" s="22"/>
      <c r="BP670" s="22"/>
      <c r="BQ670" s="22"/>
      <c r="BR670" s="24"/>
      <c r="BS670" s="5"/>
      <c r="BT670" s="5"/>
    </row>
    <row r="671" spans="1:72" s="33" customFormat="1">
      <c r="A671" s="5"/>
      <c r="B671" s="5" t="s">
        <v>1777</v>
      </c>
      <c r="C671" s="5"/>
      <c r="D671" s="20">
        <v>12633</v>
      </c>
      <c r="E671" s="20">
        <v>14003</v>
      </c>
      <c r="F671" s="20">
        <v>13854</v>
      </c>
      <c r="G671" s="20">
        <v>12603</v>
      </c>
      <c r="H671" s="20">
        <v>12955</v>
      </c>
      <c r="I671" s="20">
        <v>13936</v>
      </c>
      <c r="J671" s="20">
        <v>15432</v>
      </c>
      <c r="K671" s="20">
        <v>16787</v>
      </c>
      <c r="L671" s="20">
        <v>23939</v>
      </c>
      <c r="M671" s="20">
        <v>21774</v>
      </c>
      <c r="N671" s="20">
        <v>29806</v>
      </c>
      <c r="O671" s="20">
        <v>27535</v>
      </c>
      <c r="P671" s="20">
        <v>33012</v>
      </c>
      <c r="Q671" s="20">
        <v>32730</v>
      </c>
      <c r="R671" s="20">
        <v>33097</v>
      </c>
      <c r="S671" s="20">
        <v>41389</v>
      </c>
      <c r="T671" s="20">
        <v>45081</v>
      </c>
      <c r="U671" s="20">
        <v>41550</v>
      </c>
      <c r="V671" s="20" t="s">
        <v>289</v>
      </c>
      <c r="W671" s="20"/>
      <c r="X671" s="20"/>
      <c r="Y671" s="20"/>
      <c r="Z671" s="20"/>
      <c r="AA671" s="20"/>
      <c r="AB671" s="20"/>
      <c r="AC671" s="20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20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22"/>
      <c r="BL671" s="23"/>
      <c r="BM671" s="22"/>
      <c r="BN671" s="22"/>
      <c r="BO671" s="22"/>
      <c r="BP671" s="22"/>
      <c r="BQ671" s="22"/>
      <c r="BR671" s="24"/>
      <c r="BS671" s="5"/>
      <c r="BT671" s="5"/>
    </row>
    <row r="672" spans="1:72" s="33" customFormat="1">
      <c r="A672" s="5"/>
      <c r="B672" s="5"/>
      <c r="C672" s="5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20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22"/>
      <c r="BL672" s="23"/>
      <c r="BM672" s="22"/>
      <c r="BN672" s="22"/>
      <c r="BO672" s="22"/>
      <c r="BP672" s="22"/>
      <c r="BQ672" s="22"/>
      <c r="BR672" s="24"/>
      <c r="BS672" s="5"/>
      <c r="BT672" s="5"/>
    </row>
    <row r="673" spans="1:72" s="33" customFormat="1">
      <c r="A673" s="5"/>
      <c r="B673" s="5" t="s">
        <v>170</v>
      </c>
      <c r="C673" s="5"/>
      <c r="D673" s="16"/>
      <c r="E673" s="16"/>
      <c r="F673" s="16"/>
      <c r="G673" s="16"/>
      <c r="H673" s="16"/>
      <c r="I673" s="16"/>
      <c r="J673" s="16"/>
      <c r="K673" s="16"/>
      <c r="L673" s="16"/>
      <c r="M673" s="16"/>
      <c r="N673" s="16"/>
      <c r="O673" s="16"/>
      <c r="P673" s="16"/>
      <c r="Q673" s="16"/>
      <c r="R673" s="16"/>
      <c r="S673" s="16"/>
      <c r="T673" s="16"/>
      <c r="U673" s="16"/>
      <c r="V673" s="16"/>
      <c r="W673" s="16"/>
      <c r="X673" s="16"/>
      <c r="Y673" s="16"/>
      <c r="Z673" s="16"/>
      <c r="AA673" s="16"/>
      <c r="AB673" s="25"/>
      <c r="AC673" s="2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16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22"/>
      <c r="BL673" s="23"/>
      <c r="BM673" s="22"/>
      <c r="BN673" s="22"/>
      <c r="BO673" s="22"/>
      <c r="BP673" s="22"/>
      <c r="BQ673" s="22"/>
      <c r="BR673" s="24"/>
      <c r="BS673" s="5"/>
      <c r="BT673" s="5"/>
    </row>
    <row r="674" spans="1:72" s="33" customFormat="1">
      <c r="A674" s="5"/>
      <c r="B674" s="5" t="s">
        <v>199</v>
      </c>
      <c r="C674" s="5"/>
      <c r="D674" s="16" t="s">
        <v>289</v>
      </c>
      <c r="E674" s="16">
        <v>8648</v>
      </c>
      <c r="F674" s="16">
        <v>9363</v>
      </c>
      <c r="G674" s="16">
        <v>9058</v>
      </c>
      <c r="H674" s="16">
        <v>8406</v>
      </c>
      <c r="I674" s="16">
        <v>8861</v>
      </c>
      <c r="J674" s="16">
        <v>10089</v>
      </c>
      <c r="K674" s="16">
        <v>10333</v>
      </c>
      <c r="L674" s="16">
        <v>13114</v>
      </c>
      <c r="M674" s="16">
        <v>14650</v>
      </c>
      <c r="N674" s="16">
        <v>16791</v>
      </c>
      <c r="O674" s="16">
        <v>19656</v>
      </c>
      <c r="P674" s="16">
        <v>20793</v>
      </c>
      <c r="Q674" s="16">
        <v>22030</v>
      </c>
      <c r="R674" s="16">
        <v>22391</v>
      </c>
      <c r="S674" s="16" t="s">
        <v>289</v>
      </c>
      <c r="T674" s="16" t="s">
        <v>289</v>
      </c>
      <c r="U674" s="16" t="s">
        <v>289</v>
      </c>
      <c r="V674" s="16" t="s">
        <v>289</v>
      </c>
      <c r="W674" s="16"/>
      <c r="X674" s="16"/>
      <c r="Y674" s="16"/>
      <c r="Z674" s="16"/>
      <c r="AA674" s="16"/>
      <c r="AB674" s="25"/>
      <c r="AC674" s="2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16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22"/>
      <c r="BL674" s="23"/>
      <c r="BM674" s="22"/>
      <c r="BN674" s="22"/>
      <c r="BO674" s="22"/>
      <c r="BP674" s="22"/>
      <c r="BQ674" s="22"/>
      <c r="BR674" s="24"/>
      <c r="BS674" s="5"/>
      <c r="BT674" s="5"/>
    </row>
    <row r="675" spans="1:72" s="33" customFormat="1">
      <c r="A675" s="5"/>
      <c r="B675" s="5" t="s">
        <v>200</v>
      </c>
      <c r="C675" s="5"/>
      <c r="D675" s="16" t="s">
        <v>289</v>
      </c>
      <c r="E675" s="16" t="s">
        <v>289</v>
      </c>
      <c r="F675" s="16" t="s">
        <v>289</v>
      </c>
      <c r="G675" s="16" t="s">
        <v>289</v>
      </c>
      <c r="H675" s="16" t="s">
        <v>289</v>
      </c>
      <c r="I675" s="16" t="s">
        <v>289</v>
      </c>
      <c r="J675" s="16" t="s">
        <v>289</v>
      </c>
      <c r="K675" s="16" t="s">
        <v>289</v>
      </c>
      <c r="L675" s="16" t="s">
        <v>289</v>
      </c>
      <c r="M675" s="16" t="s">
        <v>289</v>
      </c>
      <c r="N675" s="16" t="s">
        <v>289</v>
      </c>
      <c r="O675" s="16" t="s">
        <v>289</v>
      </c>
      <c r="P675" s="16" t="s">
        <v>289</v>
      </c>
      <c r="Q675" s="16" t="s">
        <v>289</v>
      </c>
      <c r="R675" s="16" t="s">
        <v>289</v>
      </c>
      <c r="S675" s="16" t="s">
        <v>289</v>
      </c>
      <c r="T675" s="16" t="s">
        <v>289</v>
      </c>
      <c r="U675" s="16" t="s">
        <v>289</v>
      </c>
      <c r="V675" s="16" t="s">
        <v>289</v>
      </c>
      <c r="W675" s="16"/>
      <c r="X675" s="16"/>
      <c r="Y675" s="16"/>
      <c r="Z675" s="16"/>
      <c r="AA675" s="16"/>
      <c r="AB675" s="25"/>
      <c r="AC675" s="2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16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22"/>
      <c r="BL675" s="23"/>
      <c r="BM675" s="22"/>
      <c r="BN675" s="22"/>
      <c r="BO675" s="22"/>
      <c r="BP675" s="22"/>
      <c r="BQ675" s="22"/>
      <c r="BR675" s="24"/>
      <c r="BS675" s="5"/>
      <c r="BT675" s="5"/>
    </row>
    <row r="676" spans="1:72" s="33" customFormat="1">
      <c r="A676" s="5"/>
      <c r="B676" s="5" t="s">
        <v>175</v>
      </c>
      <c r="C676" s="5"/>
      <c r="D676" s="16"/>
      <c r="E676" s="16"/>
      <c r="F676" s="16"/>
      <c r="G676" s="16"/>
      <c r="H676" s="16"/>
      <c r="I676" s="16"/>
      <c r="J676" s="16"/>
      <c r="K676" s="16"/>
      <c r="L676" s="16"/>
      <c r="M676" s="16"/>
      <c r="N676" s="16"/>
      <c r="O676" s="16"/>
      <c r="P676" s="16"/>
      <c r="Q676" s="16"/>
      <c r="R676" s="16"/>
      <c r="S676" s="16"/>
      <c r="T676" s="16"/>
      <c r="U676" s="16"/>
      <c r="V676" s="16"/>
      <c r="W676" s="16"/>
      <c r="X676" s="16"/>
      <c r="Y676" s="16"/>
      <c r="Z676" s="16"/>
      <c r="AA676" s="16"/>
      <c r="AB676" s="25"/>
      <c r="AC676" s="2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16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22"/>
      <c r="BL676" s="23"/>
      <c r="BM676" s="22"/>
      <c r="BN676" s="22"/>
      <c r="BO676" s="22"/>
      <c r="BP676" s="22"/>
      <c r="BQ676" s="22"/>
      <c r="BR676" s="24"/>
      <c r="BS676" s="5"/>
      <c r="BT676" s="5"/>
    </row>
    <row r="677" spans="1:72" s="33" customFormat="1">
      <c r="A677" s="5"/>
      <c r="B677" s="5" t="s">
        <v>201</v>
      </c>
      <c r="C677" s="5"/>
      <c r="D677" s="16" t="s">
        <v>289</v>
      </c>
      <c r="E677" s="16" t="s">
        <v>289</v>
      </c>
      <c r="F677" s="16" t="s">
        <v>289</v>
      </c>
      <c r="G677" s="16" t="s">
        <v>289</v>
      </c>
      <c r="H677" s="16" t="s">
        <v>289</v>
      </c>
      <c r="I677" s="16" t="s">
        <v>289</v>
      </c>
      <c r="J677" s="16" t="s">
        <v>289</v>
      </c>
      <c r="K677" s="16" t="s">
        <v>289</v>
      </c>
      <c r="L677" s="16" t="s">
        <v>289</v>
      </c>
      <c r="M677" s="16" t="s">
        <v>289</v>
      </c>
      <c r="N677" s="16" t="s">
        <v>289</v>
      </c>
      <c r="O677" s="16" t="s">
        <v>289</v>
      </c>
      <c r="P677" s="16" t="s">
        <v>289</v>
      </c>
      <c r="Q677" s="16" t="s">
        <v>289</v>
      </c>
      <c r="R677" s="16" t="s">
        <v>289</v>
      </c>
      <c r="S677" s="16" t="s">
        <v>289</v>
      </c>
      <c r="T677" s="16" t="s">
        <v>289</v>
      </c>
      <c r="U677" s="16" t="s">
        <v>289</v>
      </c>
      <c r="V677" s="16" t="s">
        <v>289</v>
      </c>
      <c r="W677" s="16"/>
      <c r="X677" s="16"/>
      <c r="Y677" s="16"/>
      <c r="Z677" s="16"/>
      <c r="AA677" s="16"/>
      <c r="AB677" s="25"/>
      <c r="AC677" s="2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16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22"/>
      <c r="BL677" s="23"/>
      <c r="BM677" s="22"/>
      <c r="BN677" s="22"/>
      <c r="BO677" s="22"/>
      <c r="BP677" s="22"/>
      <c r="BQ677" s="22"/>
      <c r="BR677" s="24"/>
      <c r="BS677" s="5"/>
    </row>
    <row r="678" spans="1:72" s="33" customFormat="1">
      <c r="A678" s="5"/>
      <c r="B678" s="5" t="s">
        <v>202</v>
      </c>
      <c r="C678" s="5"/>
      <c r="D678" s="16" t="s">
        <v>289</v>
      </c>
      <c r="E678" s="16" t="s">
        <v>289</v>
      </c>
      <c r="F678" s="16" t="s">
        <v>289</v>
      </c>
      <c r="G678" s="16" t="s">
        <v>289</v>
      </c>
      <c r="H678" s="16" t="s">
        <v>289</v>
      </c>
      <c r="I678" s="16" t="s">
        <v>289</v>
      </c>
      <c r="J678" s="16" t="s">
        <v>289</v>
      </c>
      <c r="K678" s="16" t="s">
        <v>289</v>
      </c>
      <c r="L678" s="16" t="s">
        <v>289</v>
      </c>
      <c r="M678" s="16" t="s">
        <v>289</v>
      </c>
      <c r="N678" s="16" t="s">
        <v>289</v>
      </c>
      <c r="O678" s="16" t="s">
        <v>289</v>
      </c>
      <c r="P678" s="16" t="s">
        <v>289</v>
      </c>
      <c r="Q678" s="16" t="s">
        <v>289</v>
      </c>
      <c r="R678" s="16" t="s">
        <v>289</v>
      </c>
      <c r="S678" s="16">
        <v>4731</v>
      </c>
      <c r="T678" s="16">
        <v>5249</v>
      </c>
      <c r="U678" s="16">
        <v>5829</v>
      </c>
      <c r="V678" s="16" t="s">
        <v>289</v>
      </c>
      <c r="W678" s="16"/>
      <c r="X678" s="16"/>
      <c r="Y678" s="16"/>
      <c r="Z678" s="16"/>
      <c r="AA678" s="16"/>
      <c r="AB678" s="25"/>
      <c r="AC678" s="2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16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22"/>
      <c r="BL678" s="23"/>
      <c r="BM678" s="22"/>
      <c r="BN678" s="22"/>
      <c r="BO678" s="22"/>
      <c r="BP678" s="22"/>
      <c r="BQ678" s="22"/>
      <c r="BR678" s="24"/>
      <c r="BS678" s="5"/>
    </row>
    <row r="679" spans="1:72"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Z679" s="5"/>
      <c r="BK679" s="22"/>
      <c r="BL679" s="23"/>
      <c r="BM679" s="22"/>
      <c r="BN679" s="22"/>
      <c r="BO679" s="22"/>
      <c r="BP679" s="22"/>
      <c r="BQ679" s="22"/>
      <c r="BR679" s="24"/>
    </row>
    <row r="680" spans="1:72">
      <c r="B680" s="5" t="s">
        <v>1762</v>
      </c>
      <c r="C680" s="43" t="s">
        <v>361</v>
      </c>
      <c r="D680" s="16" t="s">
        <v>289</v>
      </c>
      <c r="E680" s="16" t="s">
        <v>289</v>
      </c>
      <c r="F680" s="16" t="s">
        <v>289</v>
      </c>
      <c r="G680" s="16" t="s">
        <v>289</v>
      </c>
      <c r="H680" s="16" t="s">
        <v>289</v>
      </c>
      <c r="I680" s="16" t="s">
        <v>289</v>
      </c>
      <c r="J680" s="16" t="s">
        <v>289</v>
      </c>
      <c r="K680" s="16" t="s">
        <v>289</v>
      </c>
      <c r="L680" s="16" t="s">
        <v>289</v>
      </c>
      <c r="M680" s="16" t="s">
        <v>289</v>
      </c>
      <c r="N680" s="16" t="s">
        <v>289</v>
      </c>
      <c r="O680" s="16" t="s">
        <v>289</v>
      </c>
      <c r="P680" s="16" t="s">
        <v>289</v>
      </c>
      <c r="Q680" s="20" t="s">
        <v>289</v>
      </c>
      <c r="R680" s="20" t="s">
        <v>289</v>
      </c>
      <c r="S680" s="20" t="s">
        <v>289</v>
      </c>
      <c r="T680" s="20" t="s">
        <v>289</v>
      </c>
      <c r="U680" s="20" t="s">
        <v>289</v>
      </c>
      <c r="V680" s="20" t="s">
        <v>289</v>
      </c>
      <c r="AD680" s="24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Z680" s="5"/>
    </row>
    <row r="681" spans="1:72"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Z681" s="5"/>
      <c r="BK681" s="22"/>
      <c r="BL681" s="23"/>
      <c r="BM681" s="22"/>
      <c r="BN681" s="22"/>
      <c r="BO681" s="22"/>
      <c r="BP681" s="22"/>
      <c r="BQ681" s="22"/>
      <c r="BR681" s="24"/>
    </row>
    <row r="682" spans="1:72">
      <c r="D682" s="5"/>
      <c r="E682" s="5"/>
      <c r="F682" s="5"/>
      <c r="G682" s="5"/>
      <c r="H682" s="5"/>
      <c r="I682" s="5"/>
      <c r="J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Z682" s="5"/>
      <c r="BK682" s="22"/>
      <c r="BL682" s="23"/>
      <c r="BM682" s="22"/>
      <c r="BN682" s="22"/>
      <c r="BO682" s="22"/>
      <c r="BP682" s="22"/>
      <c r="BQ682" s="22"/>
      <c r="BR682" s="24"/>
    </row>
    <row r="683" spans="1:72">
      <c r="D683" s="5"/>
      <c r="E683" s="5"/>
      <c r="F683" s="5"/>
      <c r="G683" s="5"/>
      <c r="H683" s="5"/>
      <c r="I683" s="5"/>
      <c r="J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Z683" s="5"/>
      <c r="BK683" s="22"/>
      <c r="BL683" s="23"/>
      <c r="BM683" s="22"/>
      <c r="BN683" s="22"/>
      <c r="BO683" s="22"/>
      <c r="BP683" s="22"/>
      <c r="BQ683" s="22"/>
      <c r="BR683" s="24"/>
    </row>
    <row r="684" spans="1:72">
      <c r="D684" s="5"/>
      <c r="E684" s="5"/>
      <c r="F684" s="5"/>
      <c r="G684" s="5"/>
      <c r="H684" s="5"/>
      <c r="I684" s="5"/>
      <c r="J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Z684" s="5"/>
      <c r="BK684" s="22"/>
      <c r="BL684" s="23"/>
      <c r="BM684" s="22"/>
      <c r="BN684" s="22"/>
      <c r="BO684" s="22"/>
      <c r="BP684" s="22"/>
      <c r="BQ684" s="22"/>
      <c r="BR684" s="24"/>
    </row>
    <row r="685" spans="1:72">
      <c r="D685" s="5"/>
      <c r="E685" s="5"/>
      <c r="F685" s="5"/>
      <c r="G685" s="5"/>
      <c r="H685" s="5"/>
      <c r="I685" s="5"/>
      <c r="J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Z685" s="5"/>
      <c r="BK685" s="22"/>
      <c r="BL685" s="23"/>
      <c r="BM685" s="22"/>
      <c r="BN685" s="22"/>
      <c r="BO685" s="22"/>
      <c r="BP685" s="22"/>
      <c r="BQ685" s="22"/>
      <c r="BR685" s="24"/>
    </row>
    <row r="686" spans="1:72">
      <c r="D686" s="5"/>
      <c r="E686" s="5"/>
      <c r="F686" s="5"/>
      <c r="G686" s="5"/>
      <c r="H686" s="5"/>
      <c r="I686" s="5"/>
      <c r="J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Z686" s="5"/>
      <c r="BK686" s="22"/>
      <c r="BL686" s="23"/>
      <c r="BM686" s="22"/>
      <c r="BN686" s="22"/>
      <c r="BO686" s="22"/>
      <c r="BP686" s="22"/>
      <c r="BQ686" s="22"/>
      <c r="BR686" s="24"/>
    </row>
    <row r="687" spans="1:72">
      <c r="D687" s="5"/>
      <c r="E687" s="5"/>
      <c r="F687" s="5"/>
      <c r="G687" s="5"/>
      <c r="H687" s="5"/>
      <c r="I687" s="5"/>
      <c r="J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Z687" s="5"/>
      <c r="BK687" s="22"/>
      <c r="BL687" s="23"/>
      <c r="BM687" s="22"/>
      <c r="BN687" s="22"/>
      <c r="BO687" s="22"/>
      <c r="BP687" s="22"/>
      <c r="BQ687" s="22"/>
      <c r="BR687" s="24"/>
    </row>
    <row r="688" spans="1:72">
      <c r="D688" s="5"/>
      <c r="E688" s="5"/>
      <c r="F688" s="5"/>
      <c r="G688" s="5"/>
      <c r="H688" s="5"/>
      <c r="I688" s="5"/>
      <c r="J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Z688" s="5"/>
      <c r="BK688" s="22"/>
      <c r="BL688" s="23"/>
      <c r="BM688" s="22"/>
      <c r="BN688" s="22"/>
      <c r="BO688" s="22"/>
      <c r="BP688" s="22"/>
      <c r="BQ688" s="22"/>
      <c r="BR688" s="24"/>
    </row>
    <row r="689" spans="4:70">
      <c r="D689" s="5"/>
      <c r="E689" s="5"/>
      <c r="F689" s="5"/>
      <c r="G689" s="5"/>
      <c r="H689" s="5"/>
      <c r="I689" s="5"/>
      <c r="J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Z689" s="5"/>
      <c r="BK689" s="22"/>
      <c r="BL689" s="23"/>
      <c r="BM689" s="22"/>
      <c r="BN689" s="22"/>
      <c r="BO689" s="22"/>
      <c r="BP689" s="22"/>
      <c r="BQ689" s="22"/>
      <c r="BR689" s="24"/>
    </row>
    <row r="690" spans="4:70">
      <c r="D690" s="5"/>
      <c r="E690" s="5"/>
      <c r="F690" s="5"/>
      <c r="G690" s="5"/>
      <c r="H690" s="5"/>
      <c r="I690" s="5"/>
      <c r="J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Z690" s="5"/>
      <c r="BK690" s="22"/>
      <c r="BL690" s="23"/>
      <c r="BM690" s="22"/>
      <c r="BN690" s="22"/>
      <c r="BO690" s="22"/>
      <c r="BP690" s="22"/>
      <c r="BQ690" s="22"/>
      <c r="BR690" s="24"/>
    </row>
    <row r="691" spans="4:70">
      <c r="D691" s="5"/>
      <c r="E691" s="5"/>
      <c r="F691" s="5"/>
      <c r="G691" s="5"/>
      <c r="H691" s="5"/>
      <c r="I691" s="5"/>
      <c r="J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Z691" s="5"/>
      <c r="BK691" s="22"/>
      <c r="BL691" s="23"/>
      <c r="BM691" s="22"/>
      <c r="BN691" s="22"/>
      <c r="BO691" s="22"/>
      <c r="BP691" s="22"/>
      <c r="BQ691" s="22"/>
      <c r="BR691" s="24"/>
    </row>
    <row r="692" spans="4:70">
      <c r="D692" s="5"/>
      <c r="E692" s="5"/>
      <c r="F692" s="5"/>
      <c r="G692" s="5"/>
      <c r="H692" s="5"/>
      <c r="I692" s="5"/>
      <c r="J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Z692" s="5"/>
      <c r="BK692" s="22"/>
      <c r="BL692" s="23"/>
      <c r="BM692" s="22"/>
      <c r="BN692" s="22"/>
      <c r="BO692" s="22"/>
      <c r="BP692" s="22"/>
      <c r="BQ692" s="22"/>
      <c r="BR692" s="24"/>
    </row>
    <row r="693" spans="4:70">
      <c r="D693" s="5"/>
      <c r="E693" s="5"/>
      <c r="F693" s="5"/>
      <c r="G693" s="5"/>
      <c r="H693" s="5"/>
      <c r="I693" s="5"/>
      <c r="J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Z693" s="5"/>
      <c r="BK693" s="22"/>
      <c r="BL693" s="23"/>
      <c r="BM693" s="22"/>
      <c r="BN693" s="22"/>
      <c r="BO693" s="22"/>
      <c r="BP693" s="22"/>
      <c r="BQ693" s="22"/>
      <c r="BR693" s="24"/>
    </row>
    <row r="694" spans="4:70">
      <c r="D694" s="5"/>
      <c r="E694" s="5"/>
      <c r="F694" s="5"/>
      <c r="G694" s="5"/>
      <c r="H694" s="5"/>
      <c r="I694" s="5"/>
      <c r="J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Z694" s="5"/>
      <c r="BK694" s="22"/>
      <c r="BL694" s="23"/>
      <c r="BM694" s="22"/>
      <c r="BN694" s="22"/>
      <c r="BO694" s="22"/>
      <c r="BP694" s="22"/>
      <c r="BQ694" s="22"/>
      <c r="BR694" s="24"/>
    </row>
    <row r="695" spans="4:70">
      <c r="D695" s="5"/>
      <c r="E695" s="5"/>
      <c r="F695" s="5"/>
      <c r="G695" s="5"/>
      <c r="H695" s="5"/>
      <c r="I695" s="5"/>
      <c r="J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Z695" s="5"/>
      <c r="BK695" s="22"/>
      <c r="BL695" s="23"/>
      <c r="BM695" s="22"/>
      <c r="BN695" s="22"/>
      <c r="BO695" s="22"/>
      <c r="BP695" s="22"/>
      <c r="BQ695" s="22"/>
      <c r="BR695" s="24"/>
    </row>
    <row r="696" spans="4:70">
      <c r="D696" s="5"/>
      <c r="E696" s="5"/>
      <c r="F696" s="5"/>
      <c r="G696" s="5"/>
      <c r="H696" s="5"/>
      <c r="I696" s="5"/>
      <c r="J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Z696" s="5"/>
      <c r="BK696" s="22"/>
      <c r="BL696" s="23"/>
      <c r="BM696" s="22"/>
      <c r="BN696" s="22"/>
      <c r="BO696" s="22"/>
      <c r="BP696" s="22"/>
      <c r="BQ696" s="22"/>
      <c r="BR696" s="24"/>
    </row>
    <row r="697" spans="4:70">
      <c r="D697" s="5"/>
      <c r="E697" s="5"/>
      <c r="F697" s="5"/>
      <c r="G697" s="5"/>
      <c r="H697" s="5"/>
      <c r="I697" s="5"/>
      <c r="J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Z697" s="5"/>
      <c r="BK697" s="22"/>
      <c r="BL697" s="23"/>
      <c r="BM697" s="22"/>
      <c r="BN697" s="22"/>
      <c r="BO697" s="22"/>
      <c r="BP697" s="22"/>
      <c r="BQ697" s="22"/>
      <c r="BR697" s="24"/>
    </row>
    <row r="698" spans="4:70">
      <c r="D698" s="5"/>
      <c r="E698" s="5"/>
      <c r="F698" s="5"/>
      <c r="G698" s="5"/>
      <c r="H698" s="5"/>
      <c r="I698" s="5"/>
      <c r="J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Z698" s="5"/>
      <c r="BK698" s="22"/>
      <c r="BL698" s="23"/>
      <c r="BM698" s="22"/>
      <c r="BN698" s="22"/>
      <c r="BO698" s="22"/>
      <c r="BP698" s="22"/>
      <c r="BQ698" s="22"/>
      <c r="BR698" s="24"/>
    </row>
    <row r="699" spans="4:70">
      <c r="D699" s="5"/>
      <c r="E699" s="5"/>
      <c r="F699" s="5"/>
      <c r="G699" s="5"/>
      <c r="H699" s="5"/>
      <c r="I699" s="5"/>
      <c r="J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Z699" s="5"/>
      <c r="BK699" s="22"/>
      <c r="BL699" s="23"/>
      <c r="BM699" s="22"/>
      <c r="BN699" s="22"/>
      <c r="BO699" s="22"/>
      <c r="BP699" s="22"/>
      <c r="BQ699" s="22"/>
      <c r="BR699" s="24"/>
    </row>
    <row r="700" spans="4:70">
      <c r="D700" s="5"/>
      <c r="E700" s="5"/>
      <c r="F700" s="5"/>
      <c r="G700" s="5"/>
      <c r="H700" s="5"/>
      <c r="I700" s="5"/>
      <c r="J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Z700" s="5"/>
      <c r="BK700" s="22"/>
      <c r="BL700" s="23"/>
      <c r="BM700" s="22"/>
      <c r="BN700" s="22"/>
      <c r="BO700" s="22"/>
      <c r="BP700" s="22"/>
      <c r="BQ700" s="22"/>
      <c r="BR700" s="24"/>
    </row>
    <row r="701" spans="4:70">
      <c r="D701" s="5"/>
      <c r="E701" s="5"/>
      <c r="F701" s="5"/>
      <c r="G701" s="5"/>
      <c r="H701" s="5"/>
      <c r="I701" s="5"/>
      <c r="J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Z701" s="5"/>
      <c r="BK701" s="22"/>
      <c r="BL701" s="23"/>
      <c r="BM701" s="22"/>
      <c r="BN701" s="22"/>
      <c r="BO701" s="22"/>
      <c r="BP701" s="22"/>
      <c r="BQ701" s="22"/>
      <c r="BR701" s="24"/>
    </row>
    <row r="702" spans="4:70">
      <c r="D702" s="5"/>
      <c r="E702" s="5"/>
      <c r="F702" s="5"/>
      <c r="G702" s="5"/>
      <c r="H702" s="5"/>
      <c r="I702" s="5"/>
      <c r="J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Z702" s="5"/>
      <c r="BK702" s="22"/>
      <c r="BL702" s="23"/>
      <c r="BM702" s="22"/>
      <c r="BN702" s="22"/>
      <c r="BO702" s="22"/>
      <c r="BP702" s="22"/>
      <c r="BQ702" s="22"/>
      <c r="BR702" s="24"/>
    </row>
    <row r="703" spans="4:70">
      <c r="D703" s="5"/>
      <c r="E703" s="5"/>
      <c r="F703" s="5"/>
      <c r="G703" s="5"/>
      <c r="H703" s="5"/>
      <c r="I703" s="5"/>
      <c r="J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Z703" s="5"/>
      <c r="BK703" s="22"/>
      <c r="BL703" s="23"/>
      <c r="BM703" s="22"/>
      <c r="BN703" s="22"/>
      <c r="BO703" s="22"/>
      <c r="BP703" s="22"/>
      <c r="BQ703" s="22"/>
      <c r="BR703" s="24"/>
    </row>
    <row r="704" spans="4:70">
      <c r="D704" s="5"/>
      <c r="E704" s="5"/>
      <c r="F704" s="5"/>
      <c r="G704" s="5"/>
      <c r="H704" s="5"/>
      <c r="I704" s="5"/>
      <c r="J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Z704" s="5"/>
      <c r="BK704" s="22"/>
      <c r="BL704" s="23"/>
      <c r="BM704" s="22"/>
      <c r="BN704" s="22"/>
      <c r="BO704" s="22"/>
      <c r="BP704" s="22"/>
      <c r="BQ704" s="22"/>
      <c r="BR704" s="24"/>
    </row>
    <row r="705" spans="4:70">
      <c r="D705" s="5"/>
      <c r="E705" s="5"/>
      <c r="F705" s="5"/>
      <c r="G705" s="5"/>
      <c r="H705" s="5"/>
      <c r="I705" s="5"/>
      <c r="J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Z705" s="5"/>
      <c r="BK705" s="22"/>
      <c r="BL705" s="23"/>
      <c r="BM705" s="22"/>
      <c r="BN705" s="22"/>
      <c r="BO705" s="22"/>
      <c r="BP705" s="22"/>
      <c r="BQ705" s="22"/>
      <c r="BR705" s="24"/>
    </row>
    <row r="706" spans="4:70">
      <c r="D706" s="5"/>
      <c r="E706" s="5"/>
      <c r="F706" s="5"/>
      <c r="G706" s="5"/>
      <c r="H706" s="5"/>
      <c r="I706" s="5"/>
      <c r="J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Z706" s="5"/>
      <c r="BK706" s="22"/>
      <c r="BL706" s="23"/>
      <c r="BM706" s="22"/>
      <c r="BN706" s="22"/>
      <c r="BO706" s="22"/>
      <c r="BP706" s="22"/>
      <c r="BQ706" s="22"/>
      <c r="BR706" s="24"/>
    </row>
    <row r="707" spans="4:70">
      <c r="D707" s="5"/>
      <c r="E707" s="5"/>
      <c r="F707" s="5"/>
      <c r="G707" s="5"/>
      <c r="H707" s="5"/>
      <c r="I707" s="5"/>
      <c r="J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Z707" s="5"/>
      <c r="BK707" s="22"/>
      <c r="BL707" s="23"/>
      <c r="BM707" s="22"/>
      <c r="BN707" s="22"/>
      <c r="BO707" s="22"/>
      <c r="BP707" s="22"/>
      <c r="BQ707" s="22"/>
      <c r="BR707" s="24"/>
    </row>
    <row r="708" spans="4:70">
      <c r="D708" s="5"/>
      <c r="E708" s="5"/>
      <c r="F708" s="5"/>
      <c r="G708" s="5"/>
      <c r="H708" s="5"/>
      <c r="I708" s="5"/>
      <c r="J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Z708" s="5"/>
      <c r="BK708" s="22"/>
      <c r="BL708" s="23"/>
      <c r="BM708" s="22"/>
      <c r="BN708" s="22"/>
      <c r="BO708" s="22"/>
      <c r="BP708" s="22"/>
      <c r="BQ708" s="22"/>
      <c r="BR708" s="24"/>
    </row>
    <row r="709" spans="4:70">
      <c r="D709" s="5"/>
      <c r="E709" s="5"/>
      <c r="F709" s="5"/>
      <c r="G709" s="5"/>
      <c r="H709" s="5"/>
      <c r="I709" s="5"/>
      <c r="J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Z709" s="5"/>
      <c r="BK709" s="22"/>
      <c r="BL709" s="23"/>
      <c r="BM709" s="22"/>
      <c r="BN709" s="22"/>
      <c r="BO709" s="22"/>
      <c r="BP709" s="22"/>
      <c r="BQ709" s="22"/>
      <c r="BR709" s="24"/>
    </row>
    <row r="710" spans="4:70">
      <c r="D710" s="5"/>
      <c r="E710" s="5"/>
      <c r="F710" s="5"/>
      <c r="G710" s="5"/>
      <c r="H710" s="5"/>
      <c r="I710" s="5"/>
      <c r="J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Z710" s="5"/>
      <c r="BK710" s="22"/>
      <c r="BL710" s="23"/>
      <c r="BM710" s="22"/>
      <c r="BN710" s="22"/>
      <c r="BO710" s="22"/>
      <c r="BP710" s="22"/>
      <c r="BQ710" s="22"/>
      <c r="BR710" s="24"/>
    </row>
    <row r="711" spans="4:70">
      <c r="D711" s="5"/>
      <c r="E711" s="5"/>
      <c r="F711" s="5"/>
      <c r="G711" s="5"/>
      <c r="H711" s="5"/>
      <c r="I711" s="5"/>
      <c r="J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Z711" s="5"/>
      <c r="BK711" s="22"/>
      <c r="BL711" s="23"/>
      <c r="BM711" s="22"/>
      <c r="BN711" s="22"/>
      <c r="BO711" s="22"/>
      <c r="BP711" s="22"/>
      <c r="BQ711" s="22"/>
      <c r="BR711" s="24"/>
    </row>
    <row r="712" spans="4:70">
      <c r="D712" s="5"/>
      <c r="E712" s="5"/>
      <c r="F712" s="5"/>
      <c r="G712" s="5"/>
      <c r="H712" s="5"/>
      <c r="I712" s="5"/>
      <c r="J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Z712" s="5"/>
      <c r="BK712" s="22"/>
      <c r="BL712" s="23"/>
      <c r="BM712" s="22"/>
      <c r="BN712" s="22"/>
      <c r="BO712" s="22"/>
      <c r="BP712" s="22"/>
      <c r="BQ712" s="22"/>
      <c r="BR712" s="24"/>
    </row>
    <row r="713" spans="4:70">
      <c r="D713" s="5"/>
      <c r="E713" s="5"/>
      <c r="F713" s="5"/>
      <c r="G713" s="5"/>
      <c r="H713" s="5"/>
      <c r="I713" s="5"/>
      <c r="J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Z713" s="5"/>
      <c r="BK713" s="22"/>
      <c r="BL713" s="23"/>
      <c r="BM713" s="22"/>
      <c r="BN713" s="22"/>
      <c r="BO713" s="22"/>
      <c r="BP713" s="22"/>
      <c r="BQ713" s="22"/>
      <c r="BR713" s="24"/>
    </row>
    <row r="714" spans="4:70">
      <c r="D714" s="5"/>
      <c r="E714" s="5"/>
      <c r="F714" s="5"/>
      <c r="G714" s="5"/>
      <c r="H714" s="5"/>
      <c r="I714" s="5"/>
      <c r="J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Z714" s="5"/>
      <c r="BK714" s="22"/>
      <c r="BL714" s="23"/>
      <c r="BM714" s="22"/>
      <c r="BN714" s="22"/>
      <c r="BO714" s="22"/>
      <c r="BP714" s="22"/>
      <c r="BQ714" s="22"/>
      <c r="BR714" s="24"/>
    </row>
    <row r="715" spans="4:70">
      <c r="D715" s="5"/>
      <c r="E715" s="5"/>
      <c r="F715" s="5"/>
      <c r="G715" s="5"/>
      <c r="H715" s="5"/>
      <c r="I715" s="5"/>
      <c r="J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Z715" s="5"/>
      <c r="BK715" s="22"/>
      <c r="BL715" s="23"/>
      <c r="BM715" s="22"/>
      <c r="BN715" s="22"/>
      <c r="BO715" s="22"/>
      <c r="BP715" s="22"/>
      <c r="BQ715" s="22"/>
      <c r="BR715" s="24"/>
    </row>
    <row r="716" spans="4:70">
      <c r="D716" s="5"/>
      <c r="E716" s="5"/>
      <c r="F716" s="5"/>
      <c r="G716" s="5"/>
      <c r="H716" s="5"/>
      <c r="I716" s="5"/>
      <c r="J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Z716" s="5"/>
      <c r="BK716" s="22"/>
      <c r="BL716" s="23"/>
      <c r="BM716" s="22"/>
      <c r="BN716" s="22"/>
      <c r="BO716" s="22"/>
      <c r="BP716" s="22"/>
      <c r="BQ716" s="22"/>
      <c r="BR716" s="24"/>
    </row>
    <row r="717" spans="4:70">
      <c r="D717" s="5"/>
      <c r="E717" s="5"/>
      <c r="F717" s="5"/>
      <c r="G717" s="5"/>
      <c r="H717" s="5"/>
      <c r="I717" s="5"/>
      <c r="J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Z717" s="5"/>
      <c r="BK717" s="22"/>
      <c r="BL717" s="23"/>
      <c r="BM717" s="22"/>
      <c r="BN717" s="22"/>
      <c r="BO717" s="22"/>
      <c r="BP717" s="22"/>
      <c r="BQ717" s="22"/>
      <c r="BR717" s="24"/>
    </row>
    <row r="718" spans="4:70">
      <c r="D718" s="5"/>
      <c r="E718" s="5"/>
      <c r="F718" s="5"/>
      <c r="G718" s="5"/>
      <c r="H718" s="5"/>
      <c r="I718" s="5"/>
      <c r="J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Z718" s="5"/>
      <c r="BK718" s="22"/>
      <c r="BL718" s="23"/>
      <c r="BM718" s="22"/>
      <c r="BN718" s="22"/>
      <c r="BO718" s="22"/>
      <c r="BP718" s="22"/>
      <c r="BQ718" s="22"/>
      <c r="BR718" s="24"/>
    </row>
    <row r="719" spans="4:70">
      <c r="D719" s="5"/>
      <c r="E719" s="5"/>
      <c r="F719" s="5"/>
      <c r="G719" s="5"/>
      <c r="H719" s="5"/>
      <c r="I719" s="5"/>
      <c r="J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Z719" s="5"/>
      <c r="BK719" s="22"/>
      <c r="BL719" s="23"/>
      <c r="BM719" s="22"/>
      <c r="BN719" s="22"/>
      <c r="BO719" s="22"/>
      <c r="BP719" s="22"/>
      <c r="BQ719" s="22"/>
      <c r="BR719" s="24"/>
    </row>
    <row r="720" spans="4:70">
      <c r="D720" s="5"/>
      <c r="E720" s="5"/>
      <c r="F720" s="5"/>
      <c r="G720" s="5"/>
      <c r="H720" s="5"/>
      <c r="I720" s="5"/>
      <c r="J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Z720" s="5"/>
      <c r="BK720" s="22"/>
      <c r="BL720" s="23"/>
      <c r="BM720" s="22"/>
      <c r="BN720" s="22"/>
      <c r="BO720" s="22"/>
      <c r="BP720" s="22"/>
      <c r="BQ720" s="22"/>
      <c r="BR720" s="24"/>
    </row>
    <row r="721" spans="4:70">
      <c r="D721" s="5"/>
      <c r="E721" s="5"/>
      <c r="F721" s="5"/>
      <c r="G721" s="5"/>
      <c r="H721" s="5"/>
      <c r="I721" s="5"/>
      <c r="J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Z721" s="5"/>
      <c r="BK721" s="22"/>
      <c r="BL721" s="23"/>
      <c r="BM721" s="22"/>
      <c r="BN721" s="22"/>
      <c r="BO721" s="22"/>
      <c r="BP721" s="22"/>
      <c r="BQ721" s="22"/>
      <c r="BR721" s="24"/>
    </row>
    <row r="722" spans="4:70">
      <c r="D722" s="5"/>
      <c r="E722" s="5"/>
      <c r="F722" s="5"/>
      <c r="G722" s="5"/>
      <c r="H722" s="5"/>
      <c r="I722" s="5"/>
      <c r="J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Z722" s="5"/>
      <c r="BK722" s="22"/>
      <c r="BL722" s="23"/>
      <c r="BM722" s="22"/>
      <c r="BN722" s="22"/>
      <c r="BO722" s="22"/>
      <c r="BP722" s="22"/>
      <c r="BQ722" s="22"/>
      <c r="BR722" s="24"/>
    </row>
    <row r="723" spans="4:70">
      <c r="D723" s="5"/>
      <c r="E723" s="5"/>
      <c r="F723" s="5"/>
      <c r="G723" s="5"/>
      <c r="H723" s="5"/>
      <c r="I723" s="5"/>
      <c r="J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Z723" s="5"/>
      <c r="BK723" s="22"/>
      <c r="BL723" s="23"/>
      <c r="BM723" s="22"/>
      <c r="BN723" s="22"/>
      <c r="BO723" s="22"/>
      <c r="BP723" s="22"/>
      <c r="BQ723" s="22"/>
      <c r="BR723" s="24"/>
    </row>
    <row r="724" spans="4:70">
      <c r="D724" s="5"/>
      <c r="E724" s="5"/>
      <c r="F724" s="5"/>
      <c r="G724" s="5"/>
      <c r="H724" s="5"/>
      <c r="I724" s="5"/>
      <c r="J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Z724" s="5"/>
      <c r="BK724" s="22"/>
      <c r="BL724" s="23"/>
      <c r="BM724" s="22"/>
      <c r="BN724" s="22"/>
      <c r="BO724" s="22"/>
      <c r="BP724" s="22"/>
      <c r="BQ724" s="22"/>
      <c r="BR724" s="24"/>
    </row>
    <row r="725" spans="4:70">
      <c r="D725" s="5"/>
      <c r="E725" s="5"/>
      <c r="F725" s="5"/>
      <c r="G725" s="5"/>
      <c r="H725" s="5"/>
      <c r="I725" s="5"/>
      <c r="J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Z725" s="5"/>
      <c r="BK725" s="22"/>
      <c r="BL725" s="23"/>
      <c r="BM725" s="22"/>
      <c r="BN725" s="22"/>
      <c r="BO725" s="22"/>
      <c r="BP725" s="22"/>
      <c r="BQ725" s="22"/>
      <c r="BR725" s="24"/>
    </row>
    <row r="726" spans="4:70">
      <c r="D726" s="5"/>
      <c r="E726" s="5"/>
      <c r="F726" s="5"/>
      <c r="G726" s="5"/>
      <c r="H726" s="5"/>
      <c r="I726" s="5"/>
      <c r="J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Z726" s="5"/>
      <c r="BK726" s="22"/>
      <c r="BL726" s="23"/>
      <c r="BM726" s="22"/>
      <c r="BN726" s="22"/>
      <c r="BO726" s="22"/>
      <c r="BP726" s="22"/>
      <c r="BQ726" s="22"/>
      <c r="BR726" s="24"/>
    </row>
    <row r="727" spans="4:70">
      <c r="D727" s="5"/>
      <c r="E727" s="5"/>
      <c r="F727" s="5"/>
      <c r="G727" s="5"/>
      <c r="H727" s="5"/>
      <c r="I727" s="5"/>
      <c r="J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Z727" s="5"/>
      <c r="BK727" s="22"/>
      <c r="BL727" s="23"/>
      <c r="BM727" s="22"/>
      <c r="BN727" s="22"/>
      <c r="BO727" s="22"/>
      <c r="BP727" s="22"/>
      <c r="BQ727" s="22"/>
      <c r="BR727" s="24"/>
    </row>
    <row r="728" spans="4:70">
      <c r="D728" s="5"/>
      <c r="E728" s="5"/>
      <c r="F728" s="5"/>
      <c r="G728" s="5"/>
      <c r="H728" s="5"/>
      <c r="I728" s="5"/>
      <c r="J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Z728" s="5"/>
      <c r="BK728" s="22"/>
      <c r="BL728" s="23"/>
      <c r="BM728" s="22"/>
      <c r="BN728" s="22"/>
      <c r="BO728" s="22"/>
      <c r="BP728" s="22"/>
      <c r="BQ728" s="22"/>
      <c r="BR728" s="24"/>
    </row>
    <row r="729" spans="4:70">
      <c r="D729" s="5"/>
      <c r="E729" s="5"/>
      <c r="F729" s="5"/>
      <c r="G729" s="5"/>
      <c r="H729" s="5"/>
      <c r="I729" s="5"/>
      <c r="J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Z729" s="5"/>
      <c r="BK729" s="22"/>
      <c r="BL729" s="23"/>
      <c r="BM729" s="22"/>
      <c r="BN729" s="22"/>
      <c r="BO729" s="22"/>
      <c r="BP729" s="22"/>
      <c r="BQ729" s="22"/>
      <c r="BR729" s="24"/>
    </row>
    <row r="730" spans="4:70">
      <c r="D730" s="5"/>
      <c r="E730" s="5"/>
      <c r="F730" s="5"/>
      <c r="G730" s="5"/>
      <c r="H730" s="5"/>
      <c r="I730" s="5"/>
      <c r="J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Z730" s="5"/>
      <c r="BK730" s="22"/>
      <c r="BL730" s="23"/>
      <c r="BM730" s="22"/>
      <c r="BN730" s="22"/>
      <c r="BO730" s="22"/>
      <c r="BP730" s="22"/>
      <c r="BQ730" s="22"/>
      <c r="BR730" s="24"/>
    </row>
    <row r="731" spans="4:70">
      <c r="D731" s="5"/>
      <c r="E731" s="5"/>
      <c r="F731" s="5"/>
      <c r="G731" s="5"/>
      <c r="H731" s="5"/>
      <c r="I731" s="5"/>
      <c r="J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Z731" s="5"/>
      <c r="BK731" s="22"/>
      <c r="BL731" s="23"/>
      <c r="BM731" s="22"/>
      <c r="BN731" s="22"/>
      <c r="BO731" s="22"/>
      <c r="BP731" s="22"/>
      <c r="BQ731" s="22"/>
      <c r="BR731" s="24"/>
    </row>
    <row r="732" spans="4:70">
      <c r="D732" s="5"/>
      <c r="E732" s="5"/>
      <c r="F732" s="5"/>
      <c r="G732" s="5"/>
      <c r="H732" s="5"/>
      <c r="I732" s="5"/>
      <c r="J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Z732" s="5"/>
      <c r="BK732" s="22"/>
      <c r="BL732" s="23"/>
      <c r="BM732" s="22"/>
      <c r="BN732" s="22"/>
      <c r="BO732" s="22"/>
      <c r="BP732" s="22"/>
      <c r="BQ732" s="22"/>
      <c r="BR732" s="24"/>
    </row>
    <row r="733" spans="4:70">
      <c r="D733" s="5"/>
      <c r="E733" s="5"/>
      <c r="F733" s="5"/>
      <c r="G733" s="5"/>
      <c r="H733" s="5"/>
      <c r="I733" s="5"/>
      <c r="J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Z733" s="5"/>
      <c r="BK733" s="22"/>
      <c r="BL733" s="23"/>
      <c r="BM733" s="22"/>
      <c r="BN733" s="22"/>
      <c r="BO733" s="22"/>
      <c r="BP733" s="22"/>
      <c r="BQ733" s="22"/>
      <c r="BR733" s="24"/>
    </row>
    <row r="734" spans="4:70">
      <c r="D734" s="5"/>
      <c r="E734" s="5"/>
      <c r="F734" s="5"/>
      <c r="G734" s="5"/>
      <c r="H734" s="5"/>
      <c r="I734" s="5"/>
      <c r="J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Z734" s="5"/>
      <c r="BK734" s="22"/>
      <c r="BL734" s="23"/>
      <c r="BM734" s="22"/>
      <c r="BN734" s="22"/>
      <c r="BO734" s="22"/>
      <c r="BP734" s="22"/>
      <c r="BQ734" s="22"/>
      <c r="BR734" s="24"/>
    </row>
    <row r="735" spans="4:70">
      <c r="D735" s="5"/>
      <c r="E735" s="5"/>
      <c r="F735" s="5"/>
      <c r="G735" s="5"/>
      <c r="H735" s="5"/>
      <c r="I735" s="5"/>
      <c r="J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Z735" s="5"/>
      <c r="BK735" s="22"/>
      <c r="BL735" s="23"/>
      <c r="BM735" s="22"/>
      <c r="BN735" s="22"/>
      <c r="BO735" s="22"/>
      <c r="BP735" s="22"/>
      <c r="BQ735" s="22"/>
      <c r="BR735" s="24"/>
    </row>
    <row r="736" spans="4:70">
      <c r="D736" s="5"/>
      <c r="E736" s="5"/>
      <c r="F736" s="5"/>
      <c r="G736" s="5"/>
      <c r="H736" s="5"/>
      <c r="I736" s="5"/>
      <c r="J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Z736" s="5"/>
      <c r="BK736" s="22"/>
      <c r="BL736" s="23"/>
      <c r="BM736" s="22"/>
      <c r="BN736" s="22"/>
      <c r="BO736" s="22"/>
      <c r="BP736" s="22"/>
      <c r="BQ736" s="22"/>
      <c r="BR736" s="24"/>
    </row>
    <row r="737" spans="4:70">
      <c r="D737" s="5"/>
      <c r="E737" s="5"/>
      <c r="F737" s="5"/>
      <c r="G737" s="5"/>
      <c r="H737" s="5"/>
      <c r="I737" s="5"/>
      <c r="J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Z737" s="5"/>
      <c r="BK737" s="22"/>
      <c r="BL737" s="23"/>
      <c r="BM737" s="22"/>
      <c r="BN737" s="22"/>
      <c r="BO737" s="22"/>
      <c r="BP737" s="22"/>
      <c r="BQ737" s="22"/>
      <c r="BR737" s="24"/>
    </row>
    <row r="738" spans="4:70">
      <c r="D738" s="5"/>
      <c r="E738" s="5"/>
      <c r="F738" s="5"/>
      <c r="G738" s="5"/>
      <c r="H738" s="5"/>
      <c r="I738" s="5"/>
      <c r="J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Z738" s="5"/>
      <c r="BK738" s="22"/>
      <c r="BL738" s="23"/>
      <c r="BM738" s="22"/>
      <c r="BN738" s="22"/>
      <c r="BO738" s="22"/>
      <c r="BP738" s="22"/>
      <c r="BQ738" s="22"/>
      <c r="BR738" s="24"/>
    </row>
    <row r="739" spans="4:70">
      <c r="D739" s="5"/>
      <c r="E739" s="5"/>
      <c r="F739" s="5"/>
      <c r="G739" s="5"/>
      <c r="H739" s="5"/>
      <c r="I739" s="5"/>
      <c r="J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Z739" s="5"/>
      <c r="BK739" s="22"/>
      <c r="BL739" s="23"/>
      <c r="BM739" s="22"/>
      <c r="BN739" s="22"/>
      <c r="BO739" s="22"/>
      <c r="BP739" s="22"/>
      <c r="BQ739" s="22"/>
      <c r="BR739" s="24"/>
    </row>
    <row r="740" spans="4:70">
      <c r="D740" s="5"/>
      <c r="E740" s="5"/>
      <c r="F740" s="5"/>
      <c r="G740" s="5"/>
      <c r="H740" s="5"/>
      <c r="I740" s="5"/>
      <c r="J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Z740" s="5"/>
      <c r="BK740" s="22"/>
      <c r="BL740" s="23"/>
      <c r="BM740" s="22"/>
      <c r="BN740" s="22"/>
      <c r="BO740" s="22"/>
      <c r="BP740" s="22"/>
      <c r="BQ740" s="22"/>
      <c r="BR740" s="24"/>
    </row>
    <row r="741" spans="4:70">
      <c r="D741" s="5"/>
      <c r="E741" s="5"/>
      <c r="F741" s="5"/>
      <c r="G741" s="5"/>
      <c r="H741" s="5"/>
      <c r="I741" s="5"/>
      <c r="J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Z741" s="5"/>
      <c r="BK741" s="22"/>
      <c r="BL741" s="23"/>
      <c r="BM741" s="22"/>
      <c r="BN741" s="22"/>
      <c r="BO741" s="22"/>
      <c r="BP741" s="22"/>
      <c r="BQ741" s="22"/>
      <c r="BR741" s="24"/>
    </row>
    <row r="742" spans="4:70">
      <c r="D742" s="5"/>
      <c r="E742" s="5"/>
      <c r="F742" s="5"/>
      <c r="G742" s="5"/>
      <c r="H742" s="5"/>
      <c r="I742" s="5"/>
      <c r="J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Z742" s="5"/>
      <c r="BK742" s="22"/>
      <c r="BL742" s="23"/>
      <c r="BM742" s="22"/>
      <c r="BN742" s="22"/>
      <c r="BO742" s="22"/>
      <c r="BP742" s="22"/>
      <c r="BQ742" s="22"/>
      <c r="BR742" s="24"/>
    </row>
    <row r="743" spans="4:70">
      <c r="D743" s="5"/>
      <c r="E743" s="5"/>
      <c r="F743" s="5"/>
      <c r="G743" s="5"/>
      <c r="H743" s="5"/>
      <c r="I743" s="5"/>
      <c r="J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Z743" s="5"/>
      <c r="BK743" s="22"/>
      <c r="BL743" s="23"/>
      <c r="BM743" s="22"/>
      <c r="BN743" s="22"/>
      <c r="BO743" s="22"/>
      <c r="BP743" s="22"/>
      <c r="BQ743" s="22"/>
      <c r="BR743" s="24"/>
    </row>
    <row r="744" spans="4:70">
      <c r="D744" s="5"/>
      <c r="E744" s="5"/>
      <c r="F744" s="5"/>
      <c r="G744" s="5"/>
      <c r="H744" s="5"/>
      <c r="I744" s="5"/>
      <c r="J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Z744" s="5"/>
      <c r="BK744" s="22"/>
      <c r="BL744" s="23"/>
      <c r="BM744" s="22"/>
      <c r="BN744" s="22"/>
      <c r="BO744" s="22"/>
      <c r="BP744" s="22"/>
      <c r="BQ744" s="22"/>
      <c r="BR744" s="24"/>
    </row>
    <row r="745" spans="4:70">
      <c r="D745" s="5"/>
      <c r="E745" s="5"/>
      <c r="F745" s="5"/>
      <c r="G745" s="5"/>
      <c r="H745" s="5"/>
      <c r="I745" s="5"/>
      <c r="J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Z745" s="5"/>
      <c r="BK745" s="22"/>
      <c r="BL745" s="23"/>
      <c r="BM745" s="22"/>
      <c r="BN745" s="22"/>
      <c r="BO745" s="22"/>
      <c r="BP745" s="22"/>
      <c r="BQ745" s="22"/>
      <c r="BR745" s="24"/>
    </row>
    <row r="746" spans="4:70">
      <c r="D746" s="5"/>
      <c r="E746" s="5"/>
      <c r="F746" s="5"/>
      <c r="G746" s="5"/>
      <c r="H746" s="5"/>
      <c r="I746" s="5"/>
      <c r="J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Z746" s="5"/>
      <c r="BK746" s="22"/>
      <c r="BL746" s="23"/>
      <c r="BM746" s="22"/>
      <c r="BN746" s="22"/>
      <c r="BO746" s="22"/>
      <c r="BP746" s="22"/>
      <c r="BQ746" s="22"/>
      <c r="BR746" s="24"/>
    </row>
    <row r="747" spans="4:70">
      <c r="D747" s="5"/>
      <c r="E747" s="5"/>
      <c r="F747" s="5"/>
      <c r="G747" s="5"/>
      <c r="H747" s="5"/>
      <c r="I747" s="5"/>
      <c r="J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Z747" s="5"/>
      <c r="BK747" s="22"/>
      <c r="BL747" s="23"/>
      <c r="BM747" s="22"/>
      <c r="BN747" s="22"/>
      <c r="BO747" s="22"/>
      <c r="BP747" s="22"/>
      <c r="BQ747" s="22"/>
      <c r="BR747" s="24"/>
    </row>
    <row r="748" spans="4:70">
      <c r="D748" s="5"/>
      <c r="E748" s="5"/>
      <c r="F748" s="5"/>
      <c r="G748" s="5"/>
      <c r="H748" s="5"/>
      <c r="I748" s="5"/>
      <c r="J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Z748" s="5"/>
      <c r="BK748" s="22"/>
      <c r="BL748" s="23"/>
      <c r="BM748" s="22"/>
      <c r="BN748" s="22"/>
      <c r="BO748" s="22"/>
      <c r="BP748" s="22"/>
      <c r="BQ748" s="22"/>
      <c r="BR748" s="24"/>
    </row>
    <row r="749" spans="4:70">
      <c r="D749" s="5"/>
      <c r="E749" s="5"/>
      <c r="F749" s="5"/>
      <c r="G749" s="5"/>
      <c r="H749" s="5"/>
      <c r="I749" s="5"/>
      <c r="J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Z749" s="5"/>
      <c r="BK749" s="22"/>
      <c r="BL749" s="23"/>
      <c r="BM749" s="22"/>
      <c r="BN749" s="22"/>
      <c r="BO749" s="22"/>
      <c r="BP749" s="22"/>
      <c r="BQ749" s="22"/>
      <c r="BR749" s="24"/>
    </row>
    <row r="750" spans="4:70">
      <c r="D750" s="5"/>
      <c r="E750" s="5"/>
      <c r="F750" s="5"/>
      <c r="G750" s="5"/>
      <c r="H750" s="5"/>
      <c r="I750" s="5"/>
      <c r="J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Z750" s="5"/>
      <c r="BK750" s="22"/>
      <c r="BL750" s="23"/>
      <c r="BM750" s="22"/>
      <c r="BN750" s="22"/>
      <c r="BO750" s="22"/>
      <c r="BP750" s="22"/>
      <c r="BQ750" s="22"/>
      <c r="BR750" s="24"/>
    </row>
    <row r="751" spans="4:70">
      <c r="D751" s="5"/>
      <c r="E751" s="5"/>
      <c r="F751" s="5"/>
      <c r="G751" s="5"/>
      <c r="H751" s="5"/>
      <c r="I751" s="5"/>
      <c r="J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Z751" s="5"/>
      <c r="BK751" s="22"/>
      <c r="BL751" s="23"/>
      <c r="BM751" s="22"/>
      <c r="BN751" s="22"/>
      <c r="BO751" s="22"/>
      <c r="BP751" s="22"/>
      <c r="BQ751" s="22"/>
      <c r="BR751" s="24"/>
    </row>
    <row r="752" spans="4:70">
      <c r="D752" s="5"/>
      <c r="E752" s="5"/>
      <c r="F752" s="5"/>
      <c r="G752" s="5"/>
      <c r="H752" s="5"/>
      <c r="I752" s="5"/>
      <c r="J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Z752" s="5"/>
      <c r="BK752" s="22"/>
      <c r="BL752" s="23"/>
      <c r="BM752" s="22"/>
      <c r="BN752" s="22"/>
      <c r="BO752" s="22"/>
      <c r="BP752" s="22"/>
      <c r="BQ752" s="22"/>
      <c r="BR752" s="24"/>
    </row>
    <row r="753" spans="4:70">
      <c r="D753" s="5"/>
      <c r="E753" s="5"/>
      <c r="F753" s="5"/>
      <c r="G753" s="5"/>
      <c r="H753" s="5"/>
      <c r="I753" s="5"/>
      <c r="J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Z753" s="5"/>
      <c r="BK753" s="22"/>
      <c r="BL753" s="23"/>
      <c r="BM753" s="22"/>
      <c r="BN753" s="22"/>
      <c r="BO753" s="22"/>
      <c r="BP753" s="22"/>
      <c r="BQ753" s="22"/>
      <c r="BR753" s="24"/>
    </row>
    <row r="754" spans="4:70">
      <c r="D754" s="5"/>
      <c r="E754" s="5"/>
      <c r="F754" s="5"/>
      <c r="G754" s="5"/>
      <c r="H754" s="5"/>
      <c r="I754" s="5"/>
      <c r="J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Z754" s="5"/>
      <c r="BK754" s="22"/>
      <c r="BL754" s="23"/>
      <c r="BM754" s="22"/>
      <c r="BN754" s="22"/>
      <c r="BO754" s="22"/>
      <c r="BP754" s="22"/>
      <c r="BQ754" s="22"/>
      <c r="BR754" s="24"/>
    </row>
    <row r="755" spans="4:70">
      <c r="D755" s="5"/>
      <c r="E755" s="5"/>
      <c r="F755" s="5"/>
      <c r="G755" s="5"/>
      <c r="H755" s="5"/>
      <c r="I755" s="5"/>
      <c r="J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Z755" s="5"/>
      <c r="BK755" s="22"/>
      <c r="BL755" s="23"/>
      <c r="BM755" s="22"/>
      <c r="BN755" s="22"/>
      <c r="BO755" s="22"/>
      <c r="BP755" s="22"/>
      <c r="BQ755" s="22"/>
      <c r="BR755" s="24"/>
    </row>
    <row r="756" spans="4:70">
      <c r="D756" s="5"/>
      <c r="E756" s="5"/>
      <c r="F756" s="5"/>
      <c r="G756" s="5"/>
      <c r="H756" s="5"/>
      <c r="I756" s="5"/>
      <c r="J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Z756" s="5"/>
      <c r="BK756" s="22"/>
      <c r="BL756" s="23"/>
      <c r="BM756" s="22"/>
      <c r="BN756" s="22"/>
      <c r="BO756" s="22"/>
      <c r="BP756" s="22"/>
      <c r="BQ756" s="22"/>
      <c r="BR756" s="24"/>
    </row>
    <row r="757" spans="4:70">
      <c r="D757" s="5"/>
      <c r="E757" s="5"/>
      <c r="F757" s="5"/>
      <c r="G757" s="5"/>
      <c r="H757" s="5"/>
      <c r="I757" s="5"/>
      <c r="J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Z757" s="5"/>
      <c r="BK757" s="22"/>
      <c r="BL757" s="23"/>
      <c r="BM757" s="22"/>
      <c r="BN757" s="22"/>
      <c r="BO757" s="22"/>
      <c r="BP757" s="22"/>
      <c r="BQ757" s="22"/>
      <c r="BR757" s="24"/>
    </row>
    <row r="758" spans="4:70">
      <c r="D758" s="5"/>
      <c r="E758" s="5"/>
      <c r="F758" s="5"/>
      <c r="G758" s="5"/>
      <c r="H758" s="5"/>
      <c r="I758" s="5"/>
      <c r="J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Z758" s="5"/>
      <c r="BK758" s="22"/>
      <c r="BL758" s="23"/>
      <c r="BM758" s="22"/>
      <c r="BN758" s="22"/>
      <c r="BO758" s="22"/>
      <c r="BP758" s="22"/>
      <c r="BQ758" s="22"/>
      <c r="BR758" s="24"/>
    </row>
    <row r="759" spans="4:70">
      <c r="D759" s="5"/>
      <c r="E759" s="5"/>
      <c r="F759" s="5"/>
      <c r="G759" s="5"/>
      <c r="H759" s="5"/>
      <c r="I759" s="5"/>
      <c r="J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Z759" s="5"/>
      <c r="BK759" s="22"/>
      <c r="BL759" s="23"/>
      <c r="BM759" s="22"/>
      <c r="BN759" s="22"/>
      <c r="BO759" s="22"/>
      <c r="BP759" s="22"/>
      <c r="BQ759" s="22"/>
      <c r="BR759" s="24"/>
    </row>
    <row r="760" spans="4:70">
      <c r="D760" s="5"/>
      <c r="E760" s="5"/>
      <c r="F760" s="5"/>
      <c r="G760" s="5"/>
      <c r="H760" s="5"/>
      <c r="I760" s="5"/>
      <c r="J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Z760" s="5"/>
      <c r="BK760" s="22"/>
      <c r="BL760" s="23"/>
      <c r="BM760" s="22"/>
      <c r="BN760" s="22"/>
      <c r="BO760" s="22"/>
      <c r="BP760" s="22"/>
      <c r="BQ760" s="22"/>
      <c r="BR760" s="24"/>
    </row>
    <row r="761" spans="4:70">
      <c r="D761" s="5"/>
      <c r="E761" s="5"/>
      <c r="F761" s="5"/>
      <c r="G761" s="5"/>
      <c r="H761" s="5"/>
      <c r="I761" s="5"/>
      <c r="J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Z761" s="5"/>
      <c r="BK761" s="22"/>
      <c r="BL761" s="23"/>
      <c r="BM761" s="22"/>
      <c r="BN761" s="22"/>
      <c r="BO761" s="22"/>
      <c r="BP761" s="22"/>
      <c r="BQ761" s="22"/>
      <c r="BR761" s="24"/>
    </row>
    <row r="762" spans="4:70">
      <c r="D762" s="5"/>
      <c r="E762" s="5"/>
      <c r="F762" s="5"/>
      <c r="G762" s="5"/>
      <c r="H762" s="5"/>
      <c r="I762" s="5"/>
      <c r="J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Z762" s="5"/>
      <c r="BK762" s="22"/>
      <c r="BL762" s="23"/>
      <c r="BM762" s="22"/>
      <c r="BN762" s="22"/>
      <c r="BO762" s="22"/>
      <c r="BP762" s="22"/>
      <c r="BQ762" s="22"/>
      <c r="BR762" s="24"/>
    </row>
    <row r="763" spans="4:70">
      <c r="D763" s="5"/>
      <c r="E763" s="5"/>
      <c r="F763" s="5"/>
      <c r="G763" s="5"/>
      <c r="H763" s="5"/>
      <c r="I763" s="5"/>
      <c r="J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Z763" s="5"/>
      <c r="BK763" s="22"/>
      <c r="BL763" s="23"/>
      <c r="BM763" s="22"/>
      <c r="BN763" s="22"/>
      <c r="BO763" s="22"/>
      <c r="BP763" s="22"/>
      <c r="BQ763" s="22"/>
      <c r="BR763" s="24"/>
    </row>
    <row r="764" spans="4:70">
      <c r="D764" s="5"/>
      <c r="E764" s="5"/>
      <c r="F764" s="5"/>
      <c r="G764" s="5"/>
      <c r="H764" s="5"/>
      <c r="I764" s="5"/>
      <c r="J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Z764" s="5"/>
      <c r="BK764" s="22"/>
      <c r="BL764" s="23"/>
      <c r="BM764" s="22"/>
      <c r="BN764" s="22"/>
      <c r="BO764" s="22"/>
      <c r="BP764" s="22"/>
      <c r="BQ764" s="22"/>
      <c r="BR764" s="24"/>
    </row>
    <row r="765" spans="4:70">
      <c r="D765" s="5"/>
      <c r="E765" s="5"/>
      <c r="F765" s="5"/>
      <c r="G765" s="5"/>
      <c r="H765" s="5"/>
      <c r="I765" s="5"/>
      <c r="J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Z765" s="5"/>
      <c r="BK765" s="22"/>
      <c r="BL765" s="23"/>
      <c r="BM765" s="22"/>
      <c r="BN765" s="22"/>
      <c r="BO765" s="22"/>
      <c r="BP765" s="22"/>
      <c r="BQ765" s="22"/>
      <c r="BR765" s="24"/>
    </row>
    <row r="766" spans="4:70">
      <c r="D766" s="5"/>
      <c r="E766" s="5"/>
      <c r="F766" s="5"/>
      <c r="G766" s="5"/>
      <c r="H766" s="5"/>
      <c r="I766" s="5"/>
      <c r="J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Z766" s="5"/>
      <c r="BK766" s="22"/>
      <c r="BL766" s="23"/>
      <c r="BM766" s="22"/>
      <c r="BN766" s="22"/>
      <c r="BO766" s="22"/>
      <c r="BP766" s="22"/>
      <c r="BQ766" s="22"/>
      <c r="BR766" s="24"/>
    </row>
    <row r="767" spans="4:70">
      <c r="D767" s="5"/>
      <c r="E767" s="5"/>
      <c r="F767" s="5"/>
      <c r="G767" s="5"/>
      <c r="H767" s="5"/>
      <c r="I767" s="5"/>
      <c r="J767" s="5"/>
    </row>
    <row r="768" spans="4:70">
      <c r="D768" s="5"/>
      <c r="E768" s="5"/>
      <c r="F768" s="5"/>
      <c r="G768" s="5"/>
      <c r="H768" s="5"/>
      <c r="I768" s="5"/>
      <c r="J768" s="5"/>
    </row>
    <row r="769" spans="4:52">
      <c r="D769" s="5"/>
      <c r="E769" s="5"/>
      <c r="F769" s="5"/>
      <c r="G769" s="5"/>
      <c r="H769" s="5"/>
      <c r="I769" s="5"/>
      <c r="J769" s="5"/>
    </row>
    <row r="770" spans="4:52">
      <c r="D770" s="5"/>
      <c r="E770" s="5"/>
      <c r="F770" s="5"/>
      <c r="G770" s="5"/>
      <c r="H770" s="5"/>
      <c r="I770" s="5"/>
      <c r="J770" s="5"/>
    </row>
    <row r="771" spans="4:52">
      <c r="D771" s="5"/>
      <c r="E771" s="5"/>
      <c r="F771" s="5"/>
      <c r="G771" s="5"/>
      <c r="H771" s="5"/>
      <c r="I771" s="5"/>
      <c r="J771" s="5"/>
    </row>
    <row r="772" spans="4:52">
      <c r="D772" s="5"/>
      <c r="E772" s="5"/>
      <c r="F772" s="5"/>
      <c r="G772" s="5"/>
      <c r="H772" s="5"/>
      <c r="I772" s="5"/>
      <c r="J772" s="5"/>
    </row>
    <row r="773" spans="4:52">
      <c r="D773" s="5"/>
      <c r="E773" s="5"/>
      <c r="F773" s="5"/>
      <c r="G773" s="5"/>
      <c r="H773" s="5"/>
      <c r="I773" s="5"/>
      <c r="J773" s="5"/>
    </row>
    <row r="774" spans="4:52">
      <c r="D774" s="5"/>
      <c r="E774" s="5"/>
      <c r="F774" s="5"/>
      <c r="G774" s="5"/>
      <c r="H774" s="5"/>
      <c r="I774" s="5"/>
      <c r="J774" s="5"/>
    </row>
    <row r="775" spans="4:52">
      <c r="D775" s="5"/>
      <c r="E775" s="5"/>
      <c r="F775" s="5"/>
      <c r="G775" s="5"/>
      <c r="H775" s="5"/>
      <c r="I775" s="5"/>
      <c r="J775" s="5"/>
    </row>
    <row r="776" spans="4:52">
      <c r="D776" s="5"/>
      <c r="E776" s="5"/>
      <c r="F776" s="5"/>
      <c r="G776" s="5"/>
      <c r="H776" s="5"/>
      <c r="I776" s="5"/>
      <c r="J776" s="5"/>
    </row>
    <row r="777" spans="4:52">
      <c r="D777" s="5"/>
      <c r="E777" s="5"/>
      <c r="F777" s="5"/>
      <c r="G777" s="5"/>
      <c r="H777" s="5"/>
      <c r="I777" s="5"/>
      <c r="J777" s="5"/>
    </row>
    <row r="778" spans="4:52">
      <c r="D778" s="5"/>
      <c r="E778" s="5"/>
      <c r="F778" s="5"/>
      <c r="G778" s="5"/>
      <c r="H778" s="5"/>
      <c r="I778" s="5"/>
      <c r="J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Z778" s="5"/>
    </row>
    <row r="779" spans="4:52">
      <c r="D779" s="5"/>
      <c r="E779" s="5"/>
      <c r="F779" s="5"/>
      <c r="G779" s="5"/>
      <c r="H779" s="5"/>
      <c r="I779" s="5"/>
      <c r="J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Z779" s="5"/>
    </row>
    <row r="780" spans="4:52">
      <c r="D780" s="5"/>
      <c r="E780" s="5"/>
      <c r="F780" s="5"/>
      <c r="G780" s="5"/>
      <c r="H780" s="5"/>
      <c r="I780" s="5"/>
      <c r="J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Z780" s="5"/>
    </row>
    <row r="781" spans="4:52">
      <c r="D781" s="5"/>
      <c r="E781" s="5"/>
      <c r="F781" s="5"/>
      <c r="G781" s="5"/>
      <c r="H781" s="5"/>
      <c r="I781" s="5"/>
      <c r="J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Z781" s="5"/>
    </row>
  </sheetData>
  <hyperlinks>
    <hyperlink ref="B1" location="ROIC!B16" display="MND AU Equity" xr:uid="{C0E3F1A8-F54F-4DB2-985F-865EDEA7B35A}"/>
  </hyperlinks>
  <pageMargins left="0.74803149606299213" right="0.74803149606299213" top="0.98425196850393704" bottom="0.98425196850393704" header="0.51181102362204722" footer="0.51181102362204722"/>
  <pageSetup paperSize="9" scale="14" orientation="landscape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30</vt:i4>
      </vt:variant>
    </vt:vector>
  </HeadingPairs>
  <TitlesOfParts>
    <vt:vector size="38" baseType="lpstr">
      <vt:lpstr>HC Data bank</vt:lpstr>
      <vt:lpstr>Other Data</vt:lpstr>
      <vt:lpstr>Values</vt:lpstr>
      <vt:lpstr>Output</vt:lpstr>
      <vt:lpstr>Tickers</vt:lpstr>
      <vt:lpstr>FAS</vt:lpstr>
      <vt:lpstr>FAS (RACE)</vt:lpstr>
      <vt:lpstr>FAS (VOW)</vt:lpstr>
      <vt:lpstr>CRNCY</vt:lpstr>
      <vt:lpstr>Current.Year</vt:lpstr>
      <vt:lpstr>Data</vt:lpstr>
      <vt:lpstr>Effective.Date</vt:lpstr>
      <vt:lpstr>FASTicker</vt:lpstr>
      <vt:lpstr>HardCoded.Field</vt:lpstr>
      <vt:lpstr>HardCoded.Tickers</vt:lpstr>
      <vt:lpstr>HardCoded.Years</vt:lpstr>
      <vt:lpstr>Values!LoopRange</vt:lpstr>
      <vt:lpstr>Out.Headings</vt:lpstr>
      <vt:lpstr>Out.Tickers</vt:lpstr>
      <vt:lpstr>FAS!Print_Area</vt:lpstr>
      <vt:lpstr>'FAS (RACE)'!Print_Area</vt:lpstr>
      <vt:lpstr>'FAS (VOW)'!Print_Area</vt:lpstr>
      <vt:lpstr>FAS!ROIC.Forecasts</vt:lpstr>
      <vt:lpstr>'FAS (RACE)'!ROIC.Forecasts</vt:lpstr>
      <vt:lpstr>'FAS (VOW)'!ROIC.Forecasts</vt:lpstr>
      <vt:lpstr>FAS!ROIC.HIstFields</vt:lpstr>
      <vt:lpstr>'FAS (RACE)'!ROIC.HIstFields</vt:lpstr>
      <vt:lpstr>'FAS (VOW)'!ROIC.HIstFields</vt:lpstr>
      <vt:lpstr>FAS!ROIC.Ticker</vt:lpstr>
      <vt:lpstr>'FAS (RACE)'!ROIC.Ticker</vt:lpstr>
      <vt:lpstr>'FAS (VOW)'!ROIC.Ticker</vt:lpstr>
      <vt:lpstr>FAS!ROIC.Years</vt:lpstr>
      <vt:lpstr>'FAS (RACE)'!ROIC.Years</vt:lpstr>
      <vt:lpstr>'FAS (VOW)'!ROIC.Years</vt:lpstr>
      <vt:lpstr>Tickers</vt:lpstr>
      <vt:lpstr>Value.Headings</vt:lpstr>
      <vt:lpstr>Value.Start.Periods</vt:lpstr>
      <vt:lpstr>Value.Updates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</dc:creator>
  <cp:lastModifiedBy>Patryk Basiewicz</cp:lastModifiedBy>
  <cp:lastPrinted>2014-10-06T06:36:43Z</cp:lastPrinted>
  <dcterms:created xsi:type="dcterms:W3CDTF">2011-09-04T19:43:35Z</dcterms:created>
  <dcterms:modified xsi:type="dcterms:W3CDTF">2023-12-14T11:42:44Z</dcterms:modified>
</cp:coreProperties>
</file>