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chara\Desktop\Portfolio\Excel\"/>
    </mc:Choice>
  </mc:AlternateContent>
  <xr:revisionPtr revIDLastSave="0" documentId="13_ncr:1_{B31726F2-916F-4082-99CC-D58C262AEB88}" xr6:coauthVersionLast="47" xr6:coauthVersionMax="47" xr10:uidLastSave="{00000000-0000-0000-0000-000000000000}"/>
  <bookViews>
    <workbookView xWindow="-98" yWindow="-98" windowWidth="20715" windowHeight="13276" firstSheet="1" activeTab="7" xr2:uid="{B733AC03-F084-4525-BA33-DF21741921D0}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sday" sheetId="6" r:id="rId7"/>
    <sheet name="Conclusion Table" sheetId="9" r:id="rId8"/>
    <sheet name="vlookup Shee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D3" i="9"/>
  <c r="D4" i="9"/>
  <c r="D5" i="9"/>
  <c r="D6" i="9"/>
  <c r="D7" i="9"/>
  <c r="D9" i="9"/>
  <c r="D10" i="9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1" i="9"/>
  <c r="D32" i="9"/>
  <c r="D33" i="9"/>
  <c r="D34" i="9"/>
  <c r="D35" i="9"/>
  <c r="D36" i="9"/>
  <c r="D37" i="9"/>
  <c r="D38" i="9"/>
  <c r="D39" i="9"/>
  <c r="D40" i="9"/>
  <c r="D41" i="9"/>
  <c r="D2" i="9"/>
  <c r="H3" i="9" s="1"/>
  <c r="A5" i="7"/>
  <c r="A6" i="7"/>
  <c r="A7" i="7"/>
  <c r="A8" i="7"/>
  <c r="A9" i="7"/>
  <c r="A10" i="7"/>
  <c r="A11" i="7"/>
  <c r="A4" i="7"/>
  <c r="A8" i="6"/>
  <c r="E5" i="6"/>
  <c r="E6" i="6"/>
  <c r="E7" i="6"/>
  <c r="E8" i="6"/>
  <c r="E4" i="6"/>
  <c r="A10" i="4"/>
  <c r="A8" i="5"/>
  <c r="E5" i="5"/>
  <c r="E6" i="5"/>
  <c r="E7" i="5"/>
  <c r="E8" i="5"/>
  <c r="E4" i="5"/>
  <c r="E5" i="4"/>
  <c r="E6" i="4"/>
  <c r="E7" i="4"/>
  <c r="E8" i="4"/>
  <c r="E4" i="4"/>
  <c r="E5" i="3"/>
  <c r="E6" i="3"/>
  <c r="E7" i="3"/>
  <c r="E8" i="3"/>
  <c r="E4" i="3"/>
  <c r="E6" i="7"/>
  <c r="E7" i="7"/>
  <c r="E8" i="7"/>
  <c r="E9" i="7"/>
  <c r="E11" i="7"/>
  <c r="E5" i="7"/>
  <c r="E5" i="2"/>
  <c r="E6" i="2"/>
  <c r="E7" i="2"/>
  <c r="E8" i="2"/>
  <c r="E4" i="2"/>
  <c r="E4" i="1"/>
  <c r="E5" i="1"/>
  <c r="E6" i="1"/>
  <c r="E8" i="1"/>
  <c r="B10" i="8"/>
  <c r="B9" i="8"/>
  <c r="B4" i="8"/>
  <c r="B5" i="8"/>
  <c r="B6" i="8"/>
  <c r="B7" i="8"/>
  <c r="B8" i="8"/>
  <c r="B3" i="8"/>
  <c r="A3" i="2"/>
  <c r="A4" i="2"/>
  <c r="A5" i="2"/>
  <c r="A6" i="2"/>
  <c r="A7" i="2"/>
  <c r="A8" i="2"/>
  <c r="A3" i="1"/>
  <c r="A3" i="4"/>
  <c r="A4" i="4"/>
  <c r="A5" i="4"/>
  <c r="A6" i="4"/>
  <c r="A7" i="4"/>
  <c r="A8" i="4"/>
  <c r="A9" i="4"/>
  <c r="A4" i="5"/>
  <c r="A5" i="5"/>
  <c r="A6" i="5"/>
  <c r="A7" i="5"/>
  <c r="A3" i="6"/>
  <c r="A3" i="5"/>
  <c r="A3" i="3"/>
  <c r="A7" i="6"/>
  <c r="A6" i="6"/>
  <c r="A5" i="6"/>
  <c r="A4" i="6"/>
  <c r="A8" i="3"/>
  <c r="A7" i="3"/>
  <c r="A6" i="3"/>
  <c r="A5" i="3"/>
  <c r="A4" i="3"/>
  <c r="A4" i="1"/>
  <c r="A5" i="1"/>
  <c r="A6" i="1"/>
  <c r="A7" i="1"/>
  <c r="A8" i="1"/>
  <c r="E9" i="6" l="1"/>
  <c r="E9" i="5"/>
  <c r="E11" i="4"/>
  <c r="E9" i="3"/>
  <c r="E9" i="2"/>
  <c r="E9" i="1"/>
  <c r="E12" i="7"/>
  <c r="D12" i="7"/>
  <c r="D13" i="7" l="1"/>
  <c r="D3" i="1" s="1"/>
  <c r="D9" i="1" s="1"/>
  <c r="D10" i="1" s="1"/>
  <c r="D3" i="2" s="1"/>
  <c r="D9" i="2" s="1"/>
  <c r="D10" i="2" s="1"/>
  <c r="D3" i="3" s="1"/>
  <c r="D9" i="3" s="1"/>
  <c r="D10" i="3" s="1"/>
  <c r="D3" i="4" s="1"/>
  <c r="D11" i="4" s="1"/>
  <c r="D12" i="4" s="1"/>
  <c r="D3" i="5" s="1"/>
  <c r="D9" i="5" s="1"/>
  <c r="D10" i="5" s="1"/>
  <c r="D3" i="6" s="1"/>
  <c r="D9" i="6" s="1"/>
  <c r="D10" i="6" s="1"/>
</calcChain>
</file>

<file path=xl/sharedStrings.xml><?xml version="1.0" encoding="utf-8"?>
<sst xmlns="http://schemas.openxmlformats.org/spreadsheetml/2006/main" count="174" uniqueCount="35">
  <si>
    <t>Income</t>
  </si>
  <si>
    <t>Expense</t>
  </si>
  <si>
    <t>Detail</t>
  </si>
  <si>
    <t>Date</t>
  </si>
  <si>
    <t>No</t>
  </si>
  <si>
    <t>บาท</t>
  </si>
  <si>
    <t>Monday</t>
  </si>
  <si>
    <t>A cup of coffee</t>
  </si>
  <si>
    <t>A bottle of water</t>
  </si>
  <si>
    <t>Car refueling</t>
  </si>
  <si>
    <t>Total</t>
  </si>
  <si>
    <t>Morning Deposit</t>
  </si>
  <si>
    <t>Deposit for Fuel</t>
  </si>
  <si>
    <t>Wednesday</t>
  </si>
  <si>
    <t>Remaining Money</t>
  </si>
  <si>
    <t>Satursday</t>
  </si>
  <si>
    <t>Friday</t>
  </si>
  <si>
    <t>Thursday</t>
  </si>
  <si>
    <t>Tuesday</t>
  </si>
  <si>
    <t>DATA: THIS TABLE IS A MOCK UP WEEKLY PAYMENT</t>
  </si>
  <si>
    <t>Sunday</t>
  </si>
  <si>
    <t>Go shopping</t>
  </si>
  <si>
    <t>Deposit on Wednesday</t>
  </si>
  <si>
    <t>Borrow From Mom</t>
  </si>
  <si>
    <t>Menu</t>
  </si>
  <si>
    <t>Price</t>
  </si>
  <si>
    <t>Breakfast (Omlets)</t>
  </si>
  <si>
    <t>Breakfast (Hambergers)</t>
  </si>
  <si>
    <t>Lunch (Noodle)</t>
  </si>
  <si>
    <t>Lunch (American Fried Rice)</t>
  </si>
  <si>
    <t>Dinner (Green Curry)</t>
  </si>
  <si>
    <t>A Cup of Coffee</t>
  </si>
  <si>
    <t>Dinner (Set KFC)</t>
  </si>
  <si>
    <t>A bottle of Water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</si>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</sst>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and Payment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'Conclusion Table'!$G$2:$G$3</c:f>
              <c:strCache>
                <c:ptCount val="2"/>
                <c:pt idx="0">
                  <c:v>Income</c:v>
                </c:pt>
                <c:pt idx="1">
                  <c:v>Outcome</c:v>
                </c:pt>
              </c:strCache>
            </c:strRef>
          </c:cat>
          <c:val>
            <c:numRef>
              <c:f>'Conclusion Table'!$H$2:$H$3</c:f>
              <c:numCache>
                <c:formatCode>#,##0</c:formatCode>
                <c:ptCount val="2"/>
                <c:pt idx="0">
                  <c:v>4700</c:v>
                </c:pt>
                <c:pt idx="1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F9E-B0E4-5A67D13D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611982</xdr:colOff>
      <xdr:row>3</xdr:row>
      <xdr:rowOff>140493</xdr:rowOff>
    </xdr:from>
    <xdr:to>
      <xdr:col>9</xdr:col>
      <xdr:colOff>300038</xdr:colOff>
      <xdr:row>18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39D21-BBFA-4918-BFF5-913F1CA5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15EE69-B2C1-46E6-8122-E12D79D09538}" name="SundayTable" displayName="SundayTable" ref="A3:E12" totalsRowCount="1" headerRowDxfId="116" dataDxfId="114" totalsRowDxfId="112" headerRowBorderDxfId="115" tableBorderDxfId="113" totalsRowBorderDxfId="111">
  <autoFilter ref="A3:E11" xr:uid="{9B15EE69-B2C1-46E6-8122-E12D79D09538}"/>
  <tableColumns count="5">
    <tableColumn id="1" xr3:uid="{E2F84FA7-DB96-4EF3-9051-48469A171A9F}" name="No" dataDxfId="54" totalsRowDxfId="10">
      <calculatedColumnFormula>ROW(A1)</calculatedColumnFormula>
    </tableColumn>
    <tableColumn id="2" xr3:uid="{3965729C-09EB-4821-BE2F-B547C875F6F9}" name="Date" dataDxfId="53" totalsRowDxfId="9"/>
    <tableColumn id="3" xr3:uid="{E3D74ADD-0C63-48C6-8900-1C6FFC27F9EC}" name="Detail" totalsRowLabel="Total" dataDxfId="52" totalsRowDxfId="8"/>
    <tableColumn id="4" xr3:uid="{652D005B-F108-4E95-8E87-5E6858467873}" name="Income" totalsRowFunction="sum" dataDxfId="51" totalsRowDxfId="7"/>
    <tableColumn id="5" xr3:uid="{D13BAE07-7B7D-4A36-85F7-84B6A2192A5D}" name="Expense" totalsRowFunction="sum" dataDxfId="50" totalsRow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0B723-E668-4FEB-B8C1-C41C411CFFA9}" name="MondayTable" displayName="MondayTable" ref="A2:E9" totalsRowCount="1" headerRowDxfId="110" dataDxfId="108" totalsRowDxfId="106" headerRowBorderDxfId="109" tableBorderDxfId="107" totalsRowBorderDxfId="105">
  <autoFilter ref="A2:E8" xr:uid="{C520B723-E668-4FEB-B8C1-C41C411CFFA9}"/>
  <tableColumns count="5">
    <tableColumn id="1" xr3:uid="{4B78F263-80D2-4B7B-8A81-9996BA77134D}" name="No" dataDxfId="45" totalsRowDxfId="44">
      <calculatedColumnFormula>ROW(#REF!)</calculatedColumnFormula>
    </tableColumn>
    <tableColumn id="2" xr3:uid="{37179417-D2B4-47F4-B302-E89682039E36}" name="Date" dataDxfId="43" totalsRowDxfId="42"/>
    <tableColumn id="3" xr3:uid="{D67CD900-9E48-4622-8E05-557B342FF693}" name="Detail" totalsRowLabel="Total" dataDxfId="41" totalsRowDxfId="40"/>
    <tableColumn id="4" xr3:uid="{85CB2BE7-6792-4172-929A-6AB9CDA2ECE0}" name="Income" totalsRowFunction="sum" dataDxfId="39" totalsRowDxfId="38"/>
    <tableColumn id="5" xr3:uid="{D510DCB3-684F-4731-9784-45CDC40EDA47}" name="Expense" totalsRowFunction="sum" dataDxfId="37" totalsRowDxfId="3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D40935-C3A8-428C-A326-11BD4C7CBB19}" name="TuesdayTable" displayName="TuesdayTable" ref="A2:E9" totalsRowCount="1" headerRowDxfId="104" dataDxfId="102" totalsRowDxfId="100" headerRowBorderDxfId="103" tableBorderDxfId="101" totalsRowBorderDxfId="99">
  <autoFilter ref="A2:E8" xr:uid="{15D40935-C3A8-428C-A326-11BD4C7CBB19}"/>
  <tableColumns count="5">
    <tableColumn id="1" xr3:uid="{9DA7DA45-A852-45A1-A1F3-5ED47EF3160C}" name="No" dataDxfId="56" totalsRowDxfId="35">
      <calculatedColumnFormula>ROW(A1)</calculatedColumnFormula>
    </tableColumn>
    <tableColumn id="2" xr3:uid="{ECD14555-0DF3-4861-9437-E11242B4500C}" name="Date" dataDxfId="60" totalsRowDxfId="34"/>
    <tableColumn id="3" xr3:uid="{93D1251C-6063-45B6-A3F4-B6C02A264012}" name="Detail" totalsRowLabel="Total" dataDxfId="59" totalsRowDxfId="33"/>
    <tableColumn id="4" xr3:uid="{59D491E0-9247-43B2-A74C-AFE2A3677D1B}" name="Income" totalsRowFunction="sum" dataDxfId="58" totalsRowDxfId="32"/>
    <tableColumn id="5" xr3:uid="{96664A41-E27D-40CC-A40D-F2CB4A4FE6B8}" name="Expense" totalsRowFunction="sum" dataDxfId="57" totalsRowDxfId="3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30F973-22FC-4CCB-AC95-6B753BD0823A}" name="WednesdayTable" displayName="WednesdayTable" ref="A2:E9" totalsRowCount="1" headerRowDxfId="98" dataDxfId="96" totalsRowDxfId="94" headerRowBorderDxfId="97" tableBorderDxfId="95" totalsRowBorderDxfId="93">
  <autoFilter ref="A2:E8" xr:uid="{8A30F973-22FC-4CCB-AC95-6B753BD0823A}"/>
  <tableColumns count="5">
    <tableColumn id="1" xr3:uid="{5D61F6A2-3CA1-419E-A852-C7DC6EF3D09C}" name="No" dataDxfId="92" totalsRowDxfId="30">
      <calculatedColumnFormula>ROW(#REF!)</calculatedColumnFormula>
    </tableColumn>
    <tableColumn id="2" xr3:uid="{3BA62314-06A3-44FF-8324-6104F2087E7C}" name="Date" dataDxfId="91" totalsRowDxfId="29"/>
    <tableColumn id="3" xr3:uid="{7BDD3218-94F1-4BEB-955A-29A1ACBFA1B4}" name="Detail" totalsRowLabel="Total" dataDxfId="90" totalsRowDxfId="28"/>
    <tableColumn id="4" xr3:uid="{0C1C682F-1A4E-45F8-B452-EE25302C38B5}" name="Income" totalsRowFunction="sum" dataDxfId="89" totalsRowDxfId="27"/>
    <tableColumn id="5" xr3:uid="{4F6839D9-89F9-4EDD-8D2B-9D7DD344F0CC}" name="Expense" totalsRowFunction="sum" dataDxfId="88" totalsRowDxfId="2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66BF10-BBC5-418B-A675-52CD2DE3678D}" name="ThursdayTable" displayName="ThursdayTable" ref="A2:E11" totalsRowCount="1" headerRowDxfId="87" headerRowBorderDxfId="86" tableBorderDxfId="85" totalsRowBorderDxfId="84">
  <autoFilter ref="A2:E10" xr:uid="{6B66BF10-BBC5-418B-A675-52CD2DE3678D}"/>
  <tableColumns count="5">
    <tableColumn id="1" xr3:uid="{340A0E85-DC97-43F2-A3D2-F023D568D470}" name="No" dataDxfId="83" totalsRowDxfId="20">
      <calculatedColumnFormula>ROW(A1)</calculatedColumnFormula>
    </tableColumn>
    <tableColumn id="2" xr3:uid="{45E31347-0E28-4A1B-9473-8F8BA8CBCE1D}" name="Date" dataDxfId="82" totalsRowDxfId="19"/>
    <tableColumn id="3" xr3:uid="{049A2FCD-DED6-4BA4-B1A2-3AD5C08E85BF}" name="Detail" totalsRowLabel="Total" dataDxfId="81" totalsRowDxfId="18"/>
    <tableColumn id="4" xr3:uid="{656A0921-4A14-4518-AF5B-161647B77072}" name="Income" totalsRowFunction="sum" dataDxfId="80" totalsRowDxfId="17"/>
    <tableColumn id="5" xr3:uid="{53903BB0-20B6-45A7-A6BD-2C96495E547D}" name="Expense" totalsRowFunction="sum" dataDxfId="79" totalsRowDxfId="1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31843B-6877-4535-9C1C-0666394608C8}" name="FridayTable" displayName="FridayTable" ref="A2:E9" totalsRowCount="1" headerRowDxfId="78" headerRowBorderDxfId="77" tableBorderDxfId="76" totalsRowBorderDxfId="75">
  <autoFilter ref="A2:E8" xr:uid="{8531843B-6877-4535-9C1C-0666394608C8}"/>
  <tableColumns count="5">
    <tableColumn id="1" xr3:uid="{8D597F9F-9ABC-4C0E-8187-88437F51A0FB}" name="No" dataDxfId="74" totalsRowDxfId="25">
      <calculatedColumnFormula>ROW(A1)</calculatedColumnFormula>
    </tableColumn>
    <tableColumn id="2" xr3:uid="{9D64ECB6-CBF0-484B-9564-DEB0D9D1871E}" name="Date" dataDxfId="73" totalsRowDxfId="24"/>
    <tableColumn id="3" xr3:uid="{B7367529-6B94-4397-ADFE-34FBEFF1F31B}" name="Detail" totalsRowLabel="Total" dataDxfId="72" totalsRowDxfId="23"/>
    <tableColumn id="4" xr3:uid="{2D2FD422-2525-4B44-BEAE-711C6230E11A}" name="Income" totalsRowFunction="sum" dataDxfId="71" totalsRowDxfId="22"/>
    <tableColumn id="5" xr3:uid="{E4C6CCD1-5C18-41A5-BA32-132D35EC01B7}" name="Expense" totalsRowFunction="sum" dataDxfId="70" totalsRowDxfId="21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D19A4B-DF84-4C3A-8040-B0901059B194}" name="SatursdayTable" displayName="SatursdayTable" ref="A2:E9" totalsRowCount="1" headerRowDxfId="69" headerRowBorderDxfId="68" tableBorderDxfId="67" totalsRowBorderDxfId="66">
  <autoFilter ref="A2:E8" xr:uid="{01D19A4B-DF84-4C3A-8040-B0901059B194}"/>
  <tableColumns count="5">
    <tableColumn id="1" xr3:uid="{AC802422-F027-406D-8478-8E63D64ABD96}" name="No" dataDxfId="65" totalsRowDxfId="15">
      <calculatedColumnFormula>ROW(#REF!)</calculatedColumnFormula>
    </tableColumn>
    <tableColumn id="2" xr3:uid="{57437191-32C3-45E7-80F6-CCCCEB35B542}" name="Date" dataDxfId="64" totalsRowDxfId="14"/>
    <tableColumn id="3" xr3:uid="{4E23F965-8569-40C3-B8C7-9AC391BC7EE3}" name="Detail" totalsRowLabel="Total" dataDxfId="63" totalsRowDxfId="13"/>
    <tableColumn id="4" xr3:uid="{040D425A-3201-460E-903E-D140AD586B3B}" name="Income" totalsRowFunction="sum" dataDxfId="62" totalsRowDxfId="12"/>
    <tableColumn id="5" xr3:uid="{7363C6D3-434D-4858-B198-E3061478D999}" name="Expense" totalsRowFunction="sum" dataDxfId="61" totalsRowDxfId="11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1C3BE0-7B96-47D8-BFF0-53617AEB00CB}" name="Table10" displayName="Table10" ref="B1:D41" headerRowDxfId="3">
  <autoFilter ref="B1:D41" xr:uid="{7D1C3BE0-7B96-47D8-BFF0-53617AEB00CB}"/>
  <tableColumns count="3">
    <tableColumn id="1" xr3:uid="{DE357965-63EF-407A-B46A-39A314920AD2}" name="Detail" dataDxfId="2"/>
    <tableColumn id="2" xr3:uid="{9E10227A-83A5-46B2-AED3-19447E5B9539}" name="Income" dataDxfId="5" totalsRowDxfId="0"/>
    <tableColumn id="3" xr3:uid="{9AC5F5C4-F367-4245-BD7D-9A8979334A51}" name="Outcome" totalsRowFunction="sum" dataDxfId="4" totalsRowDxfId="1">
      <calculatedColumnFormula>IFERROR(VLOOKUP(B2,Table8[[Menu]:[Price]],2,FALSE),0)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86EE44-FAB0-4F66-A9D1-D05DFBEF98F1}" name="Table8" displayName="Table8" ref="B2:D10" totalsRowShown="0" headerRowDxfId="55" dataDxfId="49">
  <autoFilter ref="B2:D10" xr:uid="{5386EE44-FAB0-4F66-A9D1-D05DFBEF98F1}"/>
  <tableColumns count="3">
    <tableColumn id="1" xr3:uid="{1C0F92AD-5233-429F-8754-8C38A457CC3A}" name="No" dataDxfId="48">
      <calculatedColumnFormula>ROW(A1)</calculatedColumnFormula>
    </tableColumn>
    <tableColumn id="2" xr3:uid="{2625A193-26FE-4980-AFD6-183FE66CBEBC}" name="Menu" dataDxfId="46"/>
    <tableColumn id="3" xr3:uid="{0C3C17B4-8E31-4A21-8F0D-1A94697F1340}" name="Price" dataDxfId="4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3B2C-91F3-44D9-BA8D-9D39AE23CA54}">
  <sheetPr codeName="Sheet1"/>
  <dimension ref="A1:E14"/>
  <sheetViews>
    <sheetView zoomScale="88" workbookViewId="0">
      <selection activeCell="C4" sqref="C4:E11"/>
    </sheetView>
  </sheetViews>
  <sheetFormatPr defaultRowHeight="24" customHeight="1" x14ac:dyDescent="0.45"/>
  <cols>
    <col min="1" max="5" width="22.59765625" customWidth="1"/>
  </cols>
  <sheetData>
    <row r="1" spans="1:5" ht="24" customHeight="1" x14ac:dyDescent="0.45">
      <c r="A1" t="s">
        <v>19</v>
      </c>
    </row>
    <row r="2" spans="1:5" s="26" customFormat="1" ht="24" customHeight="1" x14ac:dyDescent="0.45">
      <c r="A2" s="43" t="s">
        <v>20</v>
      </c>
      <c r="B2" s="43"/>
      <c r="C2" s="43"/>
      <c r="D2" s="43"/>
      <c r="E2" s="43"/>
    </row>
    <row r="3" spans="1:5" s="26" customFormat="1" ht="24" customHeight="1" x14ac:dyDescent="0.45">
      <c r="A3" s="23" t="s">
        <v>4</v>
      </c>
      <c r="B3" s="24" t="s">
        <v>3</v>
      </c>
      <c r="C3" s="24" t="s">
        <v>2</v>
      </c>
      <c r="D3" s="24" t="s">
        <v>0</v>
      </c>
      <c r="E3" s="25" t="s">
        <v>1</v>
      </c>
    </row>
    <row r="4" spans="1:5" s="26" customFormat="1" ht="24" customHeight="1" x14ac:dyDescent="0.45">
      <c r="A4" s="27">
        <f>ROW(A1)</f>
        <v>1</v>
      </c>
      <c r="B4" s="28">
        <v>0.29166666666666669</v>
      </c>
      <c r="C4" s="38" t="s">
        <v>11</v>
      </c>
      <c r="D4" s="30">
        <v>1000</v>
      </c>
      <c r="E4" s="31">
        <v>0</v>
      </c>
    </row>
    <row r="5" spans="1:5" s="26" customFormat="1" ht="24" customHeight="1" x14ac:dyDescent="0.45">
      <c r="A5" s="27">
        <f t="shared" ref="A5:A11" si="0">ROW(A2)</f>
        <v>2</v>
      </c>
      <c r="B5" s="28">
        <v>0.3125</v>
      </c>
      <c r="C5" s="38" t="s">
        <v>26</v>
      </c>
      <c r="D5" s="29">
        <v>0</v>
      </c>
      <c r="E5" s="29">
        <f>IFERROR(VLOOKUP(SundayTable[[#This Row],[Detail]],Table8[[Menu]:[Price]],2,FALSE),0)</f>
        <v>50</v>
      </c>
    </row>
    <row r="6" spans="1:5" s="26" customFormat="1" ht="24" customHeight="1" x14ac:dyDescent="0.45">
      <c r="A6" s="27">
        <f t="shared" si="0"/>
        <v>3</v>
      </c>
      <c r="B6" s="28">
        <v>0.35416666666666669</v>
      </c>
      <c r="C6" s="38" t="s">
        <v>7</v>
      </c>
      <c r="D6" s="29">
        <v>0</v>
      </c>
      <c r="E6" s="29">
        <f>IFERROR(VLOOKUP(SundayTable[[#This Row],[Detail]],Table8[[Menu]:[Price]],2,FALSE),0)</f>
        <v>80</v>
      </c>
    </row>
    <row r="7" spans="1:5" s="26" customFormat="1" ht="24" customHeight="1" x14ac:dyDescent="0.45">
      <c r="A7" s="27">
        <f t="shared" si="0"/>
        <v>4</v>
      </c>
      <c r="B7" s="28">
        <v>0.51388888888888895</v>
      </c>
      <c r="C7" s="38" t="s">
        <v>28</v>
      </c>
      <c r="D7" s="29">
        <v>0</v>
      </c>
      <c r="E7" s="29">
        <f>IFERROR(VLOOKUP(SundayTable[[#This Row],[Detail]],Table8[[Menu]:[Price]],2,FALSE),0)</f>
        <v>40</v>
      </c>
    </row>
    <row r="8" spans="1:5" s="26" customFormat="1" ht="24" customHeight="1" x14ac:dyDescent="0.45">
      <c r="A8" s="27">
        <f t="shared" si="0"/>
        <v>5</v>
      </c>
      <c r="B8" s="28">
        <v>0.51388888888888895</v>
      </c>
      <c r="C8" s="38" t="s">
        <v>8</v>
      </c>
      <c r="D8" s="29">
        <v>0</v>
      </c>
      <c r="E8" s="29">
        <f>IFERROR(VLOOKUP(SundayTable[[#This Row],[Detail]],Table8[[Menu]:[Price]],2,FALSE),0)</f>
        <v>20</v>
      </c>
    </row>
    <row r="9" spans="1:5" s="26" customFormat="1" ht="24" customHeight="1" x14ac:dyDescent="0.45">
      <c r="A9" s="27">
        <f t="shared" si="0"/>
        <v>6</v>
      </c>
      <c r="B9" s="28">
        <v>0.55555555555555602</v>
      </c>
      <c r="C9" s="38" t="s">
        <v>12</v>
      </c>
      <c r="D9" s="30">
        <v>1200</v>
      </c>
      <c r="E9" s="29">
        <f>IFERROR(VLOOKUP(SundayTable[[#This Row],[Detail]],Table8[[Menu]:[Price]],2,FALSE),0)</f>
        <v>0</v>
      </c>
    </row>
    <row r="10" spans="1:5" s="26" customFormat="1" ht="24" customHeight="1" x14ac:dyDescent="0.45">
      <c r="A10" s="27">
        <f t="shared" si="0"/>
        <v>7</v>
      </c>
      <c r="B10" s="28">
        <v>0.72916666666666663</v>
      </c>
      <c r="C10" s="38" t="s">
        <v>9</v>
      </c>
      <c r="D10" s="29">
        <v>0</v>
      </c>
      <c r="E10" s="29">
        <v>800</v>
      </c>
    </row>
    <row r="11" spans="1:5" s="26" customFormat="1" ht="24" customHeight="1" x14ac:dyDescent="0.45">
      <c r="A11" s="27">
        <f t="shared" si="0"/>
        <v>8</v>
      </c>
      <c r="B11" s="34">
        <v>0.41666666666666702</v>
      </c>
      <c r="C11" s="40" t="s">
        <v>30</v>
      </c>
      <c r="D11" s="35">
        <v>0</v>
      </c>
      <c r="E11" s="29">
        <f>IFERROR(VLOOKUP(SundayTable[[#This Row],[Detail]],Table8[[Menu]:[Price]],2,FALSE),0)</f>
        <v>60</v>
      </c>
    </row>
    <row r="12" spans="1:5" s="26" customFormat="1" ht="24" customHeight="1" x14ac:dyDescent="0.45">
      <c r="A12" s="37"/>
      <c r="B12" s="37"/>
      <c r="C12" s="33" t="s">
        <v>10</v>
      </c>
      <c r="D12" s="36">
        <f>SUBTOTAL(109,SundayTable[Income])</f>
        <v>2200</v>
      </c>
      <c r="E12" s="36">
        <f>SUBTOTAL(109,SundayTable[Expense])</f>
        <v>1050</v>
      </c>
    </row>
    <row r="13" spans="1:5" s="26" customFormat="1" ht="24" customHeight="1" x14ac:dyDescent="0.45">
      <c r="A13" s="41"/>
      <c r="B13" s="42"/>
      <c r="C13" s="49" t="s">
        <v>14</v>
      </c>
      <c r="D13" s="29">
        <f>SundayTable[[#Totals],[Income]]-SundayTable[[#Totals],[Expense]]</f>
        <v>1150</v>
      </c>
      <c r="E13" s="29" t="s">
        <v>5</v>
      </c>
    </row>
    <row r="14" spans="1:5" s="26" customFormat="1" ht="24" customHeight="1" x14ac:dyDescent="0.45">
      <c r="A14" s="41"/>
      <c r="B14" s="42"/>
      <c r="C14" s="52"/>
      <c r="D14" s="41"/>
      <c r="E14" s="41"/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A7D7-70A7-4182-B909-39979A79CBDA}">
  <sheetPr codeName="Sheet2"/>
  <dimension ref="A1:F26"/>
  <sheetViews>
    <sheetView zoomScale="83" workbookViewId="0">
      <selection activeCell="C3" sqref="C3:E8"/>
    </sheetView>
  </sheetViews>
  <sheetFormatPr defaultRowHeight="24" customHeight="1" x14ac:dyDescent="0.45"/>
  <cols>
    <col min="1" max="5" width="24.59765625" customWidth="1"/>
  </cols>
  <sheetData>
    <row r="1" spans="1:6" s="10" customFormat="1" ht="24" customHeight="1" x14ac:dyDescent="0.45">
      <c r="A1" s="44" t="s">
        <v>6</v>
      </c>
      <c r="B1" s="44"/>
      <c r="C1" s="44"/>
      <c r="D1" s="44"/>
      <c r="E1" s="44"/>
    </row>
    <row r="2" spans="1:6" s="26" customFormat="1" ht="24" customHeight="1" x14ac:dyDescent="0.45">
      <c r="A2" s="4" t="s">
        <v>4</v>
      </c>
      <c r="B2" s="5" t="s">
        <v>3</v>
      </c>
      <c r="C2" s="5" t="s">
        <v>2</v>
      </c>
      <c r="D2" s="5" t="s">
        <v>0</v>
      </c>
      <c r="E2" s="6" t="s">
        <v>1</v>
      </c>
    </row>
    <row r="3" spans="1:6" s="26" customFormat="1" ht="24" customHeight="1" x14ac:dyDescent="0.45">
      <c r="A3" s="27">
        <f>ROW(A1)</f>
        <v>1</v>
      </c>
      <c r="B3" s="28">
        <v>0.29166666666666669</v>
      </c>
      <c r="C3" s="38" t="s">
        <v>14</v>
      </c>
      <c r="D3" s="30">
        <f>VLOOKUP(MondayTable[[#This Row],[Detail]],Sunday!C13:D13,2,FALSE)</f>
        <v>1150</v>
      </c>
      <c r="E3" s="31">
        <v>0</v>
      </c>
    </row>
    <row r="4" spans="1:6" s="26" customFormat="1" ht="24" customHeight="1" x14ac:dyDescent="0.45">
      <c r="A4" s="27">
        <f t="shared" ref="A4:A8" si="0">ROW(A2)</f>
        <v>2</v>
      </c>
      <c r="B4" s="28">
        <v>0.3125</v>
      </c>
      <c r="C4" s="38" t="s">
        <v>27</v>
      </c>
      <c r="D4" s="29">
        <v>0</v>
      </c>
      <c r="E4" s="32">
        <f>IFERROR(VLOOKUP(MondayTable[[#This Row],[Detail]],Table8[[Menu]:[Price]],2,FALSE),0)</f>
        <v>70</v>
      </c>
    </row>
    <row r="5" spans="1:6" s="26" customFormat="1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IFERROR(VLOOKUP(MondayTable[[#This Row],[Detail]],Table8[[Menu]:[Price]],2,FALSE),0)</f>
        <v>80</v>
      </c>
    </row>
    <row r="6" spans="1:6" s="26" customFormat="1" ht="24" customHeight="1" x14ac:dyDescent="0.45">
      <c r="A6" s="27">
        <f t="shared" si="0"/>
        <v>4</v>
      </c>
      <c r="B6" s="28">
        <v>0.51388888888888895</v>
      </c>
      <c r="C6" s="38" t="s">
        <v>28</v>
      </c>
      <c r="D6" s="29">
        <v>0</v>
      </c>
      <c r="E6" s="32">
        <f>IFERROR(VLOOKUP(MondayTable[[#This Row],[Detail]],Table8[[Menu]:[Price]],2,FALSE),0)</f>
        <v>40</v>
      </c>
    </row>
    <row r="7" spans="1:6" s="26" customFormat="1" ht="24" customHeight="1" x14ac:dyDescent="0.45">
      <c r="A7" s="27">
        <f t="shared" si="0"/>
        <v>5</v>
      </c>
      <c r="B7" s="28">
        <v>17.708333333333332</v>
      </c>
      <c r="C7" s="38" t="s">
        <v>21</v>
      </c>
      <c r="D7" s="29">
        <v>0</v>
      </c>
      <c r="E7" s="32">
        <v>390</v>
      </c>
    </row>
    <row r="8" spans="1:6" s="26" customFormat="1" ht="24" customHeight="1" x14ac:dyDescent="0.45">
      <c r="A8" s="27">
        <f t="shared" si="0"/>
        <v>6</v>
      </c>
      <c r="B8" s="28">
        <v>17.75</v>
      </c>
      <c r="C8" s="38" t="s">
        <v>32</v>
      </c>
      <c r="D8" s="30">
        <v>0</v>
      </c>
      <c r="E8" s="32">
        <f>IFERROR(VLOOKUP(MondayTable[[#This Row],[Detail]],Table8[[Menu]:[Price]],2,FALSE),0)</f>
        <v>100</v>
      </c>
    </row>
    <row r="9" spans="1:6" s="26" customFormat="1" ht="24" customHeight="1" x14ac:dyDescent="0.45">
      <c r="A9" s="37"/>
      <c r="B9" s="37"/>
      <c r="C9" s="39" t="s">
        <v>10</v>
      </c>
      <c r="D9" s="36">
        <f>SUBTOTAL(109,MondayTable[Income])</f>
        <v>1150</v>
      </c>
      <c r="E9" s="36">
        <f>SUBTOTAL(109,MondayTable[Expense])</f>
        <v>680</v>
      </c>
      <c r="F9" s="41"/>
    </row>
    <row r="10" spans="1:6" s="26" customFormat="1" ht="24" customHeight="1" x14ac:dyDescent="0.45">
      <c r="A10" s="41"/>
      <c r="B10" s="42"/>
      <c r="C10" s="49" t="s">
        <v>14</v>
      </c>
      <c r="D10" s="41">
        <f>MondayTable[[#Totals],[Income]]-MondayTable[[#Totals],[Expense]]</f>
        <v>470</v>
      </c>
      <c r="E10" s="41" t="s">
        <v>5</v>
      </c>
      <c r="F10" s="41"/>
    </row>
    <row r="11" spans="1:6" s="26" customFormat="1" ht="24" customHeight="1" x14ac:dyDescent="0.45">
      <c r="A11" s="41"/>
      <c r="B11" s="42"/>
      <c r="C11" s="41"/>
      <c r="D11" s="41"/>
      <c r="E11" s="41"/>
      <c r="F11" s="41"/>
    </row>
    <row r="12" spans="1:6" ht="24" customHeight="1" x14ac:dyDescent="0.45">
      <c r="A12" s="7"/>
      <c r="B12" s="8"/>
      <c r="C12" s="7"/>
      <c r="D12" s="7"/>
      <c r="E12" s="7"/>
      <c r="F12" s="7"/>
    </row>
    <row r="13" spans="1:6" ht="24" customHeight="1" x14ac:dyDescent="0.45">
      <c r="A13" s="7"/>
      <c r="B13" s="8"/>
      <c r="C13" s="7"/>
      <c r="D13" s="7"/>
      <c r="E13" s="7"/>
      <c r="F13" s="7"/>
    </row>
    <row r="14" spans="1:6" ht="24" customHeight="1" x14ac:dyDescent="0.45">
      <c r="A14" s="7"/>
      <c r="B14" s="8"/>
      <c r="C14" s="7"/>
      <c r="D14" s="7"/>
      <c r="E14" s="7"/>
      <c r="F14" s="7"/>
    </row>
    <row r="15" spans="1:6" ht="24" customHeight="1" x14ac:dyDescent="0.45">
      <c r="A15" s="7"/>
      <c r="B15" s="8"/>
      <c r="C15" s="7"/>
      <c r="D15" s="7"/>
      <c r="E15" s="7"/>
      <c r="F15" s="7"/>
    </row>
    <row r="16" spans="1:6" ht="24" customHeight="1" x14ac:dyDescent="0.45">
      <c r="A16" s="7"/>
      <c r="B16" s="8"/>
      <c r="C16" s="7"/>
      <c r="D16" s="7"/>
      <c r="E16" s="7"/>
      <c r="F16" s="7"/>
    </row>
    <row r="17" spans="1:6" ht="24" customHeight="1" x14ac:dyDescent="0.45">
      <c r="A17" s="7"/>
      <c r="B17" s="8"/>
      <c r="C17" s="7"/>
      <c r="D17" s="7"/>
      <c r="E17" s="7"/>
      <c r="F17" s="7"/>
    </row>
    <row r="18" spans="1:6" ht="24" customHeight="1" x14ac:dyDescent="0.45">
      <c r="A18" s="7"/>
      <c r="B18" s="8"/>
      <c r="C18" s="7"/>
      <c r="D18" s="7"/>
      <c r="E18" s="7"/>
      <c r="F18" s="7"/>
    </row>
    <row r="19" spans="1:6" ht="24" customHeight="1" x14ac:dyDescent="0.45">
      <c r="A19" s="7"/>
      <c r="B19" s="8"/>
      <c r="C19" s="7"/>
      <c r="D19" s="7"/>
      <c r="E19" s="7"/>
      <c r="F19" s="7"/>
    </row>
    <row r="20" spans="1:6" ht="24" customHeight="1" x14ac:dyDescent="0.45">
      <c r="A20" s="7"/>
      <c r="B20" s="8"/>
      <c r="C20" s="7"/>
      <c r="D20" s="7"/>
      <c r="E20" s="7"/>
      <c r="F20" s="7"/>
    </row>
    <row r="21" spans="1:6" ht="24" customHeight="1" x14ac:dyDescent="0.45">
      <c r="A21" s="7"/>
      <c r="B21" s="8"/>
      <c r="C21" s="7"/>
      <c r="D21" s="7"/>
      <c r="E21" s="7"/>
      <c r="F21" s="7"/>
    </row>
    <row r="22" spans="1:6" ht="24" customHeight="1" x14ac:dyDescent="0.45">
      <c r="A22" s="7"/>
      <c r="B22" s="9"/>
      <c r="C22" s="7"/>
      <c r="D22" s="7"/>
      <c r="E22" s="7"/>
      <c r="F22" s="7"/>
    </row>
    <row r="23" spans="1:6" ht="24" customHeight="1" x14ac:dyDescent="0.45">
      <c r="A23" s="7"/>
      <c r="B23" s="9"/>
      <c r="C23" s="7"/>
      <c r="D23" s="7"/>
      <c r="E23" s="7"/>
      <c r="F23" s="7"/>
    </row>
    <row r="24" spans="1:6" ht="24" customHeight="1" x14ac:dyDescent="0.45">
      <c r="A24" s="7"/>
      <c r="B24" s="9"/>
      <c r="C24" s="7"/>
      <c r="D24" s="7"/>
      <c r="E24" s="7"/>
      <c r="F24" s="7"/>
    </row>
    <row r="25" spans="1:6" ht="24" customHeight="1" x14ac:dyDescent="0.45">
      <c r="A25" s="7"/>
      <c r="B25" s="7"/>
      <c r="C25" s="7"/>
      <c r="D25" s="7"/>
      <c r="E25" s="7"/>
      <c r="F25" s="7"/>
    </row>
    <row r="26" spans="1:6" ht="24" customHeight="1" x14ac:dyDescent="0.45">
      <c r="A26" s="7"/>
      <c r="B26" s="7"/>
      <c r="C26" s="7"/>
      <c r="D26" s="7"/>
      <c r="E26" s="7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9BED-05BA-4E87-8ED6-2178EF3D6791}">
  <sheetPr codeName="Sheet3"/>
  <dimension ref="A1:E11"/>
  <sheetViews>
    <sheetView workbookViewId="0">
      <selection activeCell="C3" sqref="C3:E8"/>
    </sheetView>
  </sheetViews>
  <sheetFormatPr defaultRowHeight="24" customHeight="1" x14ac:dyDescent="0.45"/>
  <cols>
    <col min="1" max="5" width="22.59765625" customWidth="1"/>
  </cols>
  <sheetData>
    <row r="1" spans="1:5" ht="24" customHeight="1" x14ac:dyDescent="0.45">
      <c r="A1" s="45" t="s">
        <v>18</v>
      </c>
      <c r="B1" s="45"/>
      <c r="C1" s="45"/>
      <c r="D1" s="45"/>
      <c r="E1" s="45"/>
    </row>
    <row r="2" spans="1:5" s="10" customFormat="1" ht="24" customHeight="1" x14ac:dyDescent="0.45">
      <c r="A2" s="20" t="s">
        <v>4</v>
      </c>
      <c r="B2" s="21" t="s">
        <v>3</v>
      </c>
      <c r="C2" s="21" t="s">
        <v>2</v>
      </c>
      <c r="D2" s="21" t="s">
        <v>0</v>
      </c>
      <c r="E2" s="22" t="s">
        <v>1</v>
      </c>
    </row>
    <row r="3" spans="1:5" s="10" customFormat="1" ht="24" customHeight="1" x14ac:dyDescent="0.45">
      <c r="A3" s="27">
        <f>ROW(A1)</f>
        <v>1</v>
      </c>
      <c r="B3" s="28">
        <v>0</v>
      </c>
      <c r="C3" s="38" t="s">
        <v>14</v>
      </c>
      <c r="D3" s="30">
        <f>VLOOKUP(TuesdayTable[[#This Row],[Detail]],Monday!C10:D10,2,FALSE)</f>
        <v>470</v>
      </c>
      <c r="E3" s="31">
        <v>0</v>
      </c>
    </row>
    <row r="4" spans="1:5" s="10" customFormat="1" ht="24" customHeight="1" x14ac:dyDescent="0.45">
      <c r="A4" s="27">
        <f t="shared" ref="A4:A8" si="0">ROW(A2)</f>
        <v>2</v>
      </c>
      <c r="B4" s="28">
        <v>0.3125</v>
      </c>
      <c r="C4" s="38" t="s">
        <v>27</v>
      </c>
      <c r="D4" s="29">
        <v>0</v>
      </c>
      <c r="E4" s="32">
        <f>IFERROR(VLOOKUP(TuesdayTable[[#This Row],[Detail]],Table8[[Menu]:[Price]],2,FALSE),0)</f>
        <v>70</v>
      </c>
    </row>
    <row r="5" spans="1:5" s="10" customFormat="1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IFERROR(VLOOKUP(TuesdayTable[[#This Row],[Detail]],Table8[[Menu]:[Price]],2,FALSE),0)</f>
        <v>80</v>
      </c>
    </row>
    <row r="6" spans="1:5" s="10" customFormat="1" ht="24" customHeight="1" x14ac:dyDescent="0.45">
      <c r="A6" s="27">
        <f t="shared" si="0"/>
        <v>4</v>
      </c>
      <c r="B6" s="28">
        <v>0.51388888888888895</v>
      </c>
      <c r="C6" s="38" t="s">
        <v>29</v>
      </c>
      <c r="D6" s="29">
        <v>0</v>
      </c>
      <c r="E6" s="32">
        <f>IFERROR(VLOOKUP(TuesdayTable[[#This Row],[Detail]],Table8[[Menu]:[Price]],2,FALSE),0)</f>
        <v>60</v>
      </c>
    </row>
    <row r="7" spans="1:5" s="10" customFormat="1" ht="24" customHeight="1" x14ac:dyDescent="0.45">
      <c r="A7" s="27">
        <f t="shared" si="0"/>
        <v>5</v>
      </c>
      <c r="B7" s="28">
        <v>0.76388888888888884</v>
      </c>
      <c r="C7" s="38" t="s">
        <v>23</v>
      </c>
      <c r="D7" s="29">
        <v>600</v>
      </c>
      <c r="E7" s="32">
        <f>IFERROR(VLOOKUP(TuesdayTable[[#This Row],[Detail]],Table8[[Menu]:[Price]],2,FALSE),0)</f>
        <v>0</v>
      </c>
    </row>
    <row r="8" spans="1:5" s="10" customFormat="1" ht="24" customHeight="1" x14ac:dyDescent="0.45">
      <c r="A8" s="27">
        <f t="shared" si="0"/>
        <v>6</v>
      </c>
      <c r="B8" s="28">
        <v>0.80555555555555547</v>
      </c>
      <c r="C8" s="40" t="s">
        <v>30</v>
      </c>
      <c r="D8" s="35">
        <v>0</v>
      </c>
      <c r="E8" s="32">
        <f>IFERROR(VLOOKUP(TuesdayTable[[#This Row],[Detail]],Table8[[Menu]:[Price]],2,FALSE),0)</f>
        <v>60</v>
      </c>
    </row>
    <row r="9" spans="1:5" s="10" customFormat="1" ht="24" customHeight="1" x14ac:dyDescent="0.45">
      <c r="A9" s="37"/>
      <c r="B9" s="37"/>
      <c r="C9" s="39" t="s">
        <v>10</v>
      </c>
      <c r="D9" s="36">
        <f>SUBTOTAL(109,TuesdayTable[Income])</f>
        <v>1070</v>
      </c>
      <c r="E9" s="36">
        <f>SUBTOTAL(109,TuesdayTable[Expense])</f>
        <v>270</v>
      </c>
    </row>
    <row r="10" spans="1:5" s="10" customFormat="1" ht="24" customHeight="1" x14ac:dyDescent="0.45">
      <c r="A10" s="41"/>
      <c r="B10" s="42"/>
      <c r="C10" s="49" t="s">
        <v>14</v>
      </c>
      <c r="D10" s="41">
        <f>TuesdayTable[[#Totals],[Income]]-TuesdayTable[[#Totals],[Expense]]</f>
        <v>800</v>
      </c>
      <c r="E10" s="41" t="s">
        <v>5</v>
      </c>
    </row>
    <row r="11" spans="1:5" s="10" customFormat="1" ht="24" customHeight="1" x14ac:dyDescent="0.45">
      <c r="A11" s="26"/>
      <c r="B11" s="26"/>
      <c r="D11" s="26"/>
      <c r="E11" s="26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F840-97CF-460C-ACC9-A97DB1ECFD52}">
  <sheetPr codeName="Sheet4"/>
  <dimension ref="A1:E11"/>
  <sheetViews>
    <sheetView workbookViewId="0">
      <selection activeCell="C3" sqref="C3:E8"/>
    </sheetView>
  </sheetViews>
  <sheetFormatPr defaultRowHeight="24" customHeight="1" x14ac:dyDescent="0.45"/>
  <cols>
    <col min="1" max="7" width="22.59765625" customWidth="1"/>
  </cols>
  <sheetData>
    <row r="1" spans="1:5" ht="24" customHeight="1" x14ac:dyDescent="0.45">
      <c r="A1" s="44" t="s">
        <v>13</v>
      </c>
      <c r="B1" s="44"/>
      <c r="C1" s="44"/>
      <c r="D1" s="44"/>
      <c r="E1" s="44"/>
    </row>
    <row r="2" spans="1:5" s="10" customFormat="1" ht="24" customHeight="1" x14ac:dyDescent="0.45">
      <c r="A2" s="4" t="s">
        <v>4</v>
      </c>
      <c r="B2" s="5" t="s">
        <v>3</v>
      </c>
      <c r="C2" s="5" t="s">
        <v>2</v>
      </c>
      <c r="D2" s="5" t="s">
        <v>0</v>
      </c>
      <c r="E2" s="6" t="s">
        <v>1</v>
      </c>
    </row>
    <row r="3" spans="1:5" s="10" customFormat="1" ht="24" customHeight="1" x14ac:dyDescent="0.45">
      <c r="A3" s="27">
        <f>ROW(A1)</f>
        <v>1</v>
      </c>
      <c r="B3" s="28">
        <v>0</v>
      </c>
      <c r="C3" s="38" t="s">
        <v>14</v>
      </c>
      <c r="D3" s="30">
        <f>VLOOKUP(WednesdayTable[[#This Row],[Detail]],Tuesday!C10:D10,2,FALSE)</f>
        <v>800</v>
      </c>
      <c r="E3" s="31">
        <v>0</v>
      </c>
    </row>
    <row r="4" spans="1:5" s="10" customFormat="1" ht="24" customHeight="1" x14ac:dyDescent="0.45">
      <c r="A4" s="27">
        <f t="shared" ref="A4:A6" si="0">ROW(A2)</f>
        <v>2</v>
      </c>
      <c r="B4" s="28">
        <v>0.3125</v>
      </c>
      <c r="C4" s="38" t="s">
        <v>26</v>
      </c>
      <c r="D4" s="29">
        <v>0</v>
      </c>
      <c r="E4" s="32">
        <f>IFERROR(VLOOKUP(WednesdayTable[[#This Row],[Detail]],Table8[[Menu]:[Price]],2,FALSE),0)</f>
        <v>50</v>
      </c>
    </row>
    <row r="5" spans="1:5" s="10" customFormat="1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IFERROR(VLOOKUP(WednesdayTable[[#This Row],[Detail]],Table8[[Menu]:[Price]],2,FALSE),0)</f>
        <v>80</v>
      </c>
    </row>
    <row r="6" spans="1:5" s="10" customFormat="1" ht="24" customHeight="1" x14ac:dyDescent="0.45">
      <c r="A6" s="27">
        <f t="shared" si="0"/>
        <v>4</v>
      </c>
      <c r="B6" s="28">
        <v>0.51388888888888895</v>
      </c>
      <c r="C6" s="38" t="s">
        <v>28</v>
      </c>
      <c r="D6" s="29">
        <v>0</v>
      </c>
      <c r="E6" s="32">
        <f>IFERROR(VLOOKUP(WednesdayTable[[#This Row],[Detail]],Table8[[Menu]:[Price]],2,FALSE),0)</f>
        <v>40</v>
      </c>
    </row>
    <row r="7" spans="1:5" s="10" customFormat="1" ht="24" customHeight="1" x14ac:dyDescent="0.45">
      <c r="A7" s="27">
        <f>ROW(A6)</f>
        <v>6</v>
      </c>
      <c r="B7" s="28">
        <v>0.55555555555555602</v>
      </c>
      <c r="C7" s="38" t="s">
        <v>22</v>
      </c>
      <c r="D7" s="30">
        <v>1000</v>
      </c>
      <c r="E7" s="32">
        <f>IFERROR(VLOOKUP(WednesdayTable[[#This Row],[Detail]],Table8[[Menu]:[Price]],2,FALSE),0)</f>
        <v>0</v>
      </c>
    </row>
    <row r="8" spans="1:5" s="10" customFormat="1" ht="24" customHeight="1" x14ac:dyDescent="0.45">
      <c r="A8" s="33">
        <f>ROW(A7)</f>
        <v>7</v>
      </c>
      <c r="B8" s="34">
        <v>0.79166666666666663</v>
      </c>
      <c r="C8" s="40" t="s">
        <v>32</v>
      </c>
      <c r="D8" s="35">
        <v>0</v>
      </c>
      <c r="E8" s="32">
        <f>IFERROR(VLOOKUP(WednesdayTable[[#This Row],[Detail]],Table8[[Menu]:[Price]],2,FALSE),0)</f>
        <v>100</v>
      </c>
    </row>
    <row r="9" spans="1:5" s="10" customFormat="1" ht="24" customHeight="1" x14ac:dyDescent="0.45">
      <c r="A9" s="37"/>
      <c r="B9" s="37"/>
      <c r="C9" s="39" t="s">
        <v>10</v>
      </c>
      <c r="D9" s="36">
        <f>SUBTOTAL(109,WednesdayTable[Income])</f>
        <v>1800</v>
      </c>
      <c r="E9" s="36">
        <f>SUBTOTAL(109,WednesdayTable[Expense])</f>
        <v>270</v>
      </c>
    </row>
    <row r="10" spans="1:5" s="10" customFormat="1" ht="24" customHeight="1" x14ac:dyDescent="0.45">
      <c r="A10" s="41"/>
      <c r="B10" s="42"/>
      <c r="C10" s="49" t="s">
        <v>14</v>
      </c>
      <c r="D10" s="41">
        <f>WednesdayTable[[#Totals],[Income]]-WednesdayTable[[#Totals],[Expense]]</f>
        <v>1530</v>
      </c>
      <c r="E10" s="41" t="s">
        <v>5</v>
      </c>
    </row>
    <row r="11" spans="1:5" s="10" customFormat="1" ht="24" customHeight="1" x14ac:dyDescent="0.45"/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0C42-ACE4-44C7-ABC7-741C64525BD2}">
  <sheetPr codeName="Sheet5"/>
  <dimension ref="A1:E12"/>
  <sheetViews>
    <sheetView workbookViewId="0">
      <selection activeCell="C3" sqref="C3:E10"/>
    </sheetView>
  </sheetViews>
  <sheetFormatPr defaultRowHeight="24" customHeight="1" x14ac:dyDescent="0.45"/>
  <cols>
    <col min="1" max="5" width="22.59765625" customWidth="1"/>
  </cols>
  <sheetData>
    <row r="1" spans="1:5" ht="24" customHeight="1" x14ac:dyDescent="0.45">
      <c r="A1" s="46" t="s">
        <v>17</v>
      </c>
      <c r="B1" s="46"/>
      <c r="C1" s="46"/>
      <c r="D1" s="46"/>
      <c r="E1" s="46"/>
    </row>
    <row r="2" spans="1:5" ht="24" customHeight="1" x14ac:dyDescent="0.45">
      <c r="A2" s="17" t="s">
        <v>4</v>
      </c>
      <c r="B2" s="18" t="s">
        <v>3</v>
      </c>
      <c r="C2" s="18" t="s">
        <v>2</v>
      </c>
      <c r="D2" s="18" t="s">
        <v>0</v>
      </c>
      <c r="E2" s="19" t="s">
        <v>1</v>
      </c>
    </row>
    <row r="3" spans="1:5" ht="24" customHeight="1" x14ac:dyDescent="0.45">
      <c r="A3" s="27">
        <f>ROW(A1)</f>
        <v>1</v>
      </c>
      <c r="B3" s="28">
        <v>0</v>
      </c>
      <c r="C3" s="38" t="s">
        <v>14</v>
      </c>
      <c r="D3" s="30">
        <f>VLOOKUP(ThursdayTable[[#This Row],[Detail]],Wednesday!C10:D10,2,FALSE)</f>
        <v>1530</v>
      </c>
      <c r="E3" s="31">
        <v>0</v>
      </c>
    </row>
    <row r="4" spans="1:5" ht="24" customHeight="1" x14ac:dyDescent="0.45">
      <c r="A4" s="27">
        <f t="shared" ref="A4:A8" si="0">ROW(A2)</f>
        <v>2</v>
      </c>
      <c r="B4" s="28">
        <v>0.3125</v>
      </c>
      <c r="C4" s="38" t="s">
        <v>27</v>
      </c>
      <c r="D4" s="29">
        <v>0</v>
      </c>
      <c r="E4" s="32">
        <f>IFERROR(VLOOKUP(ThursdayTable[[#This Row],[Detail]],Table8[[Menu]:[Price]],2,FALSE),0)</f>
        <v>70</v>
      </c>
    </row>
    <row r="5" spans="1:5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IFERROR(VLOOKUP(ThursdayTable[[#This Row],[Detail]],Table8[[Menu]:[Price]],2,FALSE),0)</f>
        <v>80</v>
      </c>
    </row>
    <row r="6" spans="1:5" ht="24" customHeight="1" x14ac:dyDescent="0.45">
      <c r="A6" s="27">
        <f t="shared" si="0"/>
        <v>4</v>
      </c>
      <c r="B6" s="28">
        <v>0.51388888888888895</v>
      </c>
      <c r="C6" s="38" t="s">
        <v>29</v>
      </c>
      <c r="D6" s="29">
        <v>0</v>
      </c>
      <c r="E6" s="32">
        <f>IFERROR(VLOOKUP(ThursdayTable[[#This Row],[Detail]],Table8[[Menu]:[Price]],2,FALSE),0)</f>
        <v>60</v>
      </c>
    </row>
    <row r="7" spans="1:5" ht="24" customHeight="1" x14ac:dyDescent="0.45">
      <c r="A7" s="27">
        <f t="shared" si="0"/>
        <v>5</v>
      </c>
      <c r="B7" s="28">
        <v>0.51388888888888895</v>
      </c>
      <c r="C7" s="38" t="s">
        <v>8</v>
      </c>
      <c r="D7" s="29">
        <v>0</v>
      </c>
      <c r="E7" s="32">
        <f>IFERROR(VLOOKUP(ThursdayTable[[#This Row],[Detail]],Table8[[Menu]:[Price]],2,FALSE),0)</f>
        <v>20</v>
      </c>
    </row>
    <row r="8" spans="1:5" ht="24" customHeight="1" x14ac:dyDescent="0.45">
      <c r="A8" s="27">
        <f t="shared" si="0"/>
        <v>6</v>
      </c>
      <c r="B8" s="28">
        <v>0.55555555555555602</v>
      </c>
      <c r="C8" s="38" t="s">
        <v>12</v>
      </c>
      <c r="D8" s="30">
        <v>900</v>
      </c>
      <c r="E8" s="32">
        <f>IFERROR(VLOOKUP(ThursdayTable[[#This Row],[Detail]],Table8[[Menu]:[Price]],2,FALSE),0)</f>
        <v>0</v>
      </c>
    </row>
    <row r="9" spans="1:5" ht="24" customHeight="1" x14ac:dyDescent="0.45">
      <c r="A9" s="27">
        <f>ROW(A7)</f>
        <v>7</v>
      </c>
      <c r="B9" s="28">
        <v>0.72916666666666663</v>
      </c>
      <c r="C9" s="38" t="s">
        <v>9</v>
      </c>
      <c r="D9" s="29">
        <v>0</v>
      </c>
      <c r="E9" s="32">
        <v>700</v>
      </c>
    </row>
    <row r="10" spans="1:5" ht="24" customHeight="1" x14ac:dyDescent="0.45">
      <c r="A10" s="50">
        <f>ROW(A8)</f>
        <v>8</v>
      </c>
      <c r="B10" s="28">
        <v>0.81944444444444453</v>
      </c>
      <c r="C10" s="38" t="s">
        <v>30</v>
      </c>
      <c r="D10" s="29">
        <v>0</v>
      </c>
      <c r="E10" s="32">
        <v>600</v>
      </c>
    </row>
    <row r="11" spans="1:5" ht="24" customHeight="1" x14ac:dyDescent="0.45">
      <c r="A11" s="3"/>
      <c r="B11" s="3"/>
      <c r="C11" s="1" t="s">
        <v>10</v>
      </c>
      <c r="D11" s="2">
        <f>SUBTOTAL(109,ThursdayTable[Income])</f>
        <v>2430</v>
      </c>
      <c r="E11" s="2">
        <f>SUBTOTAL(109,ThursdayTable[Expense])</f>
        <v>1530</v>
      </c>
    </row>
    <row r="12" spans="1:5" ht="24" customHeight="1" x14ac:dyDescent="0.45">
      <c r="A12" s="7"/>
      <c r="B12" s="8"/>
      <c r="C12" s="49" t="s">
        <v>14</v>
      </c>
      <c r="D12" s="7">
        <f>ThursdayTable[[#Totals],[Income]]-ThursdayTable[[#Totals],[Expense]]</f>
        <v>900</v>
      </c>
      <c r="E12" s="7" t="s">
        <v>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2C7C-714D-40A2-AE1D-34074709F2B7}">
  <sheetPr codeName="Sheet6"/>
  <dimension ref="A1:E10"/>
  <sheetViews>
    <sheetView workbookViewId="0">
      <selection activeCell="C3" sqref="C3:E8"/>
    </sheetView>
  </sheetViews>
  <sheetFormatPr defaultRowHeight="24" customHeight="1" x14ac:dyDescent="0.45"/>
  <cols>
    <col min="1" max="7" width="22.59765625" customWidth="1"/>
  </cols>
  <sheetData>
    <row r="1" spans="1:5" ht="24" customHeight="1" x14ac:dyDescent="0.45">
      <c r="A1" s="47" t="s">
        <v>16</v>
      </c>
      <c r="B1" s="47"/>
      <c r="C1" s="47"/>
      <c r="D1" s="47"/>
      <c r="E1" s="47"/>
    </row>
    <row r="2" spans="1:5" ht="24" customHeight="1" x14ac:dyDescent="0.45">
      <c r="A2" s="14" t="s">
        <v>4</v>
      </c>
      <c r="B2" s="15" t="s">
        <v>3</v>
      </c>
      <c r="C2" s="15" t="s">
        <v>2</v>
      </c>
      <c r="D2" s="15" t="s">
        <v>0</v>
      </c>
      <c r="E2" s="16" t="s">
        <v>1</v>
      </c>
    </row>
    <row r="3" spans="1:5" ht="24" customHeight="1" x14ac:dyDescent="0.45">
      <c r="A3" s="27">
        <f>ROW(A1)</f>
        <v>1</v>
      </c>
      <c r="B3" s="28">
        <v>0</v>
      </c>
      <c r="C3" s="38" t="s">
        <v>14</v>
      </c>
      <c r="D3" s="30">
        <f>VLOOKUP(FridayTable[[#This Row],[Detail]],Thursday!C12:D12,2,FALSE)</f>
        <v>900</v>
      </c>
      <c r="E3" s="31">
        <v>0</v>
      </c>
    </row>
    <row r="4" spans="1:5" ht="24" customHeight="1" x14ac:dyDescent="0.45">
      <c r="A4" s="27">
        <f t="shared" ref="A4:A8" si="0">ROW(A2)</f>
        <v>2</v>
      </c>
      <c r="B4" s="28">
        <v>0.3125</v>
      </c>
      <c r="C4" s="38" t="s">
        <v>26</v>
      </c>
      <c r="D4" s="29">
        <v>0</v>
      </c>
      <c r="E4" s="32">
        <f>IFERROR(VLOOKUP(FridayTable[[#This Row],[Detail]],Table8[[Menu]:[Price]],2,FALSE),0)</f>
        <v>50</v>
      </c>
    </row>
    <row r="5" spans="1:5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IFERROR(VLOOKUP(FridayTable[[#This Row],[Detail]],Table8[[Menu]:[Price]],2,FALSE),0)</f>
        <v>80</v>
      </c>
    </row>
    <row r="6" spans="1:5" ht="24" customHeight="1" x14ac:dyDescent="0.45">
      <c r="A6" s="27">
        <f t="shared" si="0"/>
        <v>4</v>
      </c>
      <c r="B6" s="28">
        <v>0.51388888888888895</v>
      </c>
      <c r="C6" s="38" t="s">
        <v>28</v>
      </c>
      <c r="D6" s="29">
        <v>0</v>
      </c>
      <c r="E6" s="32">
        <f>IFERROR(VLOOKUP(FridayTable[[#This Row],[Detail]],Table8[[Menu]:[Price]],2,FALSE),0)</f>
        <v>40</v>
      </c>
    </row>
    <row r="7" spans="1:5" ht="24" customHeight="1" x14ac:dyDescent="0.45">
      <c r="A7" s="27">
        <f t="shared" si="0"/>
        <v>5</v>
      </c>
      <c r="B7" s="28">
        <v>0.51388888888888895</v>
      </c>
      <c r="C7" s="38" t="s">
        <v>8</v>
      </c>
      <c r="D7" s="29">
        <v>0</v>
      </c>
      <c r="E7" s="32">
        <f>IFERROR(VLOOKUP(FridayTable[[#This Row],[Detail]],Table8[[Menu]:[Price]],2,FALSE),0)</f>
        <v>20</v>
      </c>
    </row>
    <row r="8" spans="1:5" ht="24" customHeight="1" x14ac:dyDescent="0.45">
      <c r="A8" s="27">
        <f t="shared" si="0"/>
        <v>6</v>
      </c>
      <c r="B8" s="34">
        <v>0.41666666666666702</v>
      </c>
      <c r="C8" s="40" t="s">
        <v>32</v>
      </c>
      <c r="D8" s="35">
        <v>0</v>
      </c>
      <c r="E8" s="32">
        <f>IFERROR(VLOOKUP(FridayTable[[#This Row],[Detail]],Table8[[Menu]:[Price]],2,FALSE),0)</f>
        <v>100</v>
      </c>
    </row>
    <row r="9" spans="1:5" ht="24" customHeight="1" x14ac:dyDescent="0.45">
      <c r="A9" s="3"/>
      <c r="B9" s="3"/>
      <c r="C9" s="1" t="s">
        <v>10</v>
      </c>
      <c r="D9" s="2">
        <f>SUBTOTAL(109,FridayTable[Income])</f>
        <v>900</v>
      </c>
      <c r="E9" s="2">
        <f>SUBTOTAL(109,FridayTable[Expense])</f>
        <v>290</v>
      </c>
    </row>
    <row r="10" spans="1:5" ht="24" customHeight="1" x14ac:dyDescent="0.45">
      <c r="A10" s="7"/>
      <c r="B10" s="8"/>
      <c r="C10" s="49" t="s">
        <v>14</v>
      </c>
      <c r="D10" s="7">
        <f>FridayTable[[#Totals],[Income]]-FridayTable[[#Totals],[Expense]]</f>
        <v>610</v>
      </c>
      <c r="E10" s="7" t="s">
        <v>5</v>
      </c>
    </row>
  </sheetData>
  <mergeCells count="1">
    <mergeCell ref="A1:E1"/>
  </mergeCells>
  <pageMargins left="0.7" right="0.7" top="0.75" bottom="0.75" header="0.3" footer="0.3"/>
  <ignoredErrors>
    <ignoredError sqref="A3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B664-9C55-4E2C-93A6-2164CC6513C9}">
  <sheetPr codeName="Sheet7"/>
  <dimension ref="A1:E10"/>
  <sheetViews>
    <sheetView workbookViewId="0">
      <selection activeCell="C3" sqref="C3:E8"/>
    </sheetView>
  </sheetViews>
  <sheetFormatPr defaultRowHeight="24" customHeight="1" x14ac:dyDescent="0.45"/>
  <cols>
    <col min="1" max="7" width="22.59765625" customWidth="1"/>
  </cols>
  <sheetData>
    <row r="1" spans="1:5" ht="24" customHeight="1" x14ac:dyDescent="0.45">
      <c r="A1" s="48" t="s">
        <v>15</v>
      </c>
      <c r="B1" s="48"/>
      <c r="C1" s="48"/>
      <c r="D1" s="48"/>
      <c r="E1" s="48"/>
    </row>
    <row r="2" spans="1:5" ht="24" customHeight="1" x14ac:dyDescent="0.45">
      <c r="A2" s="11" t="s">
        <v>4</v>
      </c>
      <c r="B2" s="12" t="s">
        <v>3</v>
      </c>
      <c r="C2" s="12" t="s">
        <v>2</v>
      </c>
      <c r="D2" s="12" t="s">
        <v>0</v>
      </c>
      <c r="E2" s="13" t="s">
        <v>1</v>
      </c>
    </row>
    <row r="3" spans="1:5" ht="24" customHeight="1" x14ac:dyDescent="0.45">
      <c r="A3" s="27">
        <f>ROW(A1)</f>
        <v>1</v>
      </c>
      <c r="B3" s="28">
        <v>0</v>
      </c>
      <c r="C3" s="49" t="s">
        <v>14</v>
      </c>
      <c r="D3" s="30">
        <f>VLOOKUP(SatursdayTable[[#This Row],[Detail]],Friday!C10:D10,2,FALSE)</f>
        <v>610</v>
      </c>
      <c r="E3" s="31">
        <v>0</v>
      </c>
    </row>
    <row r="4" spans="1:5" ht="24" customHeight="1" x14ac:dyDescent="0.45">
      <c r="A4" s="27">
        <f t="shared" ref="A4:A8" si="0">ROW(A2)</f>
        <v>2</v>
      </c>
      <c r="B4" s="28">
        <v>0.3125</v>
      </c>
      <c r="C4" s="38" t="s">
        <v>27</v>
      </c>
      <c r="D4" s="29">
        <v>0</v>
      </c>
      <c r="E4" s="32">
        <f>IFERROR(VLOOKUP(SatursdayTable[[#This Row],[Detail]],Table8[[Menu]:[Price]],2,FALSE),0)</f>
        <v>70</v>
      </c>
    </row>
    <row r="5" spans="1:5" ht="24" customHeight="1" x14ac:dyDescent="0.45">
      <c r="A5" s="27">
        <f t="shared" si="0"/>
        <v>3</v>
      </c>
      <c r="B5" s="28">
        <v>0.35416666666666669</v>
      </c>
      <c r="C5" s="38" t="s">
        <v>7</v>
      </c>
      <c r="D5" s="29">
        <v>0</v>
      </c>
      <c r="E5" s="32">
        <f>IFERROR(VLOOKUP(SatursdayTable[[#This Row],[Detail]],Table8[[Menu]:[Price]],2,FALSE),0)</f>
        <v>80</v>
      </c>
    </row>
    <row r="6" spans="1:5" ht="24" customHeight="1" x14ac:dyDescent="0.45">
      <c r="A6" s="27">
        <f t="shared" si="0"/>
        <v>4</v>
      </c>
      <c r="B6" s="28">
        <v>0.51388888888888895</v>
      </c>
      <c r="C6" s="38" t="s">
        <v>29</v>
      </c>
      <c r="D6" s="29">
        <v>0</v>
      </c>
      <c r="E6" s="32">
        <f>IFERROR(VLOOKUP(SatursdayTable[[#This Row],[Detail]],Table8[[Menu]:[Price]],2,FALSE),0)</f>
        <v>60</v>
      </c>
    </row>
    <row r="7" spans="1:5" ht="24" customHeight="1" x14ac:dyDescent="0.45">
      <c r="A7" s="27">
        <f t="shared" si="0"/>
        <v>5</v>
      </c>
      <c r="B7" s="28">
        <v>0.51388888888888895</v>
      </c>
      <c r="C7" s="38" t="s">
        <v>8</v>
      </c>
      <c r="D7" s="29">
        <v>0</v>
      </c>
      <c r="E7" s="32">
        <f>IFERROR(VLOOKUP(SatursdayTable[[#This Row],[Detail]],Table8[[Menu]:[Price]],2,FALSE),0)</f>
        <v>20</v>
      </c>
    </row>
    <row r="8" spans="1:5" ht="24" customHeight="1" x14ac:dyDescent="0.45">
      <c r="A8" s="27">
        <f t="shared" si="0"/>
        <v>6</v>
      </c>
      <c r="B8" s="34">
        <v>0.41666666666666702</v>
      </c>
      <c r="C8" s="40" t="s">
        <v>30</v>
      </c>
      <c r="D8" s="35">
        <v>0</v>
      </c>
      <c r="E8" s="32">
        <f>IFERROR(VLOOKUP(SatursdayTable[[#This Row],[Detail]],Table8[[Menu]:[Price]],2,FALSE),0)</f>
        <v>60</v>
      </c>
    </row>
    <row r="9" spans="1:5" ht="24" customHeight="1" x14ac:dyDescent="0.45">
      <c r="A9" s="3"/>
      <c r="B9" s="3"/>
      <c r="C9" s="1" t="s">
        <v>10</v>
      </c>
      <c r="D9" s="2">
        <f>SUBTOTAL(109,SatursdayTable[Income])</f>
        <v>610</v>
      </c>
      <c r="E9" s="2">
        <f>SUBTOTAL(109,SatursdayTable[Expense])</f>
        <v>290</v>
      </c>
    </row>
    <row r="10" spans="1:5" ht="24" customHeight="1" x14ac:dyDescent="0.45">
      <c r="A10" s="7"/>
      <c r="B10" s="8"/>
      <c r="C10" s="49" t="s">
        <v>14</v>
      </c>
      <c r="D10" s="7">
        <f>SatursdayTable[[#Totals],[Income]]-SatursdayTable[[#Totals],[Expense]]</f>
        <v>320</v>
      </c>
      <c r="E10" s="7" t="s">
        <v>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FFDC-5666-49BE-AFC7-E00E7B7991E1}">
  <dimension ref="A1:H41"/>
  <sheetViews>
    <sheetView tabSelected="1" topLeftCell="B1" workbookViewId="0">
      <selection activeCell="J12" sqref="J12"/>
    </sheetView>
  </sheetViews>
  <sheetFormatPr defaultRowHeight="14.25" x14ac:dyDescent="0.45"/>
  <cols>
    <col min="2" max="2" width="22.796875" bestFit="1" customWidth="1"/>
    <col min="3" max="3" width="8.33203125" customWidth="1"/>
    <col min="4" max="4" width="10.19921875" bestFit="1" customWidth="1"/>
  </cols>
  <sheetData>
    <row r="1" spans="1:8" ht="25.15" customHeight="1" x14ac:dyDescent="0.45">
      <c r="A1" s="26" t="s">
        <v>3</v>
      </c>
      <c r="B1" s="26" t="s">
        <v>2</v>
      </c>
      <c r="C1" s="26" t="s">
        <v>0</v>
      </c>
      <c r="D1" s="26" t="s">
        <v>34</v>
      </c>
    </row>
    <row r="2" spans="1:8" x14ac:dyDescent="0.45">
      <c r="A2" s="55" t="s">
        <v>20</v>
      </c>
      <c r="B2" s="49" t="s">
        <v>11</v>
      </c>
      <c r="C2" s="53">
        <v>1000</v>
      </c>
      <c r="D2" s="53">
        <f>IFERROR(VLOOKUP(B2,Table8[[Menu]:[Price]],2,FALSE),0)</f>
        <v>0</v>
      </c>
      <c r="G2" s="29" t="s">
        <v>0</v>
      </c>
      <c r="H2" s="56">
        <f>SUM(Table10[Income])</f>
        <v>4700</v>
      </c>
    </row>
    <row r="3" spans="1:8" x14ac:dyDescent="0.45">
      <c r="A3" s="55"/>
      <c r="B3" s="49" t="s">
        <v>26</v>
      </c>
      <c r="C3" s="53">
        <v>0</v>
      </c>
      <c r="D3" s="53">
        <f>IFERROR(VLOOKUP(B3,Table8[[Menu]:[Price]],2,FALSE),0)</f>
        <v>50</v>
      </c>
      <c r="G3" s="29" t="s">
        <v>34</v>
      </c>
      <c r="H3" s="56">
        <f>SUM(Table10[Outcome])</f>
        <v>3840</v>
      </c>
    </row>
    <row r="4" spans="1:8" x14ac:dyDescent="0.45">
      <c r="A4" s="55"/>
      <c r="B4" s="49" t="s">
        <v>7</v>
      </c>
      <c r="C4" s="53">
        <v>0</v>
      </c>
      <c r="D4" s="53">
        <f>IFERROR(VLOOKUP(B4,Table8[[Menu]:[Price]],2,FALSE),0)</f>
        <v>80</v>
      </c>
    </row>
    <row r="5" spans="1:8" x14ac:dyDescent="0.45">
      <c r="A5" s="55"/>
      <c r="B5" s="49" t="s">
        <v>28</v>
      </c>
      <c r="C5" s="53">
        <v>0</v>
      </c>
      <c r="D5" s="53">
        <f>IFERROR(VLOOKUP(B5,Table8[[Menu]:[Price]],2,FALSE),0)</f>
        <v>40</v>
      </c>
    </row>
    <row r="6" spans="1:8" x14ac:dyDescent="0.45">
      <c r="A6" s="55"/>
      <c r="B6" s="49" t="s">
        <v>8</v>
      </c>
      <c r="C6" s="53">
        <v>0</v>
      </c>
      <c r="D6" s="53">
        <f>IFERROR(VLOOKUP(B6,Table8[[Menu]:[Price]],2,FALSE),0)</f>
        <v>20</v>
      </c>
    </row>
    <row r="7" spans="1:8" x14ac:dyDescent="0.45">
      <c r="A7" s="55"/>
      <c r="B7" s="49" t="s">
        <v>12</v>
      </c>
      <c r="C7" s="53">
        <v>1200</v>
      </c>
      <c r="D7" s="53">
        <f>IFERROR(VLOOKUP(B7,Table8[[Menu]:[Price]],2,FALSE),0)</f>
        <v>0</v>
      </c>
    </row>
    <row r="8" spans="1:8" x14ac:dyDescent="0.45">
      <c r="A8" s="55"/>
      <c r="B8" s="49" t="s">
        <v>9</v>
      </c>
      <c r="C8" s="53">
        <v>0</v>
      </c>
      <c r="D8" s="53">
        <v>800</v>
      </c>
    </row>
    <row r="9" spans="1:8" x14ac:dyDescent="0.45">
      <c r="A9" s="55"/>
      <c r="B9" s="54" t="s">
        <v>30</v>
      </c>
      <c r="C9" s="53">
        <v>0</v>
      </c>
      <c r="D9" s="53">
        <f>IFERROR(VLOOKUP(B9,Table8[[Menu]:[Price]],2,FALSE),0)</f>
        <v>60</v>
      </c>
    </row>
    <row r="10" spans="1:8" x14ac:dyDescent="0.45">
      <c r="A10" s="55" t="s">
        <v>6</v>
      </c>
      <c r="B10" s="49" t="s">
        <v>27</v>
      </c>
      <c r="C10" s="53">
        <v>0</v>
      </c>
      <c r="D10" s="53">
        <f>IFERROR(VLOOKUP(B10,Table8[[Menu]:[Price]],2,FALSE),0)</f>
        <v>70</v>
      </c>
    </row>
    <row r="11" spans="1:8" x14ac:dyDescent="0.45">
      <c r="A11" s="55"/>
      <c r="B11" s="49" t="s">
        <v>7</v>
      </c>
      <c r="C11" s="53">
        <v>0</v>
      </c>
      <c r="D11" s="53">
        <f>IFERROR(VLOOKUP(B11,Table8[[Menu]:[Price]],2,FALSE),0)</f>
        <v>80</v>
      </c>
    </row>
    <row r="12" spans="1:8" x14ac:dyDescent="0.45">
      <c r="A12" s="55"/>
      <c r="B12" s="49" t="s">
        <v>28</v>
      </c>
      <c r="C12" s="53">
        <v>0</v>
      </c>
      <c r="D12" s="53">
        <f>IFERROR(VLOOKUP(B12,Table8[[Menu]:[Price]],2,FALSE),0)</f>
        <v>40</v>
      </c>
    </row>
    <row r="13" spans="1:8" x14ac:dyDescent="0.45">
      <c r="A13" s="55"/>
      <c r="B13" s="49" t="s">
        <v>21</v>
      </c>
      <c r="C13" s="53">
        <v>0</v>
      </c>
      <c r="D13" s="53">
        <v>390</v>
      </c>
    </row>
    <row r="14" spans="1:8" x14ac:dyDescent="0.45">
      <c r="A14" s="55"/>
      <c r="B14" s="49" t="s">
        <v>32</v>
      </c>
      <c r="C14" s="53">
        <v>0</v>
      </c>
      <c r="D14" s="53">
        <f>IFERROR(VLOOKUP(B14,Table8[[Menu]:[Price]],2,FALSE),0)</f>
        <v>100</v>
      </c>
    </row>
    <row r="15" spans="1:8" x14ac:dyDescent="0.45">
      <c r="A15" s="55" t="s">
        <v>18</v>
      </c>
      <c r="B15" s="49" t="s">
        <v>27</v>
      </c>
      <c r="C15" s="53">
        <v>0</v>
      </c>
      <c r="D15" s="53">
        <f>IFERROR(VLOOKUP(B15,Table8[[Menu]:[Price]],2,FALSE),0)</f>
        <v>70</v>
      </c>
    </row>
    <row r="16" spans="1:8" x14ac:dyDescent="0.45">
      <c r="A16" s="55"/>
      <c r="B16" s="49" t="s">
        <v>7</v>
      </c>
      <c r="C16" s="53">
        <v>0</v>
      </c>
      <c r="D16" s="53">
        <f>IFERROR(VLOOKUP(B16,Table8[[Menu]:[Price]],2,FALSE),0)</f>
        <v>80</v>
      </c>
    </row>
    <row r="17" spans="1:4" x14ac:dyDescent="0.45">
      <c r="A17" s="55"/>
      <c r="B17" s="49" t="s">
        <v>29</v>
      </c>
      <c r="C17" s="53">
        <v>0</v>
      </c>
      <c r="D17" s="53">
        <f>IFERROR(VLOOKUP(B17,Table8[[Menu]:[Price]],2,FALSE),0)</f>
        <v>60</v>
      </c>
    </row>
    <row r="18" spans="1:4" x14ac:dyDescent="0.45">
      <c r="A18" s="55"/>
      <c r="B18" s="49" t="s">
        <v>23</v>
      </c>
      <c r="C18" s="53">
        <v>600</v>
      </c>
      <c r="D18" s="53">
        <f>IFERROR(VLOOKUP(B18,Table8[[Menu]:[Price]],2,FALSE),0)</f>
        <v>0</v>
      </c>
    </row>
    <row r="19" spans="1:4" x14ac:dyDescent="0.45">
      <c r="A19" s="55"/>
      <c r="B19" s="54" t="s">
        <v>30</v>
      </c>
      <c r="C19" s="53">
        <v>0</v>
      </c>
      <c r="D19" s="53">
        <f>IFERROR(VLOOKUP(B19,Table8[[Menu]:[Price]],2,FALSE),0)</f>
        <v>60</v>
      </c>
    </row>
    <row r="20" spans="1:4" x14ac:dyDescent="0.45">
      <c r="A20" s="55" t="s">
        <v>13</v>
      </c>
      <c r="B20" s="49" t="s">
        <v>26</v>
      </c>
      <c r="C20" s="53">
        <v>0</v>
      </c>
      <c r="D20" s="53">
        <f>IFERROR(VLOOKUP(B20,Table8[[Menu]:[Price]],2,FALSE),0)</f>
        <v>50</v>
      </c>
    </row>
    <row r="21" spans="1:4" x14ac:dyDescent="0.45">
      <c r="A21" s="55"/>
      <c r="B21" s="49" t="s">
        <v>7</v>
      </c>
      <c r="C21" s="53">
        <v>0</v>
      </c>
      <c r="D21" s="53">
        <f>IFERROR(VLOOKUP(B21,Table8[[Menu]:[Price]],2,FALSE),0)</f>
        <v>80</v>
      </c>
    </row>
    <row r="22" spans="1:4" x14ac:dyDescent="0.45">
      <c r="A22" s="55"/>
      <c r="B22" s="49" t="s">
        <v>28</v>
      </c>
      <c r="C22" s="53">
        <v>0</v>
      </c>
      <c r="D22" s="53">
        <f>IFERROR(VLOOKUP(B22,Table8[[Menu]:[Price]],2,FALSE),0)</f>
        <v>40</v>
      </c>
    </row>
    <row r="23" spans="1:4" x14ac:dyDescent="0.45">
      <c r="A23" s="55"/>
      <c r="B23" s="49" t="s">
        <v>22</v>
      </c>
      <c r="C23" s="53">
        <v>1000</v>
      </c>
      <c r="D23" s="53">
        <f>IFERROR(VLOOKUP(B23,Table8[[Menu]:[Price]],2,FALSE),0)</f>
        <v>0</v>
      </c>
    </row>
    <row r="24" spans="1:4" x14ac:dyDescent="0.45">
      <c r="A24" s="55"/>
      <c r="B24" s="54" t="s">
        <v>32</v>
      </c>
      <c r="C24" s="53">
        <v>0</v>
      </c>
      <c r="D24" s="53">
        <f>IFERROR(VLOOKUP(B24,Table8[[Menu]:[Price]],2,FALSE),0)</f>
        <v>100</v>
      </c>
    </row>
    <row r="25" spans="1:4" x14ac:dyDescent="0.45">
      <c r="A25" s="55" t="s">
        <v>17</v>
      </c>
      <c r="B25" s="49" t="s">
        <v>27</v>
      </c>
      <c r="C25" s="53">
        <v>0</v>
      </c>
      <c r="D25" s="53">
        <f>IFERROR(VLOOKUP(B25,Table8[[Menu]:[Price]],2,FALSE),0)</f>
        <v>70</v>
      </c>
    </row>
    <row r="26" spans="1:4" x14ac:dyDescent="0.45">
      <c r="A26" s="55"/>
      <c r="B26" s="49" t="s">
        <v>7</v>
      </c>
      <c r="C26" s="53">
        <v>0</v>
      </c>
      <c r="D26" s="53">
        <f>IFERROR(VLOOKUP(B26,Table8[[Menu]:[Price]],2,FALSE),0)</f>
        <v>80</v>
      </c>
    </row>
    <row r="27" spans="1:4" x14ac:dyDescent="0.45">
      <c r="A27" s="55"/>
      <c r="B27" s="49" t="s">
        <v>29</v>
      </c>
      <c r="C27" s="53">
        <v>0</v>
      </c>
      <c r="D27" s="53">
        <f>IFERROR(VLOOKUP(B27,Table8[[Menu]:[Price]],2,FALSE),0)</f>
        <v>60</v>
      </c>
    </row>
    <row r="28" spans="1:4" x14ac:dyDescent="0.45">
      <c r="A28" s="55"/>
      <c r="B28" s="49" t="s">
        <v>8</v>
      </c>
      <c r="C28" s="53">
        <v>0</v>
      </c>
      <c r="D28" s="53">
        <f>IFERROR(VLOOKUP(B28,Table8[[Menu]:[Price]],2,FALSE),0)</f>
        <v>20</v>
      </c>
    </row>
    <row r="29" spans="1:4" x14ac:dyDescent="0.45">
      <c r="A29" s="55"/>
      <c r="B29" s="49" t="s">
        <v>12</v>
      </c>
      <c r="C29" s="53">
        <v>900</v>
      </c>
      <c r="D29" s="53">
        <f>IFERROR(VLOOKUP(B29,Table8[[Menu]:[Price]],2,FALSE),0)</f>
        <v>0</v>
      </c>
    </row>
    <row r="30" spans="1:4" x14ac:dyDescent="0.45">
      <c r="A30" s="55"/>
      <c r="B30" s="49" t="s">
        <v>9</v>
      </c>
      <c r="C30" s="53">
        <v>0</v>
      </c>
      <c r="D30" s="53">
        <v>700</v>
      </c>
    </row>
    <row r="31" spans="1:4" x14ac:dyDescent="0.45">
      <c r="A31" s="55"/>
      <c r="B31" s="49" t="s">
        <v>30</v>
      </c>
      <c r="C31" s="53">
        <v>0</v>
      </c>
      <c r="D31" s="53">
        <f>IFERROR(VLOOKUP(B31,Table8[[Menu]:[Price]],2,FALSE),0)</f>
        <v>60</v>
      </c>
    </row>
    <row r="32" spans="1:4" x14ac:dyDescent="0.45">
      <c r="A32" s="55" t="s">
        <v>16</v>
      </c>
      <c r="B32" s="49" t="s">
        <v>26</v>
      </c>
      <c r="C32" s="53">
        <v>0</v>
      </c>
      <c r="D32" s="53">
        <f>IFERROR(VLOOKUP(B32,Table8[[Menu]:[Price]],2,FALSE),0)</f>
        <v>50</v>
      </c>
    </row>
    <row r="33" spans="1:4" x14ac:dyDescent="0.45">
      <c r="A33" s="55"/>
      <c r="B33" s="49" t="s">
        <v>7</v>
      </c>
      <c r="C33" s="53">
        <v>0</v>
      </c>
      <c r="D33" s="53">
        <f>IFERROR(VLOOKUP(B33,Table8[[Menu]:[Price]],2,FALSE),0)</f>
        <v>80</v>
      </c>
    </row>
    <row r="34" spans="1:4" x14ac:dyDescent="0.45">
      <c r="A34" s="55"/>
      <c r="B34" s="49" t="s">
        <v>28</v>
      </c>
      <c r="C34" s="53">
        <v>0</v>
      </c>
      <c r="D34" s="53">
        <f>IFERROR(VLOOKUP(B34,Table8[[Menu]:[Price]],2,FALSE),0)</f>
        <v>40</v>
      </c>
    </row>
    <row r="35" spans="1:4" x14ac:dyDescent="0.45">
      <c r="A35" s="55"/>
      <c r="B35" s="49" t="s">
        <v>8</v>
      </c>
      <c r="C35" s="53">
        <v>0</v>
      </c>
      <c r="D35" s="53">
        <f>IFERROR(VLOOKUP(B35,Table8[[Menu]:[Price]],2,FALSE),0)</f>
        <v>20</v>
      </c>
    </row>
    <row r="36" spans="1:4" x14ac:dyDescent="0.45">
      <c r="A36" s="55"/>
      <c r="B36" s="54" t="s">
        <v>32</v>
      </c>
      <c r="C36" s="53">
        <v>0</v>
      </c>
      <c r="D36" s="53">
        <f>IFERROR(VLOOKUP(B36,Table8[[Menu]:[Price]],2,FALSE),0)</f>
        <v>100</v>
      </c>
    </row>
    <row r="37" spans="1:4" x14ac:dyDescent="0.45">
      <c r="A37" s="55" t="s">
        <v>15</v>
      </c>
      <c r="B37" s="49" t="s">
        <v>27</v>
      </c>
      <c r="C37" s="53">
        <v>0</v>
      </c>
      <c r="D37" s="53">
        <f>IFERROR(VLOOKUP(B37,Table8[[Menu]:[Price]],2,FALSE),0)</f>
        <v>70</v>
      </c>
    </row>
    <row r="38" spans="1:4" x14ac:dyDescent="0.45">
      <c r="A38" s="55"/>
      <c r="B38" s="49" t="s">
        <v>7</v>
      </c>
      <c r="C38" s="53">
        <v>0</v>
      </c>
      <c r="D38" s="53">
        <f>IFERROR(VLOOKUP(B38,Table8[[Menu]:[Price]],2,FALSE),0)</f>
        <v>80</v>
      </c>
    </row>
    <row r="39" spans="1:4" x14ac:dyDescent="0.45">
      <c r="A39" s="55"/>
      <c r="B39" s="49" t="s">
        <v>29</v>
      </c>
      <c r="C39" s="53">
        <v>0</v>
      </c>
      <c r="D39" s="53">
        <f>IFERROR(VLOOKUP(B39,Table8[[Menu]:[Price]],2,FALSE),0)</f>
        <v>60</v>
      </c>
    </row>
    <row r="40" spans="1:4" x14ac:dyDescent="0.45">
      <c r="A40" s="55"/>
      <c r="B40" s="49" t="s">
        <v>8</v>
      </c>
      <c r="C40" s="53">
        <v>0</v>
      </c>
      <c r="D40" s="53">
        <f>IFERROR(VLOOKUP(B40,Table8[[Menu]:[Price]],2,FALSE),0)</f>
        <v>20</v>
      </c>
    </row>
    <row r="41" spans="1:4" x14ac:dyDescent="0.45">
      <c r="A41" s="55"/>
      <c r="B41" s="54" t="s">
        <v>30</v>
      </c>
      <c r="C41" s="53">
        <v>0</v>
      </c>
      <c r="D41" s="53">
        <f>IFERROR(VLOOKUP(B41,Table8[[Menu]:[Price]],2,FALSE),0)</f>
        <v>60</v>
      </c>
    </row>
  </sheetData>
  <mergeCells count="7">
    <mergeCell ref="A37:A41"/>
    <mergeCell ref="A2:A9"/>
    <mergeCell ref="A10:A14"/>
    <mergeCell ref="A15:A19"/>
    <mergeCell ref="A20:A24"/>
    <mergeCell ref="A25:A31"/>
    <mergeCell ref="A32:A3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94C-AF6B-4458-ACE6-34E5285A3A41}">
  <dimension ref="B2:D10"/>
  <sheetViews>
    <sheetView workbookViewId="0">
      <selection activeCell="C10" sqref="C3:C10"/>
    </sheetView>
  </sheetViews>
  <sheetFormatPr defaultRowHeight="14.25" x14ac:dyDescent="0.45"/>
  <cols>
    <col min="3" max="3" width="22.796875" bestFit="1" customWidth="1"/>
  </cols>
  <sheetData>
    <row r="2" spans="2:4" ht="34.9" customHeight="1" x14ac:dyDescent="0.45">
      <c r="B2" s="51" t="s">
        <v>4</v>
      </c>
      <c r="C2" s="51" t="s">
        <v>24</v>
      </c>
      <c r="D2" s="51" t="s">
        <v>25</v>
      </c>
    </row>
    <row r="3" spans="2:4" ht="26" customHeight="1" x14ac:dyDescent="0.45">
      <c r="B3" s="26">
        <f>ROW(A1)</f>
        <v>1</v>
      </c>
      <c r="C3" s="10" t="s">
        <v>26</v>
      </c>
      <c r="D3" s="26">
        <v>50</v>
      </c>
    </row>
    <row r="4" spans="2:4" ht="26" customHeight="1" x14ac:dyDescent="0.45">
      <c r="B4" s="26">
        <f t="shared" ref="B4:B9" si="0">ROW(A2)</f>
        <v>2</v>
      </c>
      <c r="C4" s="10" t="s">
        <v>27</v>
      </c>
      <c r="D4" s="26">
        <v>70</v>
      </c>
    </row>
    <row r="5" spans="2:4" ht="26" customHeight="1" x14ac:dyDescent="0.45">
      <c r="B5" s="26">
        <f t="shared" si="0"/>
        <v>3</v>
      </c>
      <c r="C5" s="10" t="s">
        <v>28</v>
      </c>
      <c r="D5" s="26">
        <v>40</v>
      </c>
    </row>
    <row r="6" spans="2:4" ht="26" customHeight="1" x14ac:dyDescent="0.45">
      <c r="B6" s="26">
        <f t="shared" si="0"/>
        <v>4</v>
      </c>
      <c r="C6" s="10" t="s">
        <v>29</v>
      </c>
      <c r="D6" s="26">
        <v>60</v>
      </c>
    </row>
    <row r="7" spans="2:4" ht="26" customHeight="1" x14ac:dyDescent="0.45">
      <c r="B7" s="26">
        <f t="shared" si="0"/>
        <v>5</v>
      </c>
      <c r="C7" s="10" t="s">
        <v>32</v>
      </c>
      <c r="D7" s="26">
        <v>100</v>
      </c>
    </row>
    <row r="8" spans="2:4" ht="26" customHeight="1" x14ac:dyDescent="0.45">
      <c r="B8" s="26">
        <f t="shared" si="0"/>
        <v>6</v>
      </c>
      <c r="C8" s="10" t="s">
        <v>30</v>
      </c>
      <c r="D8" s="26">
        <v>60</v>
      </c>
    </row>
    <row r="9" spans="2:4" ht="26" customHeight="1" x14ac:dyDescent="0.45">
      <c r="B9" s="26">
        <f t="shared" si="0"/>
        <v>7</v>
      </c>
      <c r="C9" s="10" t="s">
        <v>31</v>
      </c>
      <c r="D9" s="26">
        <v>80</v>
      </c>
    </row>
    <row r="10" spans="2:4" ht="26" customHeight="1" x14ac:dyDescent="0.45">
      <c r="B10" s="26">
        <f>ROW(A8)</f>
        <v>8</v>
      </c>
      <c r="C10" s="10" t="s">
        <v>33</v>
      </c>
      <c r="D10" s="26">
        <v>20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Sunday</vt:lpstr>
      <vt:lpstr>Monday</vt:lpstr>
      <vt:lpstr>Tuesday</vt:lpstr>
      <vt:lpstr>Wednesday</vt:lpstr>
      <vt:lpstr>Thursday</vt:lpstr>
      <vt:lpstr>Friday</vt:lpstr>
      <vt:lpstr>Satursday</vt:lpstr>
      <vt:lpstr>Conclusion Table</vt:lpstr>
      <vt:lpstr>vlookup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</dc:creator>
  <cp:lastModifiedBy>Patchara</cp:lastModifiedBy>
  <dcterms:created xsi:type="dcterms:W3CDTF">2021-08-11T04:04:48Z</dcterms:created>
  <dcterms:modified xsi:type="dcterms:W3CDTF">2021-08-12T18:59:26Z</dcterms:modified>
</cp:coreProperties>
</file>