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v_questions" sheetId="1" r:id="rId4"/>
  </sheets>
  <definedNames/>
  <calcPr/>
</workbook>
</file>

<file path=xl/sharedStrings.xml><?xml version="1.0" encoding="utf-8"?>
<sst xmlns="http://schemas.openxmlformats.org/spreadsheetml/2006/main" count="8916" uniqueCount="5743">
  <si>
    <t>question_id</t>
  </si>
  <si>
    <t>db_id</t>
  </si>
  <si>
    <t>question</t>
  </si>
  <si>
    <t>evidence</t>
  </si>
  <si>
    <t>question_th</t>
  </si>
  <si>
    <t>evidence_th</t>
  </si>
  <si>
    <t>SQL</t>
  </si>
  <si>
    <t>difficulty</t>
  </si>
  <si>
    <t>california_schools</t>
  </si>
  <si>
    <t>What is the highest eligible free rate for K-12 students in the schools in Alameda County?</t>
  </si>
  <si>
    <t>Eligible free rate for K-12 = `Free Meal Count (K-12)` / `Enrollment (K-12)`</t>
  </si>
  <si>
    <t>อัตราฟรีที่มีสิทธิ์สำหรับระดับอนุบาลถึงมัธยมศึกษา (K-12) = `จำนวนมื้ออาหารฟรี (K-12)` / `การลงทะเบียน (K-12)`</t>
  </si>
  <si>
    <t>SELECT `Free Meal Count (K-12)` / `Enrollment (K-12)` FROM frpm WHERE `County Name` = 'Alameda' ORDER BY (CAST(`Free Meal Count (K-12)` AS REAL) / `Enrollment (K-12)`) DESC LIMIT 1</t>
  </si>
  <si>
    <t>simple</t>
  </si>
  <si>
    <t>Please list the lowest three eligible free rates for students aged 5-17 in continuation schools.</t>
  </si>
  <si>
    <t>Eligible free rates for students aged 5-17 = `Free Meal Count (Ages 5-17)` / `Enrollment (Ages 5-17)`</t>
  </si>
  <si>
    <t>ราคาฟรีที่มีสิทธิ์สำหรับนักเรียนอายุ 5-17 ปี = `นับมื้ออาหารฟรี (อายุ 5-17 ปี)` / `การลงทะเบียน (อายุ 5-17 ปี)`</t>
  </si>
  <si>
    <t>SELECT `Free Meal Count (Ages 5-17)` / `Enrollment (Ages 5-17)` FROM frpm WHERE `Educational Option Type` = 'Continuation School' AND `Free Meal Count (Ages 5-17)` / `Enrollment (Ages 5-17)` IS NOT NULL ORDER BY `Free Meal Count (Ages 5-17)` / `Enrollment (Ages 5-17)` ASC LIMIT 3</t>
  </si>
  <si>
    <t>moderate</t>
  </si>
  <si>
    <t>Please list the zip code of all the charter schools in Fresno County Office of Education.</t>
  </si>
  <si>
    <t>Charter schools refers to `Charter School (Y/N)` = 1 in the table fprm</t>
  </si>
  <si>
    <t>โรงเรียนกฎบัตรหมายถึง `โรงเรียนกฎบัตร (ใช่/ไม่มี)` = 1 ในตาราง fprm</t>
  </si>
  <si>
    <t>SELECT T2.Zip FROM frpm AS T1 INNER JOIN schools AS T2 ON T1.CDSCode = T2.CDSCode WHERE T1.`District Name` = 'Fresno County Office of Education' AND T1.`Charter School (Y/N)` = 1</t>
  </si>
  <si>
    <t>What is the unabbreviated mailing street address of the school with the highest FRPM count for K-12 students?</t>
  </si>
  <si>
    <t>SELECT T2.MailStreet FROM frpm AS T1 INNER JOIN schools AS T2 ON T1.CDSCode = T2.CDSCode ORDER BY T1.`FRPM Count (K-12)` DESC LIMIT 1</t>
  </si>
  <si>
    <t>Please list the phone numbers of the direct charter-funded schools that are opened after 2000/1/1.</t>
  </si>
  <si>
    <t>Charter schools refers to `Charter School (Y/N)` = 1 in the frpm</t>
  </si>
  <si>
    <t>โรงเรียนกฎบัตรหมายถึง `โรงเรียนกฎบัตร (ใช่/ไม่มี)` = 1 ในรอบต่อนาที</t>
  </si>
  <si>
    <t>SELECT T2.Phone FROM frpm AS T1 INNER JOIN schools AS T2 ON T1.CDSCode = T2.CDSCode WHERE T1.`Charter Funding Type` = 'Directly funded' AND T1.`Charter School (Y/N)` = 1 AND T2.OpenDate &gt; '2000-01-01'</t>
  </si>
  <si>
    <t>How many schools with an average score in Math greater than 400 in the SAT test are exclusively virtual?</t>
  </si>
  <si>
    <t>Exclusively virtual refers to Virtual = 'F'</t>
  </si>
  <si>
    <t>เสมือนโดยเฉพาะหมายถึง Virtual = 'F'</t>
  </si>
  <si>
    <t>SELECT COUNT(DISTINCT T2.School) FROM satscores AS T1 INNER JOIN schools AS T2 ON T1.cds = T2.CDSCode WHERE T2.Virtual = 'F' AND T1.AvgScrMath &gt; 400</t>
  </si>
  <si>
    <t>Among the schools with the SAT test takers of over 500, please list the schools that are magnet schools or offer a magnet program.</t>
  </si>
  <si>
    <t>Magnet schools or offer a magnet program means that Magnet = 1</t>
  </si>
  <si>
    <t>โรงเรียนแม่เหล็กหรือเสนอโปรแกรมแม่เหล็กหมายความว่า Magnet = 1</t>
  </si>
  <si>
    <t>SELECT T2.School FROM satscores AS T1 INNER JOIN schools AS T2 ON T1.cds = T2.CDSCode WHERE T2.Magnet = 1 AND T1.NumTstTakr &gt; 500</t>
  </si>
  <si>
    <t>What is the phone number of the school that has the highest number of test takers with an SAT score of over 1500?</t>
  </si>
  <si>
    <t>SELECT T2.Phone FROM satscores AS T1 INNER JOIN schools AS T2 ON T1.cds = T2.CDSCode ORDER BY T1.NumGE1500 DESC LIMIT 1</t>
  </si>
  <si>
    <t>What is the number of SAT test takers of the schools with the highest FRPM count for K-12 students?</t>
  </si>
  <si>
    <t>SELECT NumTstTakr FROM satscores WHERE cds = ( SELECT CDSCode FROM frpm ORDER BY `FRPM Count (K-12)` DESC LIMIT 1 )</t>
  </si>
  <si>
    <t>Among the schools with the average score in Math over 560 in the SAT test, how many schools are directly charter-funded?</t>
  </si>
  <si>
    <t>SELECT COUNT(T2.`School Code`) FROM satscores AS T1 INNER JOIN frpm AS T2 ON T1.cds = T2.CDSCode WHERE T1.AvgScrMath &gt; 560 AND T2.`Charter Funding Type` = 'Directly funded'</t>
  </si>
  <si>
    <t>For the school with the highest average score in Reading in the SAT test, what is its FRPM count for students aged 5-17?</t>
  </si>
  <si>
    <t>SELECT T2.`FRPM Count (Ages 5-17)` FROM satscores AS T1 INNER JOIN frpm AS T2 ON T1.cds = T2.CDSCode ORDER BY T1.AvgScrRead DESC LIMIT 1</t>
  </si>
  <si>
    <t>Please list the codes of the schools with a total enrollment of over 500.</t>
  </si>
  <si>
    <t>Total enrollment can be represented by `Enrollment (K-12)` + `Enrollment (Ages 5-17)`</t>
  </si>
  <si>
    <t>การลงทะเบียนทั้งหมดสามารถแสดงด้วย `การลงทะเบียน (K-12)` + `การลงทะเบียน (อายุ 5-17)`</t>
  </si>
  <si>
    <t>SELECT T2.CDSCode FROM schools AS T1 INNER JOIN frpm AS T2 ON T1.CDSCode = T2.CDSCode WHERE T2.`Enrollment (K-12)` + T2.`Enrollment (Ages 5-17)` &gt; 500</t>
  </si>
  <si>
    <t>Among the schools with an SAT excellence rate of over 0.3, what is the highest eligible free rate for students aged 5-17?</t>
  </si>
  <si>
    <t>Excellence rate = NumGE1500 / NumTstTakr; Eligible free rates for students aged 5-17 = `Free Meal Count (Ages 5-17)` / `Enrollment (Ages 5-17)`</t>
  </si>
  <si>
    <t>อัตราความเป็นเลิศ = NumGE1500 / NumTstTakr; ราคาฟรีที่มีสิทธิ์สำหรับนักเรียนอายุ 5-17 ปี = `นับมื้ออาหารฟรี (อายุ 5-17 ปี)` / `การลงทะเบียน (อายุ 5-17 ปี)`</t>
  </si>
  <si>
    <t>SELECT MAX(CAST(T1.`Free Meal Count (Ages 5-17)` AS REAL) / T1.`Enrollment (Ages 5-17)`) FROM frpm AS T1 INNER JOIN satscores AS T2 ON T1.CDSCode = T2.cds WHERE CAST(T2.NumGE1500 AS REAL) / T2.NumTstTakr &gt; 0.3</t>
  </si>
  <si>
    <t>Please list the phone numbers of the schools with the top 3 SAT excellence rate.</t>
  </si>
  <si>
    <t>Excellence rate = NumGE1500 / NumTstTakr</t>
  </si>
  <si>
    <t>อัตราความเป็นเลิศ = NumGE1500 / NumTstTakr</t>
  </si>
  <si>
    <t>SELECT T1.Phone FROM schools AS T1 INNER JOIN satscores AS T2 ON T1.CDSCode = T2.cds ORDER BY CAST(T2.NumGE1500 AS REAL) / T2.NumTstTakr DESC LIMIT 3</t>
  </si>
  <si>
    <t>List the top five schools, by descending order, from the highest to the lowest, the most number of Enrollment (Ages 5-17). Please give their NCES school identification number.</t>
  </si>
  <si>
    <t>SELECT T1.NCESSchool FROM schools AS T1 INNER JOIN frpm AS T2 ON T1.CDSCode = T2.CDSCode ORDER BY T2.`Enrollment (Ages 5-17)` DESC LIMIT 5</t>
  </si>
  <si>
    <t>Which active district has the highest average score in Reading?</t>
  </si>
  <si>
    <t>SELECT T1.District FROM schools AS T1 INNER JOIN satscores AS T2 ON T1.CDSCode = T2.cds WHERE T1.StatusType = 'Active' ORDER BY T2.AvgScrRead DESC LIMIT 1</t>
  </si>
  <si>
    <t>How many schools in merged Alameda have number of test takers less than 100?</t>
  </si>
  <si>
    <t>SELECT COUNT(T1.CDSCode) FROM schools AS T1 INNER JOIN satscores AS T2 ON T1.CDSCode = T2.cds WHERE T1.StatusType = 'Merged' AND T2.NumTstTakr &lt; 100 AND T1.County = 'Lake'</t>
  </si>
  <si>
    <t>Rank schools by their average score in Writing where the score is greater than 499, showing their charter numbers.</t>
  </si>
  <si>
    <t>Valid charter number means the number is not null</t>
  </si>
  <si>
    <t>หมายเลขกฎบัตรที่ถูกต้องหมายความว่าหมายเลขดังกล่าวไม่เป็นโมฆะ</t>
  </si>
  <si>
    <t>SELECT CharterNum, AvgScrWrite, RANK() OVER (ORDER BY AvgScrWrite DESC) AS WritingScoreRank FROM schools AS T1  INNER JOIN satscores AS T2 ON T1.CDSCode = T2.cds WHERE T2.AvgScrWrite &gt; 499 AND CharterNum is not null</t>
  </si>
  <si>
    <t>How many schools in Fresno (directly funded) have number of test takers not more than 250?</t>
  </si>
  <si>
    <t>SELECT COUNT(T1.CDSCode) FROM frpm AS T1 INNER JOIN satscores AS T2 ON T1.CDSCode = T2.cds WHERE T1.`Charter Funding Type` = 'Directly funded' AND T1.`County Name` = 'Fresno' AND T2.NumTstTakr &lt;= 250</t>
  </si>
  <si>
    <t>What is the phone number of the school that has the highest average score in Math?</t>
  </si>
  <si>
    <t>SELECT T1.Phone FROM schools AS T1 INNER JOIN satscores AS T2 ON T1.CDSCode = T2.cds ORDER BY T2.AvgScrMath DESC LIMIT 1</t>
  </si>
  <si>
    <t>How many schools in Amador which the Low Grade is 9 and the High Grade is 12?</t>
  </si>
  <si>
    <t>SELECT COUNT(T1.`School Name`) FROM frpm AS T1 INNER JOIN schools AS T2 ON T1.CDSCode = T2.CDSCode WHERE T2.County = 'Amador' AND T1.`Low Grade` = 9 AND T1.`High Grade` = 12</t>
  </si>
  <si>
    <t>In Los Angeles how many schools have more than 500 free meals but less than 700 free or reduced price meals for K-12?</t>
  </si>
  <si>
    <t>SELECT COUNT(CDSCode) FROM frpm WHERE `County Name` = 'Los Angeles' AND `Free Meal Count (K-12)` &gt; 500 AND `FRPM Count (K-12)`&lt; 700</t>
  </si>
  <si>
    <t>Which school in Contra Costa has the highest number of test takers?</t>
  </si>
  <si>
    <t>SELECT sname FROM satscores WHERE cname = 'Contra Costa' AND sname IS NOT NULL ORDER BY NumTstTakr DESC LIMIT 1</t>
  </si>
  <si>
    <t>List the names of schools with more than 30 difference in enrollements between K-12 and ages 5-17? Please also give the full street adress of the schools.</t>
  </si>
  <si>
    <t>Diffrence in enrollement = `Enrollment (K-12)` - `Enrollment (Ages 5-17)`</t>
  </si>
  <si>
    <t>ความแตกต่างในการลงทะเบียน = `การลงทะเบียน (K-12)` - `การลงทะเบียน (อายุ 5-17 ปี)`</t>
  </si>
  <si>
    <t>SELECT T1.School, T1.Street FROM schools AS T1 INNER JOIN frpm AS T2 ON T1.CDSCode = T2.CDSCode WHERE T2.`Enrollment (K-12)` - T2.`Enrollment (Ages 5-17)` &gt; 30</t>
  </si>
  <si>
    <t>Give the names of the schools with the percent eligible for free meals in K-12 is more than 0.1 and test takers whose test score is greater than or equal to 1500?</t>
  </si>
  <si>
    <t>Percent eligible for free meals = Free Meal Count (K-12) / Total (Enrollment (K-12)</t>
  </si>
  <si>
    <t>เปอร์เซ็นต์ที่มีสิทธิ์รับอาหารฟรี = จำนวนมื้ออาหารฟรี (K-12) / ทั้งหมด (การลงทะเบียน (K-12)</t>
  </si>
  <si>
    <t>SELECT T2.`School Name` FROM satscores AS T1 INNER JOIN frpm AS T2 ON T1.cds = T2.CDSCode WHERE CAST(T2.`Free Meal Count (K-12)` AS REAL) / T2.`Enrollment (K-12)` &gt; 0.1 AND T1.NumGE1500 &gt; 0</t>
  </si>
  <si>
    <t>Name schools in Riverside which the average of average math score for SAT is grater than 400, what is the funding type of these schools?</t>
  </si>
  <si>
    <t>Average of average math = sum(average math scores) / count(schools).</t>
  </si>
  <si>
    <t>ค่าเฉลี่ยของคณิตศาสตร์เฉลี่ย = ผลรวม (คะแนนคณิตศาสตร์เฉลี่ย) / การนับ (โรงเรียน)</t>
  </si>
  <si>
    <t>SELECT T1.sname, T2.`Charter Funding Type` FROM satscores AS T1 INNER JOIN frpm AS T2 ON T1.cds = T2.CDSCode WHERE T2.`District Name` LIKE 'Riverside%' GROUP BY T1.sname, T2.`Charter Funding Type` HAVING CAST(SUM(T1.AvgScrMath) AS REAL) / COUNT(T1.cds) &gt; 400</t>
  </si>
  <si>
    <t>State the names and full communication address of high schools in Monterey which has more than 800 free or reduced price meals for ages 15-17?</t>
  </si>
  <si>
    <t>Full communication address should include Street, City, State and zip code if any.</t>
  </si>
  <si>
    <t>ที่อยู่สำหรับการสื่อสารแบบเต็มควรระบุถนน เมือง รัฐ และรหัสไปรษณีย์ หากมี</t>
  </si>
  <si>
    <t>SELECT T1.`School Name`, T2.Street, T2.City, T2.State, T2.Zip FROM frpm AS T1 INNER JOIN schools AS T2 ON T1.CDSCode = T2.CDSCode WHERE T2.County = 'Monterey' AND T1.`Free Meal Count (Ages 5-17)` &gt; 800 AND T1.`School Type` = 'High Schools (Public)'</t>
  </si>
  <si>
    <t>What is the average score in writing for the schools that were opened after 1991 or closed before 2000? List the school names along with the score. Also, list the communication number of the schools if there is any.</t>
  </si>
  <si>
    <t>Communication number refers to phone number.</t>
  </si>
  <si>
    <t>หมายเลขการสื่อสารหมายถึงหมายเลขโทรศัพท์</t>
  </si>
  <si>
    <t>SELECT T2.School, T1.AvgScrWrite, T2.Phone FROM schools AS T2 LEFT JOIN satscores AS T1 ON T2.CDSCode = T1.cds WHERE strftime('%Y', T2.OpenDate) &gt; '1991' OR strftime('%Y', T2.ClosedDate) &lt; '2000'</t>
  </si>
  <si>
    <t>Consider the average difference between K-12 enrollment and 15-17 enrollment of schools that are locally funded, list the names and DOC type of schools which has a difference above this average.</t>
  </si>
  <si>
    <t>Difference between K-12 enrollment and 15-17 enrollment can be computed by `Enrollment (K-12)` - `Enrollment (Ages 5-17)`</t>
  </si>
  <si>
    <t>ความแตกต่างระหว่างการลงทะเบียนระดับอนุบาลถึงมัธยมศึกษา (K-12) และการลงทะเบียนอายุ 15-17 ปี สามารถคำนวณได้จาก `การลงทะเบียน (K-12)` - `การลงทะเบียน (อายุ 5-17 ปี)`</t>
  </si>
  <si>
    <t>SELECT T2.School, T2.DOC FROM frpm AS T1 INNER JOIN schools AS T2 ON T1.CDSCode = T2.CDSCode WHERE T2.FundingType = 'Locally funded' AND (T1.`Enrollment (K-12)` - T1.`Enrollment (Ages 5-17)`) &gt; (SELECT AVG(T3.`Enrollment (K-12)` - T3.`Enrollment (Ages 5-17)`) FROM frpm AS T3 INNER JOIN schools AS T4 ON T3.CDSCode = T4.CDSCode WHERE T4.FundingType = 'Locally funded')</t>
  </si>
  <si>
    <t>challenging</t>
  </si>
  <si>
    <t>When did the first-through-twelfth-grade school with the largest enrollment open?</t>
  </si>
  <si>
    <t>K-12 means First-through-twelfth-grade</t>
  </si>
  <si>
    <t>K-12 หมายถึงชั้นประถมศึกษาปีที่ 1 ถึงชั้นประถมศึกษาปีที่ 12</t>
  </si>
  <si>
    <t>SELECT T2.OpenDate FROM frpm AS T1 INNER JOIN schools AS T2 ON T1.CDSCode = T2.CDSCode ORDER BY T1.`Enrollment (K-12)` DESC LIMIT 1</t>
  </si>
  <si>
    <t>Which cities have the top 5 lowest enrollment number for students in grades 1 through 12?</t>
  </si>
  <si>
    <t>K-12 refers to students in grades 1 through 12.</t>
  </si>
  <si>
    <t>K-12 หมายถึงนักเรียนในระดับชั้นประถมศึกษาปีที่ 1 ถึงเกรด 12</t>
  </si>
  <si>
    <t>SELECT T2.City FROM frpm AS T1 INNER JOIN schools AS T2 ON T1.CDSCode = T2.CDSCode GROUP BY T2.City ORDER BY SUM(T1.`Enrollment (K-12)`) ASC LIMIT 5</t>
  </si>
  <si>
    <t>What is the eligible free rate of the 10th and 11th schools with the highest enrolment for students in grades 1 through 12?</t>
  </si>
  <si>
    <t>K-12 refers to students in grades 1 through 12; Eligible free rate for K-12 = `Free Meal Count (K-12)` / `Enrollment (K-12)`</t>
  </si>
  <si>
    <t>ระดับอนุบาลถึงมัธยมศึกษา (K-12) หมายถึงนักเรียนในระดับชั้นประถมศึกษาปีที่ 1 ถึงเกรด 12 อัตราฟรีที่มีสิทธิ์สำหรับระดับอนุบาลถึงมัธยมศึกษา (K-12) = `จำนวนมื้ออาหารฟรี (K-12)` / `การลงทะเบียน (K-12)`</t>
  </si>
  <si>
    <t>SELECT CAST(`Free Meal Count (K-12)` AS REAL) / `Enrollment (K-12)` FROM frpm ORDER BY `Enrollment (K-12)` DESC LIMIT 9, 2</t>
  </si>
  <si>
    <t>What is the eligible free or reduced price meal rate for the top 5 schools in grades 1-12 with the highest free or reduced price meal count of the schools with the ownership code 66?</t>
  </si>
  <si>
    <t>grades 1-12 means K-12; Eligible free or reduced price meal rate for K-12 = `FRPM Count (K-12)` / `Enrollment (K-12)`</t>
  </si>
  <si>
    <t>เกรด 1-12 หมายถึง K-12; อัตราค่าอาหารฟรีหรือลดราคาที่มีสิทธิ์สำหรับระดับอนุบาลถึงมัธยมศึกษา (K-12) = `จำนวน FRPM (K-12)` / `การลงทะเบียน (K-12)`</t>
  </si>
  <si>
    <t>SELECT CAST(T1.`FRPM Count (K-12)` AS REAL) / T1.`Enrollment (K-12)` FROM frpm AS T1 INNER JOIN schools AS T2 ON T1.CDSCode = T2.CDSCode WHERE T2.SOC = 66 ORDER BY T1.`FRPM Count (K-12)` DESC LIMIT 5</t>
  </si>
  <si>
    <t>If there are any, what are the websites address of the schools with a free meal count of 1,900-2,000 to students aged 5-17? Include the name of the school.</t>
  </si>
  <si>
    <t>SELECT T2.Website, T1.`School Name` FROM frpm AS T1 INNER JOIN schools AS T2 ON T1.CDSCode = T2.CDSCode WHERE T1.`Free Meal Count (Ages 5-17)` BETWEEN 1900 AND 2000 AND T2.Website IS NOT NULL</t>
  </si>
  <si>
    <t>What is the free rate for students between the ages of 5 and 17 at the school run by Kacey Gibson?</t>
  </si>
  <si>
    <t>SELECT CAST(T2.`Free Meal Count (Ages 5-17)` AS REAL) / T2.`Enrollment (Ages 5-17)` FROM schools AS T1 INNER JOIN frpm AS T2 ON T1.CDSCode = T2.CDSCode WHERE T1.AdmFName1 = 'Kacey' AND T1.AdmLName1 = 'Gibson'</t>
  </si>
  <si>
    <t>What is the administrator's email address of the chartered school with the fewest students enrolled in grades 1 through 12?</t>
  </si>
  <si>
    <t>Charted school means `Charter School (Y/N)` = 1 in the table frpm; Students enrolled in grades 1 through 12 refers to `Enrollment (K-12)`</t>
  </si>
  <si>
    <t>โรงเรียนที่มีแผนภูมิ หมายถึง `โรงเรียนกฎบัตร (ใช่/ไม่มี)` = 1 ในตาราง frpm; นักเรียนที่ลงทะเบียนเรียนในระดับชั้นประถมศึกษาปีที่ 1 ถึงเกรด 12 หมายถึง `การลงทะเบียน (K-12)`</t>
  </si>
  <si>
    <t>SELECT T2.AdmEmail1 FROM frpm AS T1 INNER JOIN schools AS T2 ON T1.CDSCode = T2.CDSCode WHERE T1.`Charter School (Y/N)` = 1 ORDER BY T1.`Enrollment (K-12)` ASC LIMIT 1</t>
  </si>
  <si>
    <t>Under whose administration is the school with the highest number of students scoring 1500 or more on the SAT? Indicate their full names.</t>
  </si>
  <si>
    <t>full name means first name, last name; There are at most 3 administrators for each school; SAT Scores are greater or equal to 1500 refers to NumGE1500</t>
  </si>
  <si>
    <t>ชื่อเต็ม หมายถึง ชื่อ นามสกุล; แต่ละโรงเรียนมีผู้บริหารสูงสุด 3 คน คะแนน SAT มากกว่าหรือเท่ากับ 1500 หมายถึง NumGE1500</t>
  </si>
  <si>
    <t>SELECT T2.AdmFName1, T2.AdmLName1, T2.AdmFName2, T2.AdmLName2, T2.AdmFName3, T2.AdmLName3 FROM satscores AS T1 INNER JOIN schools AS T2 ON T1.cds = T2.CDSCode ORDER BY T1.NumGE1500 DESC LIMIT 1</t>
  </si>
  <si>
    <t>What is the complete address of the school with the lowest excellence rate? Indicate the Street, City, Zip and State.</t>
  </si>
  <si>
    <t>Execellence Rate = NumGE1500 / NumTstTakr; complete address has Street, City, State, Zip code</t>
  </si>
  <si>
    <t>อัตราความเป็นเลิศ = NumGE1500 / NumTstTakr; ที่อยู่ที่สมบูรณ์มีถนน เมือง รัฐ รหัสไปรษณีย์</t>
  </si>
  <si>
    <t>SELECT T2.Street, T2.City, T2.State, T2.Zip FROM satscores AS T1 INNER JOIN schools AS T2 ON T1.cds = T2.CDSCode ORDER BY CAST(T1.NumGE1500 AS REAL) / T1.NumTstTakr ASC LIMIT 1</t>
  </si>
  <si>
    <t>What are the webpages for the Los Angeles County school that has between 2,000 and 3,000 test takers?</t>
  </si>
  <si>
    <t>SELECT T2.Website FROM satscores AS T1 INNER JOIN schools AS T2 ON T1.cds = T2.CDSCode WHERE T1.NumTstTakr BETWEEN 2000 AND 3000 AND T2.County = 'Los Angeles'</t>
  </si>
  <si>
    <t>What is the average number of test takers from Fresno schools that opened between 1/1/1980 and 12/31/1980?</t>
  </si>
  <si>
    <t>between 1/1/1980 and 12/31/1980 means the year = 1980</t>
  </si>
  <si>
    <t>ระหว่างวันที่ 1/1/2523 ถึง 12/31/2523 หมายถึง ปี = 2523</t>
  </si>
  <si>
    <t>SELECT AVG(T1.NumTstTakr) FROM satscores AS T1 INNER JOIN schools AS T2 ON T1.cds = T2.CDSCode WHERE strftime('%Y', T2.OpenDate) = '1980' AND T2.County = 'Fresno'</t>
  </si>
  <si>
    <t>What is the telephone number for the school with the lowest average score in reading in Fresno Unified?</t>
  </si>
  <si>
    <t>Fresno Unified is a name of district;</t>
  </si>
  <si>
    <t>Fresno Unified เป็นชื่อของเขต;</t>
  </si>
  <si>
    <t>SELECT T2.Phone FROM satscores AS T1 INNER JOIN schools AS T2 ON T1.cds = T2.CDSCode WHERE T2.District = 'Fresno Unified' AND T1.AvgScrRead IS NOT NULL ORDER BY T1.AvgScrRead ASC LIMIT 1</t>
  </si>
  <si>
    <t>List the names of virtual schools that are among the top 5 in their respective counties based on average reading scores.</t>
  </si>
  <si>
    <t>Exclusively virtual refers to Virtual = 'F'; respective counties means PARTITION BY County</t>
  </si>
  <si>
    <t>เสมือนโดยเฉพาะหมายถึง Virtual = 'F'; มณฑลที่เกี่ยวข้องหมายถึงการแบ่งตามมณฑล</t>
  </si>
  <si>
    <t>SELECT School FROM (SELECT T2.School,T1.AvgScrRead, RANK() OVER (PARTITION BY T2.County ORDER BY T1.AvgScrRead DESC) AS rnk FROM satscores AS T1 INNER JOIN schools AS T2 ON T1.cds = T2.CDSCode WHERE T2.Virtual = 'F' ) ranked_schools WHERE rnk &lt;= 5</t>
  </si>
  <si>
    <t>What is the type of education offered in the school who scored the highest average in Math?</t>
  </si>
  <si>
    <t>SELECT T2.EdOpsName FROM satscores AS T1 INNER JOIN schools AS T2 ON T1.cds = T2.CDSCode ORDER BY T1.AvgScrMath DESC LIMIT 1</t>
  </si>
  <si>
    <t>What is the average math score of the school with the lowest average score for all subjects, and in which county is it located?</t>
  </si>
  <si>
    <t>Average score for all subjects can be computed by AvgScrMath + AvgScrRead + AvgScrWrite</t>
  </si>
  <si>
    <t>คะแนนเฉลี่ยของทุกวิชาสามารถคำนวณโดย AvgScrMath + AvgScrRead + AvgScrWrite</t>
  </si>
  <si>
    <t>SELECT T1.AvgScrMath, T2.County FROM satscores AS T1 INNER JOIN schools AS T2 ON T1.cds = T2.CDSCode WHERE T1.AvgScrMath IS NOT NULL ORDER BY T1.AvgScrMath + T1.AvgScrRead + T1.AvgScrWrite ASC LIMIT 1</t>
  </si>
  <si>
    <t>What is the average writing score of the school who has the highest number of test takers whose total SAT sscores are greater or equal to 1500? Indicate the city to where the school is situated.</t>
  </si>
  <si>
    <t>SELECT T1.AvgScrWrite, T2.City FROM satscores AS T1 INNER JOIN schools AS T2 ON T1.cds = T2.CDSCode ORDER BY T1.NumGE1500 DESC LIMIT 1</t>
  </si>
  <si>
    <t>What is the average writing score of each of the schools managed by Ricci Ulrich? List the schools and the corresponding average writing scores.</t>
  </si>
  <si>
    <t>Usually, administrators manage the school stuff.</t>
  </si>
  <si>
    <t>โดยปกติแล้ว ผู้บริหารจะจัดการเรื่องของโรงเรียน</t>
  </si>
  <si>
    <t>SELECT T2.School, T1.AvgScrWrite FROM satscores AS T1 INNER JOIN schools AS T2 ON T1.cds = T2.CDSCode WHERE T2.AdmFName1 = 'Ricci' AND T2.AdmLName1 = 'Ulrich'</t>
  </si>
  <si>
    <t>Which state special schools have the highest number of enrollees from grades 1 through 12?</t>
  </si>
  <si>
    <t>State Special Schools refers to DOC = 31; Grades 1 through 12 means K-12</t>
  </si>
  <si>
    <t>โรงเรียนพิเศษของรัฐ หมายถึง DOC = 31; เกรด 1 ถึง 12 หมายถึง K-12</t>
  </si>
  <si>
    <t>SELECT T2.School FROM frpm AS T1 INNER JOIN schools AS T2 ON T1.CDSCode = T2.CDSCode WHERE T2.DOC = 31 ORDER BY T1.`Enrollment (K-12)` DESC LIMIT 1</t>
  </si>
  <si>
    <t>What is the monthly average number of schools that opened in Alameda County under the jurisdiction of the Elementary School District in 1980?</t>
  </si>
  <si>
    <t>Elementary School District refers to DOC = 52; Monthly average number of schools that opened in 1980 = count(schools that opened in 1980) / 12</t>
  </si>
  <si>
    <t>เขตการศึกษาประถมศึกษา หมายถึง DOC = 52; จำนวนโรงเรียนเฉลี่ยต่อเดือนที่เปิดในปี 2523 = จำนวน(โรงเรียนที่เปิดในปี 2523) / 12</t>
  </si>
  <si>
    <t>SELECT CAST(COUNT(School) AS REAL) / 12 FROM schools WHERE DOC = 52 AND County = 'Alameda' AND strftime('%Y', OpenDate) = '1980'</t>
  </si>
  <si>
    <t>What is the ratio of merged Unified School District schools in Orange County to merged Elementary School District schools?</t>
  </si>
  <si>
    <t>Elementary School District refers to DOC = 52; Unified School District refers to DOC = 54.</t>
  </si>
  <si>
    <t>เขตการศึกษาประถมศึกษา หมายถึง DOC = 52; Unified School District อ้างอิงถึง DOC = 54</t>
  </si>
  <si>
    <t>SELECT CAST(SUM(CASE WHEN DOC = 54 THEN 1 ELSE 0 END) AS REAL) / SUM(CASE WHEN DOC = 52 THEN 1 ELSE 0 END) FROM schools WHERE StatusType = 'Merged' AND County = 'Orange'</t>
  </si>
  <si>
    <t>Which different county has the most number of closed schools? Please provide the name of each school as well as the closure date.</t>
  </si>
  <si>
    <t>Closure date and closed date are synonyms; 'Closed' was mentioned in schools.StatusType.</t>
  </si>
  <si>
    <t>วันที่ปิดและวันที่ปิดเป็นคำพ้องความหมาย 'ปิด' ถูกกล่าวถึงใน school.StatusType</t>
  </si>
  <si>
    <t>SELECT DISTINCT County, School, ClosedDate FROM schools WHERE County = ( SELECT County FROM schools WHERE StatusType = 'Closed' GROUP BY County ORDER BY COUNT(School) DESC LIMIT 1 ) AND StatusType = 'Closed' AND school IS NOT NULL</t>
  </si>
  <si>
    <t>What is the postal street address for the school with the 7th highest Math average? Indicate the school's name.</t>
  </si>
  <si>
    <t>Postal street and mailing street are synonyms.</t>
  </si>
  <si>
    <t>ถนนไปรษณีย์และถนนส่งไปรษณีย์เป็นคำพ้องความหมาย</t>
  </si>
  <si>
    <t>SELECT T2.MailStreet, T2.School FROM satscores AS T1 INNER JOIN schools AS T2 ON T1.cds = T2.CDSCode ORDER BY T1.AvgScrMath DESC LIMIT 6, 1</t>
  </si>
  <si>
    <t>In which mailing street address can you find the school that has the lowest average score in reading? Also give the school's name.</t>
  </si>
  <si>
    <t>SELECT T2.MailStreet, T2.School FROM satscores AS T1 INNER JOIN schools AS T2 ON T1.cds = T2.CDSCode WHERE T1.AvgScrRead IS NOT NULL ORDER BY T1.AvgScrRead ASC LIMIT 1</t>
  </si>
  <si>
    <t>What is the total number of schools whose total SAT scores are greater or equal to 1500 whose mailing city is Lakeport?</t>
  </si>
  <si>
    <t>Total SAT scores can be computed by AvgScrRead + AvgScrMath + AvgScrWrite</t>
  </si>
  <si>
    <t>คะแนน SAT ทั้งหมดสามารถคำนวณได้โดย AvgScrRead + AvgScrMath + AvgScrWrite</t>
  </si>
  <si>
    <t>SELECT COUNT(T1.cds) FROM satscores AS T1 INNER JOIN schools AS T2 ON T1.cds = T2.CDSCode WHERE T2.MailCity = 'Lakeport' AND (T1.AvgScrRead + T1.AvgScrMath + T1.AvgScrWrite) &gt;= 1500</t>
  </si>
  <si>
    <t>How many test takers are there at the school/s whose mailing city address is in Fresno?</t>
  </si>
  <si>
    <t>SELECT T1.NumTstTakr FROM satscores AS T1 INNER JOIN schools AS T2 ON T1.cds = T2.CDSCode WHERE T2.MailCity = 'Fresno'</t>
  </si>
  <si>
    <t>Please specify all of the schools and their related mailing zip codes that are under Avetik Atoian's administration.</t>
  </si>
  <si>
    <t>SELECT School, MailZip FROM schools WHERE AdmFName1 = 'Avetik' AND AdmLName1 = 'Atoian'</t>
  </si>
  <si>
    <t>Of the schools with a mailing state address in California, what is the ratio of the schools located in the county of Colusa against the school located in the county of Humboldt?</t>
  </si>
  <si>
    <t>Ratio = count(schools in Colusa) / count(schools in Humboldt)</t>
  </si>
  <si>
    <t>Ratio = จำนวน(โรงเรียนใน Colusa) / จำนวน(โรงเรียนใน Humboldt)</t>
  </si>
  <si>
    <t>SELECT CAST(SUM(CASE WHEN County = 'Colusa' THEN 1 ELSE 0 END) AS REAL) / SUM(CASE WHEN County = 'Humboldt' THEN 1 ELSE 0 END) FROM schools WHERE MailState = 'CA'</t>
  </si>
  <si>
    <t>Of all the schools with a mailing state address in California, how many are active in San Joaquin city?</t>
  </si>
  <si>
    <t>SELECT COUNT(CDSCode) FROM schools WHERE City = 'San Joaquin' AND MailState = 'CA' AND StatusType = 'Active'</t>
  </si>
  <si>
    <t>What is the phone number and extension number for the school that had the 333rd highest average writing score?</t>
  </si>
  <si>
    <t>SELECT T2.Phone, T2.Ext FROM satscores AS T1 INNER JOIN schools AS T2 ON T1.cds = T2.CDSCode ORDER BY T1.AvgScrWrite DESC LIMIT 332, 1</t>
  </si>
  <si>
    <t>What is the phone number and extension number for the school with the zip code 95203-3704? Indicate the school's name.</t>
  </si>
  <si>
    <t>SELECT Phone, Ext, School FROM schools WHERE Zip = '95203-3704'</t>
  </si>
  <si>
    <t>What is the website for the schools under the administrations of Mike Larson and Dante Alvarez?</t>
  </si>
  <si>
    <t>SELECT Website FROM schools WHERE (AdmFName1 = 'Mike' AND AdmLName1 = 'Larson') OR (AdmFName1 = 'Dante' AND AdmLName1 = 'Alvarez')</t>
  </si>
  <si>
    <t>What are the websites for all the partially virtual chartered schools located in San Joaquin?</t>
  </si>
  <si>
    <t>Virtual = 'P' means partially virtual; Charter schools refers to Charter = 1 in the table schools</t>
  </si>
  <si>
    <t>Virtual = 'P' หมายถึงเสมือนบางส่วน โรงเรียนกฎบัตรหมายถึงกฎบัตร = 1 ในโรงเรียนตาราง</t>
  </si>
  <si>
    <t>SELECT Website FROM schools WHERE County = 'San Joaquin' AND Virtual = 'P' AND Charter = 1</t>
  </si>
  <si>
    <t>How many chartered schools located in the city of Hickman are owned by the Elementary School District?</t>
  </si>
  <si>
    <t>Elementary School District refers to DOC = 52; Chartered schools refer to Charter = 1 in the table schools</t>
  </si>
  <si>
    <t>เขตการศึกษาประถมศึกษา หมายถึง DOC = 52; โรงเรียนเหมาลำอ้างถึงกฎบัตร = 1 ในโรงเรียนแบบตาราง</t>
  </si>
  <si>
    <t>SELECT COUNT(School) FROM schools WHERE DOC = 52 AND Charter = 1 AND City = 'Hickman'</t>
  </si>
  <si>
    <t>What is the total number of non-chartered schools in the county of Los Angeles with a percent (%) of eligible free meals for grades 1 through 12 that is less than 0.18%?</t>
  </si>
  <si>
    <t>non-chartered schools refer to schools whose Charter = 0; K-12 means grades 1 through 12; percent of eligible free rate for K-12 = `Free Meal Count (K-12)` * 100 / `Enrollment (K-12)`</t>
  </si>
  <si>
    <t>โรงเรียนที่ไม่มีการเช่าเหมาลำหมายถึงโรงเรียนที่มีกฎบัตร = 0; K-12 หมายถึงเกรด 1 ถึง 12; เปอร์เซ็นต์ของอัตราฟรีที่มีสิทธิ์สำหรับ K-12 = `จำนวนมื้ออาหารฟรี (K-12)` * 100 / `การลงทะเบียน (K-12)`</t>
  </si>
  <si>
    <t>SELECT COUNT(T2.School) FROM frpm AS T1 INNER JOIN schools AS T2 ON T1.CDSCode = T2.CDSCode WHERE T2.County = 'Los Angeles' AND T2.Charter = 0 AND CAST(T1.`Free Meal Count (K-12)` AS REAL) * 100 / T1.`Enrollment (K-12)` &lt; 0.18</t>
  </si>
  <si>
    <t>In chartered schools with charter number 00D2, what are the names of all the administrators? Include the name of the school and the city to which it belongs</t>
  </si>
  <si>
    <t>Chartered schools refer to Charter = 1 in the table schools; Full name refers to first name, last name</t>
  </si>
  <si>
    <t>โรงเรียนเหมาลำอ้างถึงกฎบัตร = 1 ในโรงเรียนแบบตาราง ชื่อเต็ม หมายถึง ชื่อ นามสกุล</t>
  </si>
  <si>
    <t>SELECT AdmFName1, AdmLName1, School, City FROM schools WHERE Charter = 1 AND CharterNum = '00D2'</t>
  </si>
  <si>
    <t>What is the total number of schools with a mailing city in Hickman belonging to the charter number 00D4?</t>
  </si>
  <si>
    <t>SELECT COUNT(*) FROM schools WHERE CharterNum = '00D4' AND MailCity = 'Hickman'</t>
  </si>
  <si>
    <t>What is the ratio in percentage of Santa Clara County schools that are locally funded compared to all other types of charter school funding?</t>
  </si>
  <si>
    <t>Ratio in percentage = (count(locally funded schools in Santa Clara) / count(all funding type schools in Santa Clara) * 100%</t>
  </si>
  <si>
    <t>อัตราส่วนเป็นเปอร์เซ็นต์ = (จำนวน (โรงเรียนที่ได้รับทุนสนับสนุนในท้องถิ่นในซานตาคลารา) / จำนวน (โรงเรียนประเภทเงินทุนทั้งหมดในซานตาคลารา) * 100%</t>
  </si>
  <si>
    <t>SELECT CAST(SUM(CASE WHEN FundingType = 'Locally funded' THEN 1 ELSE 0 END) AS REAL) * 100 / SUM(CASE WHEN FundingType != 'Locally funded' THEN 1 ELSE 0 END) FROM schools WHERE County = 'Santa Clara' AND Charter = 1</t>
  </si>
  <si>
    <t>Between 1/1/2000 to 12/31/2005, how many directly funded schools opened in the county of Stanislaus?</t>
  </si>
  <si>
    <t>Directly funded schools refers to FundingType = 'Directly Funded'</t>
  </si>
  <si>
    <t>โรงเรียนที่ได้รับทุนโดยตรงหมายถึง FundingType = 'ได้รับทุนโดยตรง'</t>
  </si>
  <si>
    <t>SELECT COUNT(School) FROM schools WHERE strftime('%Y', OpenDate) BETWEEN '2000' AND '2005' AND County = 'Stanislaus' AND FundingType = 'Directly funded'</t>
  </si>
  <si>
    <t>What is the total amount of Community College District closure in 1989 in the city of San Francisco?</t>
  </si>
  <si>
    <t>SELECT COUNT(School) FROM schools WHERE strftime('%Y', ClosedDate) = '1989' AND City = 'San Francisco' AND DOCType = 'Community College District'</t>
  </si>
  <si>
    <t>Which county reported the most number of school closure in the 1980s with school wonership code belonging to Youth Authority Facilities (CEA)?</t>
  </si>
  <si>
    <t>Youth Authority Facilities (CEA) refers to SOC = 11; 1980s = years between 1980 and 1989</t>
  </si>
  <si>
    <t>สิ่งอำนวยความสะดวกของหน่วยงานเยาวชน (CEA) หมายถึง SOC = 11; 1980s = ปีระหว่างปี 1980 ถึง 1989</t>
  </si>
  <si>
    <t>SELECT County FROM schools WHERE strftime('%Y', ClosedDate) BETWEEN '1980' AND '1989' AND StatusType = 'Closed' AND SOC = 11 GROUP BY County ORDER BY COUNT(School) DESC LIMIT 1</t>
  </si>
  <si>
    <t>Please provide the National Center for Educational Statistics school district identification number for all schools with a School Ownership Code that are part of the State Special Schools.</t>
  </si>
  <si>
    <t>State Special Schools means that SOC = 31.</t>
  </si>
  <si>
    <t>โรงเรียนพิเศษของรัฐหมายความว่า SOC = 31</t>
  </si>
  <si>
    <t>SELECT NCESDist FROM schools WHERE SOC = 31</t>
  </si>
  <si>
    <t>How many active and closed District Community Day Schools are there in the county of Alpine?</t>
  </si>
  <si>
    <t>SELECT COUNT(School) FROM schools WHERE (StatusType = 'Closed' OR StatusType = 'Active') AND SOC = 69 AND County = 'Alpine'</t>
  </si>
  <si>
    <t>What is the district code for the School that does not offer a magnet program in the city of Fresno?</t>
  </si>
  <si>
    <t>When magent is equal to 0 in the database, it means ths school doesn't offer a magnet program.</t>
  </si>
  <si>
    <t>เมื่อ magent ในฐานข้อมูลมีค่าเท่ากับ 0 แสดงว่าโรงเรียนไม่มีโปรแกรมแม่เหล็ก</t>
  </si>
  <si>
    <t>SELECT T1.`District Code` FROM frpm AS T1 INNER JOIN schools AS T2 ON T1.CDSCode = T2.CDSCode WHERE T2.City = 'Fresno' AND T2.Magnet = 0</t>
  </si>
  <si>
    <t>How many students from the ages of 5 to 17 are enrolled at the State Special School school in Fremont for the 2014-2015 academic year?</t>
  </si>
  <si>
    <t>State Special School means EdOpsCode = 'SSS'</t>
  </si>
  <si>
    <t>โรงเรียนพิเศษของรัฐ หมายถึง EdOpsCode = 'SSS'</t>
  </si>
  <si>
    <t>SELECT T1.`Enrollment (Ages 5-17)` FROM frpm AS T1 INNER JOIN schools AS T2 ON T1.CDSCode = T2.CDSCode WHERE T2.EdOpsCode = 'SSS' AND T2.City = 'Fremont' AND T1.`Academic Year` BETWEEN 2014 AND 2015</t>
  </si>
  <si>
    <t>What is the free or reduced price meal count for ages 5 to 17 in the Youth Authority School with a mailing street address of PO Box 1040?</t>
  </si>
  <si>
    <t>SELECT T1.`FRPM Count (Ages 5-17)` FROM frpm AS T1 INNER JOIN schools AS T2 ON T1.CDSCode = T2.CDSCode WHERE T2.MailStreet = 'PO Box 1040' AND T2.SOCType = 'Youth Authority Facilities'</t>
  </si>
  <si>
    <t>What is the lowest grade for the District Special Education Consortia School with National Center for Educational Statistics school district identification number of 0613360?</t>
  </si>
  <si>
    <t>District Special Education Consortia School refers to EdOpsCode = 'SPECON'.</t>
  </si>
  <si>
    <t>โรงเรียน Consortia การศึกษาพิเศษของเขตหมายถึง EdOpsCode = 'SPECON'</t>
  </si>
  <si>
    <t>SELECT MIN(T1.`Low Grade`) FROM frpm AS T1 INNER JOIN schools AS T2 ON T1.CDSCode = T2.CDSCode WHERE T2.NCESDist = '0613360' AND T2.EdOpsCode = 'SPECON'</t>
  </si>
  <si>
    <t>What is the educational level name for the schools with Breakfast Provision 2 in county code 37? Indicate the name of the school.</t>
  </si>
  <si>
    <t>SELECT T2.EILName, T2.School FROM frpm AS T1 INNER JOIN schools AS T2 ON T1.CDSCode = T2.CDSCode WHERE T1.`NSLP Provision Status` = 'Breakfast Provision 2' AND T1.`County Code` = 37</t>
  </si>
  <si>
    <t>What is the city location of the high school level school with Lunch Provision 2 whose lowest grade is 9 and the highest grade is 12 in the county of Merced?</t>
  </si>
  <si>
    <t>High school can be represented as EILCode = 'HS'</t>
  </si>
  <si>
    <t>โรงเรียนมัธยมสามารถแสดงเป็น EILCode = 'HS'</t>
  </si>
  <si>
    <t>SELECT T2.City FROM frpm AS T1 INNER JOIN schools AS T2 ON T1.CDSCode = T2.CDSCode WHERE T1.`NSLP Provision Status` = 'Lunch Provision 2' AND T2.County = 'Merced' AND T1.`Low Grade` = 9 AND T1.`High Grade` = 12 AND T2.EILCode = 'HS'</t>
  </si>
  <si>
    <t>Which schools served a grade span of Kindergarten to 9th grade in the county of Los Angeles and what is its Percent (%) Eligible FRPM (Ages 5-17)?</t>
  </si>
  <si>
    <t>Percent (%) Eligible FRPM (Ages 5-17) can be acquired by `FRPM Count (Ages 5-17)` / `Enrollment (Ages 5-17)` * 100</t>
  </si>
  <si>
    <t>เปอร์เซ็นต์ (%) สามารถรับ FRPM ที่มีสิทธิ์ (อายุ 5-17 ปี) ได้โดย `จำนวน FRPM (อายุ 5-17)` / `การลงทะเบียน (อายุ 5-17 ปี)` * 100</t>
  </si>
  <si>
    <t>SELECT T2.School, T1.`FRPM Count (Ages 5-17)` * 100 / T1.`Enrollment (Ages 5-17)` FROM frpm AS T1 INNER JOIN schools AS T2 ON T1.CDSCode = T2.CDSCode WHERE T2.County = 'Los Angeles' AND T2.GSserved = 'K-9'</t>
  </si>
  <si>
    <t>What is the most common type of grade span served in the city of Adelanto?</t>
  </si>
  <si>
    <t>SELECT GSserved FROM schools WHERE City = 'Adelanto' GROUP BY GSserved ORDER BY COUNT(GSserved) DESC LIMIT 1</t>
  </si>
  <si>
    <t>Between San Diego and Santa Barbara, which county offers the most number of schools that does not offer physical building? Indicate the amount.</t>
  </si>
  <si>
    <t>Does not offer physical building' means Virtual = F in the database.</t>
  </si>
  <si>
    <t>ไม่มีอาคารทางกายภาพ' หมายถึง Virtual = F ในฐานข้อมูล</t>
  </si>
  <si>
    <t>SELECT County, COUNT(Virtual) FROM schools WHERE (County = 'San Diego' OR County = 'Santa Barbara') AND Virtual = 'F' GROUP BY County ORDER BY COUNT(Virtual) DESC LIMIT 1</t>
  </si>
  <si>
    <t>What is the school type of the school with the highest latitude? Indicate the name of the school as well as the latitude coordinates.</t>
  </si>
  <si>
    <t>SELECT T1.`School Type`, T1.`School Name`, T2.Latitude FROM frpm AS T1 INNER JOIN schools AS T2 ON T1.CDSCode = T2.CDSCode ORDER BY T2.Latitude DESC LIMIT 1</t>
  </si>
  <si>
    <t>In which city can you find the school in the state of California with the lowest latitude coordinates and what is its lowest grade? Indicate the school name.</t>
  </si>
  <si>
    <t>State of California refers to state = 'CA'</t>
  </si>
  <si>
    <t>รัฐแคลิฟอร์เนีย หมายถึง รัฐ = 'CA'</t>
  </si>
  <si>
    <t>SELECT T2.City, T1.`Low Grade`, T1.`School Name` FROM frpm AS T1 INNER JOIN schools AS T2 ON T1.CDSCode = T2.CDSCode WHERE T2.State = 'CA' ORDER BY T2.Latitude ASC LIMIT 1</t>
  </si>
  <si>
    <t>What is the grade span offered in the school with the highest longitude?</t>
  </si>
  <si>
    <t>the highest longitude refers to the school with the maximum absolute longitude value.</t>
  </si>
  <si>
    <t>ลองจิจูดสูงสุดหมายถึงโรงเรียนที่มีค่าลองจิจูดสัมบูรณ์สูงสุด</t>
  </si>
  <si>
    <t>SELECT GSoffered FROM schools ORDER BY ABS(longitude) DESC LIMIT 1</t>
  </si>
  <si>
    <t>Of the schools that offers a magnet program serving a grade span of Kindergarten to 8th grade, how many offers Multiple Provision Types? List the number of cities that offers a Kindergarten to 8th grade span and indicate how many schools are there serving such grade span for each city.</t>
  </si>
  <si>
    <t>Kindergarten to 8th grade refers to K-8; 'Offers a magnet program' means Magnet = 1; Multiple Provision Types refers to `NSLP Provision Status` = 'Multiple Provision Types'</t>
  </si>
  <si>
    <t>โรงเรียนอนุบาลถึงชั้นประถมศึกษาปีที่ 8 หมายถึง K-8; 'เสนอโปรแกรมแม่เหล็ก' หมายถึง Magnet = 1; การเตรียมการหลายประเภทอ้างอิงถึง `สถานะการเตรียมการ NSLP` = 'การเตรียมการหลายประเภท'</t>
  </si>
  <si>
    <t>SELECT T2.City, COUNT(T2.CDSCode) FROM frpm AS T1 INNER JOIN schools AS T2 ON T1.CDSCode = T2.CDSCode WHERE T2.Magnet = 1 AND T2.GSoffered = 'K-8' AND T1.`NSLP Provision Status` = 'Multiple Provision Types' GROUP BY T2.City</t>
  </si>
  <si>
    <t>What are the two most common first names among the school administrators? Indicate the district to which they administer.</t>
  </si>
  <si>
    <t>SELECT DISTINCT T1.AdmFName1, T1.District FROM schools AS T1 INNER JOIN ( SELECT admfname1 FROM schools GROUP BY admfname1 ORDER BY COUNT(admfname1) DESC LIMIT 2 ) AS T2 ON T1.AdmFName1 = T2.admfname1</t>
  </si>
  <si>
    <t>What is the Percent (%) Eligible Free (K-12) in the school administered by an administrator whose first name is Alusine. List the district code of the school.</t>
  </si>
  <si>
    <t>Percent (%) Eligible Free (K-12) = `Free Meal Count (K-12)` / `Enrollment (K-12)` * 100%</t>
  </si>
  <si>
    <t>เปอร์เซ็นต์ (%) ฟรีที่มีสิทธิ์ (K-12) = `จำนวนมื้ออาหารฟรี (K-12)` / `การลงทะเบียน (K-12)` * 100%</t>
  </si>
  <si>
    <t>SELECT T1.`Free Meal Count (K-12)` * 100 / T1.`Enrollment (K-12)`, T1.`District Code` FROM frpm AS T1 INNER JOIN schools AS T2 ON T1.CDSCode = T2.CDSCode WHERE T2.AdmFName1 = 'Alusine'</t>
  </si>
  <si>
    <t>What is the administrator's last name that oversees the school with Charter number 40? Indicate the district, the county where the school is situated, and the name of the school.</t>
  </si>
  <si>
    <t>SELECT AdmLName1, District, County, School FROM schools WHERE CharterNum = '0040'</t>
  </si>
  <si>
    <t>What are the valid e-mail addresses of the administrator of the school located in the San Bernardino county, City of San Bernardino City Unified that opened between 1/1/2009 to 12/31/2010 whose school types are public Intermediate/Middle Schools and Unified Schools?</t>
  </si>
  <si>
    <t>Intermediate/Middle Schools refers to SOC = 62; Unified School refers to DOC = 54; years between 2009 and 2010 can refer to 'between 1/1/2009 to 12/31/2010'</t>
  </si>
  <si>
    <t>ระดับกลาง/ระดับมัธยมศึกษาตอนต้น หมายถึง SOC = 62; Unified School หมายถึง DOC = 54; ปีระหว่าง 2009 ถึง 2010 สามารถอ้างอิงถึง 'ระหว่าง 1/1/2009 ถึง 12/31/2010'</t>
  </si>
  <si>
    <t>SELECT T2.AdmEmail1, T2.AdmEmail2 FROM frpm AS T1 INNER JOIN schools AS T2 ON T1.CDSCode = T2.CDSCode WHERE T2.County = 'San Bernardino' AND T2.City = 'San Bernardino' AND T2.DOC = 54 AND strftime('%Y', T2.OpenDate) BETWEEN '2009' AND '2010' AND T2.SOC = 62</t>
  </si>
  <si>
    <t>What is the administrator's email address for the school with the highest number of test takers who received SAT scores of at least 1500?Provide the name of the school.</t>
  </si>
  <si>
    <t>SELECT T2.AdmEmail1, T2.School FROM satscores AS T1 INNER JOIN schools AS T2 ON T1.cds = T2.CDSCode ORDER BY T1.NumGE1500 DESC LIMIT 1</t>
  </si>
  <si>
    <t>financial</t>
  </si>
  <si>
    <t>How many accounts who choose issuance after transaction are staying in East Bohemia region?</t>
  </si>
  <si>
    <t>A3 contains the data of region; 'POPLATEK PO OBRATU' represents for 'issuance after transaction'.</t>
  </si>
  <si>
    <t>A3 มีข้อมูลของภูมิภาค 'POPLATEK PO OBRATU' หมายถึง 'การออกหลังการทำธุรกรรม'</t>
  </si>
  <si>
    <t>SELECT COUNT(T2.account_id) FROM district AS T1 INNER JOIN account AS T2 ON T1.district_id = T2.district_id WHERE T1.A3 = 'east Bohemia' AND T2.frequency = 'POPLATEK PO OBRATU'</t>
  </si>
  <si>
    <t>How many accounts who have region in Prague are eligible for loans?</t>
  </si>
  <si>
    <t>A3 contains the data of region</t>
  </si>
  <si>
    <t>A3 มีข้อมูลของภูมิภาค</t>
  </si>
  <si>
    <t>SELECT COUNT(T1.account_id) FROM account AS T1 INNER JOIN loan AS T2 ON T1.account_id = T2.account_id INNER JOIN district AS T3 ON T1.district_id = T3.district_id WHERE T3.A3 = 'Prague'</t>
  </si>
  <si>
    <t>The average unemployment ratio of 1995 and 1996, which one has higher percentage?</t>
  </si>
  <si>
    <t>A12 refers to unemploymant rate 1995; A13 refers to unemploymant rate 1996</t>
  </si>
  <si>
    <t>A12 หมายถึงอัตราการว่างงานปี 1995 A13 หมายถึงอัตราการว่างงาน พ.ศ. 2539</t>
  </si>
  <si>
    <t>SELECT DISTINCT IIF(AVG(A13) &gt; AVG(A12), '1996', '1995') FROM district</t>
  </si>
  <si>
    <t>List out the no. of districts that have female average salary is more than 6000 but less than 10000?</t>
  </si>
  <si>
    <t>A11 refers to average salary; Female mapps to gender = 'F'</t>
  </si>
  <si>
    <t>A11 หมายถึงเงินเดือนโดยเฉลี่ย เพศหญิงแมปกับเพศ = 'F'</t>
  </si>
  <si>
    <t>SELECT COUNT(DISTINCT T2.district_id)  FROM client AS T1 INNER JOIN district AS T2 ON T1.district_id = T2.district_id WHERE T1.gender = 'F' AND T2.A11 BETWEEN 6000 AND 10000</t>
  </si>
  <si>
    <t>How many male customers who are living in North Bohemia have average salary greater than 8000?</t>
  </si>
  <si>
    <t>Male means that gender = 'M'; A3 refers to region; A11 pertains to average salary.</t>
  </si>
  <si>
    <t>ชาย หมายถึง เพศ = 'M'; A3 หมายถึงภูมิภาค A11 หมายถึงเงินเดือนโดยเฉลี่ย</t>
  </si>
  <si>
    <t>SELECT COUNT(T1.client_id) FROM client AS T1 INNER JOIN district AS T2 ON T1.district_id = T2.district_id WHERE T1.gender = 'M' AND T2.A3 = 'north Bohemia' AND T2.A11 &gt; 8000</t>
  </si>
  <si>
    <t>List out the account numbers of female clients who are oldest and has lowest average salary, calculate the gap between this lowest average salary with the highest average salary?</t>
  </si>
  <si>
    <t>Female means gender = 'F'; A11 refers to average salary; Gap = highest average salary - lowest average salary; If the person A's birthdate &gt; B's birthdate, it means that person B is order than person A.</t>
  </si>
  <si>
    <t>หญิงหมายถึงเพศ = 'F'; A11 หมายถึงเงินเดือนโดยเฉลี่ย Gap = เงินเดือนเฉลี่ยสูงสุด - เงินเดือนเฉลี่ยต่ำสุด ถ้าวันเกิดของบุคคล A &gt; วันเกิดของ B หมายความว่าบุคคล B มีลำดับมากกว่าบุคคล A</t>
  </si>
  <si>
    <t>SELECT T1.account_id , ( SELECT MAX(A11) - MIN(A11) FROM district ) FROM account AS T1 INNER JOIN district AS T2 ON T1.district_id = T2.district_id INNER JOIN disp AS T3 ON T1.account_id = T3.account_id INNER JOIN client AS T4 ON T3.client_id = T4.client_id WHERE T2.district_id = ( SELECT district_id FROM client WHERE gender = 'F' ORDER BY birth_date ASC LIMIT 1 ) ORDER BY T2.A11 DESC LIMIT 1</t>
  </si>
  <si>
    <t>List out the account numbers of clients who are youngest and have highest average salary?</t>
  </si>
  <si>
    <t>If the person A's birthdate &lt; B's birthdate, it means that person B is younger than person A; A11 refers to average salary</t>
  </si>
  <si>
    <t>หากวันเกิดของบุคคล A &lt; วันเกิดของ B หมายความว่าบุคคล B มีอายุน้อยกว่าบุคคล A; A11 หมายถึงเงินเดือนโดยเฉลี่ย</t>
  </si>
  <si>
    <t>SELECT T1.account_id  FROM account AS T1 INNER JOIN disp AS T2 ON T1.account_id = T2.account_id INNER JOIN client AS T3 ON T2.client_id = T3.client_id INNER JOIN district AS T4 on T4.district_id = T1.district_id WHERE T2.client_id = ( SELECT client_id FROM client ORDER BY birth_date DESC LIMIT 1) GROUP BY T4.A11, T1.account_id</t>
  </si>
  <si>
    <t>How many customers who choose statement of weekly issuance are Owner?</t>
  </si>
  <si>
    <t>POPLATEK TYDNE' stands for weekly issuance</t>
  </si>
  <si>
    <t>POPLATEK TYDNE' ย่อมาจากการออกรายสัปดาห์</t>
  </si>
  <si>
    <t>SELECT COUNT(T1.account_id) FROM account AS T1 INNER JOIN disp AS T2 ON T1.account_id = T2.account_id WHERE T2.type = 'OWNER' AND T1.frequency = 'POPLATEK TYDNE'</t>
  </si>
  <si>
    <t>List out the id number of client who choose statement of issuance after transaction are Disponent?</t>
  </si>
  <si>
    <t>POPLATEK PO OBRATU' stands for issuance after transaction</t>
  </si>
  <si>
    <t>POPLATEK PO OBRATU' ย่อมาจากการออกหลังการทำธุรกรรม</t>
  </si>
  <si>
    <t>SELECT T2.client_id FROM account AS T1 INNER JOIN disp AS T2 ON T1.account_id = T2.account_id WHERE T1.frequency = 'POPLATEK PO OBRATU' AND T2.type = 'DISPONENT'</t>
  </si>
  <si>
    <t>Among the accounts who have approved loan date in 1997, list out the accounts that have the lowest approved amount and choose weekly issuance statement.</t>
  </si>
  <si>
    <t>SELECT T2.account_id FROM loan AS T1 INNER JOIN account AS T2 ON T1.account_id = T2.account_id WHERE STRFTIME('%Y', T1.date) = '1997' AND T2.frequency = 'POPLATEK TYDNE' ORDER BY T1.amount LIMIT 1</t>
  </si>
  <si>
    <t>Among the accounts who have loan validity more than 12 months, list out the accounts that have the highest approved amount and have account opening date in 1993.</t>
  </si>
  <si>
    <t>Loan validity more than 12 months refers to duration &gt; 12</t>
  </si>
  <si>
    <t>ความถูกต้องของสินเชื่อมากกว่า 12 เดือนหมายถึงระยะเวลา&gt; 12</t>
  </si>
  <si>
    <t>SELECT T1.account_id FROM loan AS T1 INNER JOIN account AS T2 ON T1.account_id = T2.account_id WHERE STRFTIME('%Y', T2.date) = '1993' AND T1.duration &gt; 12 ORDER BY T1.amount DESC LIMIT 1</t>
  </si>
  <si>
    <t>Among the account opened, how many female customers who were born before 1950 and stayed in Sokolov?</t>
  </si>
  <si>
    <t>Customers refer to clients; Female refers to gender = 'F'; Names of districts appear in column A2</t>
  </si>
  <si>
    <t>ลูกค้าหมายถึงลูกค้า หญิงหมายถึงเพศ = 'F'; ชื่อของเขตปรากฏในคอลัมน์ A2</t>
  </si>
  <si>
    <t>SELECT COUNT(T2.client_id) FROM district AS T1 INNER JOIN client AS T2 ON T1.district_id = T2.district_id WHERE T2.gender = 'F' AND STRFTIME('%Y', T2.birth_date) &lt; '1950' AND T1.A2 = 'Sokolov'</t>
  </si>
  <si>
    <t>List out the accounts who have the earliest trading date in 1995 ?</t>
  </si>
  <si>
    <t>SELECT account_id FROM trans WHERE STRFTIME('%Y', date) = '1995' ORDER BY date ASC LIMIT 1</t>
  </si>
  <si>
    <t>State different accounts who have account opening date before 1997 and own an amount of money greater than 3000USD</t>
  </si>
  <si>
    <t>SELECT DISTINCT T2.account_id FROM trans AS T1 INNER JOIN account AS T2 ON T1.account_id = T2.account_id WHERE STRFTIME('%Y', T2.date) &lt; '1997' AND T1.amount &gt; 3000</t>
  </si>
  <si>
    <t>Which client issued his/her card in 1994/3/3, give his/her client id.</t>
  </si>
  <si>
    <t>SELECT T2.client_id FROM client AS T1 INNER JOIN disp AS T2 ON T1.client_id = T2.client_id INNER JOIN card AS T3 ON T2.disp_id = T3.disp_id WHERE T3.issued = '1994-03-03'</t>
  </si>
  <si>
    <t>The transaction of 840 USD happened in 1998/10/14, when was this account opened?</t>
  </si>
  <si>
    <t>SELECT T1.date FROM account AS T1 INNER JOIN trans AS T2 ON T1.account_id = T2.account_id WHERE T2.amount = 840 AND T2.date = '1998-10-14'</t>
  </si>
  <si>
    <t>There was a loan approved in 1994/8/25, where was that account opened, give the district Id of the branch.</t>
  </si>
  <si>
    <t>SELECT T1.district_id FROM account AS T1 INNER JOIN loan AS T2 ON T1.account_id = T2.account_id WHERE T2.date = '1994-08-25'</t>
  </si>
  <si>
    <t>What is the biggest amount of transaction that the client whose card was opened in 1996/10/21 made?</t>
  </si>
  <si>
    <t>SELECT T4.amount FROM card AS T1 JOIN disp AS T2 ON T1.disp_id = T2.disp_id JOIN account AS T3 on T2.account_id = T3.account_id JOIN trans AS T4 on T3.account_id = T4.account_id WHERE T1.issued = '1996-10-21' ORDER BY T4.amount DESC LIMIT 1</t>
  </si>
  <si>
    <t>What is the gender of the oldest client who opened his/her account in the highest average salary branch?</t>
  </si>
  <si>
    <t>Earlier birthdate refers to older age; A11 refers to average salary</t>
  </si>
  <si>
    <t>วันเกิดก่อนหน้านี้หมายถึงอายุที่มากขึ้น A11 หมายถึงเงินเดือนโดยเฉลี่ย</t>
  </si>
  <si>
    <t>SELECT T2.gender FROM district AS T1 INNER JOIN client AS T2 ON T1.district_id = T2.district_id ORDER BY T1.A11 DESC, T2.birth_date ASC LIMIT 1</t>
  </si>
  <si>
    <t>For the client who applied the biggest loan, what was his/her first amount of transaction after opened the account?</t>
  </si>
  <si>
    <t>SELECT T3.amount FROM loan AS T1 INNER JOIN account AS T2 ON T1.account_id = T2.account_id INNER JOIN trans AS T3 ON T2.account_id = T3.account_id ORDER BY T1.amount DESC, T3.date ASC LIMIT 1</t>
  </si>
  <si>
    <t>How many clients opened their accounts in Jesenik branch were women?</t>
  </si>
  <si>
    <t>A2 has region names; Woman and female share the same meaning; female refers to gender = 'F'</t>
  </si>
  <si>
    <t>A2 มีชื่อภูมิภาค ผู้หญิงและผู้หญิงมีความหมายเหมือนกัน หญิงหมายถึงเพศ = 'F'</t>
  </si>
  <si>
    <t>SELECT COUNT(T1.client_id) FROM client AS T1 INNER JOIN district AS T2 ON T1.district_id = T2.district_id WHERE T1.gender = 'F' AND T2.A2 = 'Jesenik'</t>
  </si>
  <si>
    <t>What is the disposition id of the client who made 5100 USD transaction in 1998/9/2?</t>
  </si>
  <si>
    <t>SELECT T1.disp_id FROM disp AS T1 INNER JOIN account AS T2 ON T1.account_id = T2.account_id INNER JOIN trans AS T3 ON T2.account_id = T3.account_id WHERE T3.date='1997-08-20' AND T3.amount = 5100</t>
  </si>
  <si>
    <t>How many accounts were opened in Litomerice in 1996?</t>
  </si>
  <si>
    <t>A2 refers to district name; Litomerice is one of district names.</t>
  </si>
  <si>
    <t>A2 หมายถึงชื่อเขต Litomerice เป็นหนึ่งในชื่ออำเภอ</t>
  </si>
  <si>
    <t>SELECT COUNT(T2.account_id) FROM district AS T1 INNER JOIN account AS T2 ON T1.district_id = T2.district_id WHERE STRFTIME('%Y', T2.date) = '1996' AND T1.A2 = 'Litomerice'</t>
  </si>
  <si>
    <t>For the female client who was born in 1976/1/29, which district did she opened her account?</t>
  </si>
  <si>
    <t>Female refers to gender = 'F'; A2 refers to district names</t>
  </si>
  <si>
    <t>หญิงหมายถึงเพศ = 'F'; A2 หมายถึงชื่อเขต</t>
  </si>
  <si>
    <t>SELECT T1.A2 FROM district AS T1 INNER JOIN client AS T2 ON T1.district_id = T2.district_id WHERE T2.birth_date = '1976-01-29' AND T2.gender = 'F'</t>
  </si>
  <si>
    <t>For the client who applied 98832 USD loan in 1996/1/3, when was his/her birthday?</t>
  </si>
  <si>
    <t>SELECT T4.birth_date FROM loan AS T1 INNER JOIN account AS T2 ON T1.account_id = T2.account_id INNER JOIN disp AS T3 ON T2.account_id = T3.account_id INNER JOIN client AS T4 ON T3.client_id = T4.client_id WHERE T1.date = '1996-01-03' AND T1.amount = 98832</t>
  </si>
  <si>
    <t>For the first client who opened his/her account in Prague, what is his/her account ID?</t>
  </si>
  <si>
    <t>A3 stands for region names</t>
  </si>
  <si>
    <t>A3 ย่อมาจากชื่อภูมิภาค</t>
  </si>
  <si>
    <t>SELECT T1.account_id FROM account AS T1 INNER JOIN district AS T2 ON T1.district_id = T2.district_id WHERE T2.A3 = 'Prague' ORDER BY T1.date ASC LIMIT 1</t>
  </si>
  <si>
    <t>For the branch which located in the south Bohemia with biggest number of inhabitants, what is the percentage of the male clients?</t>
  </si>
  <si>
    <t>Percentage of the male clients = DIVIDE(COUNT(male clients), COUNT(clients)) * 100; Male refers to gender = 'M', A3 is the region name. A4 contains the information about inhabitants.</t>
  </si>
  <si>
    <t>เปอร์เซ็นต์ของลูกค้าชาย = DIVIDE(COUNT(ลูกค้าชาย), COUNT(ลูกค้า)) * 100; ชาย หมายถึง เพศ = 'M', A3 คือชื่อภูมิภาค A4 มีข้อมูลเกี่ยวกับผู้อยู่อาศัย</t>
  </si>
  <si>
    <t>SELECT CAST(SUM(T1.gender = 'M') AS REAL) * 100 / COUNT(T1.client_id) FROM client AS T1 INNER JOIN district AS T2 ON T1.district_id = T2.district_id WHERE T2.A3 = 'south Bohemia' GROUP BY T2.A4 ORDER BY T2.A4 DESC LIMIT 1</t>
  </si>
  <si>
    <t>For the client whose loan was approved first in 1993/7/5, what is the increase rate of his/her account balance from 1993/3/22 to 1998/12/27?</t>
  </si>
  <si>
    <t>Increase rate of his/her account balance = [(balance of date A - balance of date B) / balance of Date B] * 100%</t>
  </si>
  <si>
    <t>อัตราการเพิ่มยอดเงินในบัญชีของเขา/เธอ = [(ยอดคงเหลือของวันที่ A - ยอดคงเหลือของวันที่ B) / ยอดคงเหลือของวันที่ B] * 100%</t>
  </si>
  <si>
    <t>SELECT CAST((SUM(IIF(T3.date = '1998-12-27', T3.balance, 0)) - SUM(IIF(T3.date = '1993-03-22', T3.balance, 0))) AS REAL) * 100 / SUM(IIF(T3.date = '1993-03-22', T3.balance, 0)) FROM loan AS T1 INNER JOIN account AS T2 ON T1.account_id = T2.account_id INNER JOIN trans AS T3 ON T3.account_id = T2.account_id WHERE T1.date = '1993-07-05'</t>
  </si>
  <si>
    <t>What is the percentage of loan amount that has been fully paid with no issue.</t>
  </si>
  <si>
    <t>Loan paid with no issue means contract finished, no problems; status = 'A' means contract finished, no problems; Percentage of accounts by condition = [(total(amount) &amp; condition) / (total amount)] * 100%</t>
  </si>
  <si>
    <t>เงินกู้ที่จ่ายโดยไม่มีปัญหาหมายความว่าสัญญาเสร็จสิ้นไม่มีปัญหา status = 'A' หมายถึง สัญญาเสร็จสิ้น, ไม่มีปัญหา; เปอร์เซ็นต์ของบัญชีตามเงื่อนไข = [(ยอดรวม(จำนวน) &amp; เงื่อนไข) / (ยอดรวม)] * 100%</t>
  </si>
  <si>
    <t>SELECT (CAST(SUM(CASE WHEN status = 'A' THEN amount ELSE 0 END) AS REAL) * 100) / SUM(amount) FROM loan</t>
  </si>
  <si>
    <t>For loan amount less than USD100,000, what is the percentage of accounts that is still running with no issue.</t>
  </si>
  <si>
    <t>Status = 'C' stands for running contract, ok so far; Percentage of accounts by condition = [(total(amount) &amp; condition) / (total amount)] * 100.</t>
  </si>
  <si>
    <t>Status = 'C' ย่อมาจาก Running Contract โอเคจนถึงตอนนี้ เปอร์เซ็นต์ของบัญชีตามเงื่อนไข = [(ยอดรวม(จำนวน) &amp; เงื่อนไข) / (ยอดรวม)] * 100</t>
  </si>
  <si>
    <t>SELECT CAST(SUM(status = 'C') AS REAL) * 100 / COUNT(account_id) FROM loan WHERE amount &lt; 100000</t>
  </si>
  <si>
    <t>For accounts in 1993 with statement issued after transaction, list the account ID, district name and district region.</t>
  </si>
  <si>
    <t>Records about district names could be found in A2; A3 contains the information about regions. 'POPLATEK PO OBRATU' stands for issuance after transaction</t>
  </si>
  <si>
    <t>บันทึกเกี่ยวกับชื่อเขตสามารถพบได้ใน A2; A3 มีข้อมูลเกี่ยวกับภูมิภาค 'POPLATEK PO OBRATU' ย่อมาจากการออกหลังการทำธุรกรรม</t>
  </si>
  <si>
    <t>SELECT T1.account_id, T2.A2, T2.A3 FROM account AS T1 INNER JOIN district AS T2 ON T1.district_id = T2.district_id WHERE T1.frequency = 'POPLATEK PO OBRATU' AND STRFTIME('%Y', T1.date)= '1993'</t>
  </si>
  <si>
    <t>From Year 1995 to 2000, who are the accounts holders from 'east Bohemia'. State the account ID the frequency of statement issuance.</t>
  </si>
  <si>
    <t>Accounts holder refers to the person who own this account.</t>
  </si>
  <si>
    <t>เจ้าของบัญชีหมายถึงบุคคลที่เป็นเจ้าของบัญชีนี้</t>
  </si>
  <si>
    <t>SELECT T1.account_id, T1.frequency FROM account AS T1 INNER JOIN district AS T2 ON T1.district_id = T2.district_id WHERE T2.A3 = 'east Bohemia' AND STRFTIME('%Y', T1.date) BETWEEN '1995' AND '2000'</t>
  </si>
  <si>
    <t>List account ID and account opening date for accounts from 'Prachatice'.</t>
  </si>
  <si>
    <t>A2 refers to the names of districts.</t>
  </si>
  <si>
    <t>A2 หมายถึง ชื่อเขต</t>
  </si>
  <si>
    <t>SELECT T1.account_id, T1.date FROM account AS T1 INNER JOIN district AS T2 ON T1.district_id = T2.district_id WHERE T2.A2 = 'Prachatice'</t>
  </si>
  <si>
    <t>State the district and region for loan ID '4990'.</t>
  </si>
  <si>
    <t>A2, A3 contains the information about district and region respectively.</t>
  </si>
  <si>
    <t>A2, A3 มีข้อมูลเกี่ยวกับอำเภอและภูมิภาคตามลำดับ</t>
  </si>
  <si>
    <t>SELECT T2.A2, T2.A3 FROM account AS T1 INNER JOIN district AS T2 ON T1.district_id = T2.district_id INNER JOIN loan AS T3 ON T1.account_id = T3.account_id WHERE T3.loan_id = 4990</t>
  </si>
  <si>
    <t>Provide the account ID, district and region for loan amount greater than USD300,000.</t>
  </si>
  <si>
    <t>A2 contains district names and A3 contains region names.</t>
  </si>
  <si>
    <t>A2 ประกอบด้วยชื่อเขต และ A3 ประกอบด้วยชื่อภูมิภาค</t>
  </si>
  <si>
    <t>SELECT T1.account_id, T2.A2, T2.A3 FROM account AS T1 INNER JOIN district AS T2 ON T1.district_id = T2.district_id INNER JOIN loan AS T3 ON T1.account_id = T3.account_id WHERE T3.amount &gt; 300000</t>
  </si>
  <si>
    <t>List the loan ID, district and average salary for loan with duration of 60 months.</t>
  </si>
  <si>
    <t>A3 refers to regions; A11 refers to average salary</t>
  </si>
  <si>
    <t>A3 หมายถึงภูมิภาค A11 หมายถึงเงินเดือนโดยเฉลี่ย</t>
  </si>
  <si>
    <t>SELECT T3.loan_id, T2.A2, T2.A11 FROM account AS T1 INNER JOIN district AS T2 ON T1.district_id = T2.district_id INNER JOIN loan AS T3 ON T1.account_id = T3.account_id WHERE T3.duration = 60</t>
  </si>
  <si>
    <t>For loans contracts which are still running where client are in debt, list the district of the and the state the percentage unemployment rate increment from year 1995 to 1996.</t>
  </si>
  <si>
    <t>Unemployment increment rate in percentage = [(unemployment rate 2016 - unemployment rate 2015) / unemployment rate 2015] * 100; unemployment rate 2015 appears in the A12; unemployment rate 2016 appears in the A13; Loan contracts which are still running where client are in debt can be presented as status = 'D'</t>
  </si>
  <si>
    <t>อัตราการว่างงานที่เพิ่มขึ้นเป็นเปอร์เซ็นต์ = [(อัตราการว่างงานปี 2559 - อัตราการว่างงานปี 2558) / อัตราการว่างงานปี 2558] * 100; อัตราการว่างงานปี 2558 ปรากฏใน A12; อัตราการว่างงานปี 2559 ปรากฏใน A13; สัญญาเงินกู้ที่ยังคงดำเนินการอยู่ในกรณีที่ลูกค้ามีหนี้สินสามารถแสดงเป็นสถานะ = 'D'</t>
  </si>
  <si>
    <t>SELECT CAST((T3.A13 - T3.A12) AS REAL) * 100 / T3.A12 FROM loan AS T1 INNER JOIN account AS T2 ON T1.account_id = T2.account_id INNER JOIN district AS T3 ON T2.district_id = T3.district_id WHERE T1.status = 'D'</t>
  </si>
  <si>
    <t>Calculate the percentage of account from 'Decin' district for all accounts are opened in 1993.</t>
  </si>
  <si>
    <t>A2 contains the information about district.</t>
  </si>
  <si>
    <t>A2 มีข้อมูลเกี่ยวกับอำเภอ</t>
  </si>
  <si>
    <t>SELECT CAST(SUM(T1.A2 = 'Decin') AS REAL) * 100 / COUNT(account_id) FROM district AS T1 INNER JOIN account AS T2 ON T1.district_id = T2.district_id WHERE STRFTIME('%Y', T2.date) = '1993'</t>
  </si>
  <si>
    <t>List the account IDs with monthly issuance of statements.</t>
  </si>
  <si>
    <t>POPLATEK MESICNE' stands for monthly issuance</t>
  </si>
  <si>
    <t>POPLATEK MESICNE' ย่อมาจากการออกรายเดือน</t>
  </si>
  <si>
    <t>SELECT account_id FROM account WHERE Frequency = 'POPLATEK MESICNE'</t>
  </si>
  <si>
    <t>List the top nine districts, by descending order, from the highest to the lowest, the number of female account holders.</t>
  </si>
  <si>
    <t>A2 refers to districts; Female refers to gender = 'F'</t>
  </si>
  <si>
    <t>A2 หมายถึงเขต; หญิงหมายถึงเพศ = 'F'</t>
  </si>
  <si>
    <t>SELECT T2.A2, COUNT(T1.client_id) FROM client AS T1 INNER JOIN district AS T2 ON T1.district_id = T2.district_id WHERE T1.gender = 'F' GROUP BY T2.district_id, T2.A2 ORDER BY COUNT(T1.client_id) DESC LIMIT 9</t>
  </si>
  <si>
    <t>Which are the top ten withdrawals (non-credit card) by district names for the month of January 1996?</t>
  </si>
  <si>
    <t>Non-credit card withdraws refers to type = 'VYDAJ'; January 1996 can be found by date LIKE '1996-01%' in the database; A2 means district names</t>
  </si>
  <si>
    <t>การถอนเงินที่ไม่ใช่บัตรเครดิตหมายถึงประเภท = 'VYDAJ'; มกราคม 1996 สามารถพบได้ตามวันที่ LIKE '1996-01%' ในฐานข้อมูล A2 หมายถึง ชื่ออำเภอ</t>
  </si>
  <si>
    <t>SELECT DISTINCT T1.A2 FROM district AS T1 INNER JOIN account AS T2 ON T1.district_id = T2.district_id INNER JOIN trans AS T3 ON T2.account_id = T3.account_id WHERE T3.type = 'VYDAJ' AND T3.date LIKE '1996-01%' ORDER BY A2 ASC LIMIT 10</t>
  </si>
  <si>
    <t>How many of the account holders in South Bohemia still do not own credit cards?</t>
  </si>
  <si>
    <t>A3 contains the region names; South Bohemia is one of region names.</t>
  </si>
  <si>
    <t>A3 มีชื่อภูมิภาค โบฮีเมียใต้เป็นหนึ่งในชื่อภูมิภาค</t>
  </si>
  <si>
    <t>SELECT COUNT(T3.account_id) FROM district AS T1 INNER JOIN client AS T2 ON T1.district_id = T2.district_id INNER JOIN disp AS T3 ON T2.client_id = T3.client_id WHERE T1.A3 = 'south Bohemia' AND T3.type != 'OWNER'</t>
  </si>
  <si>
    <t>Which district has highest active loan?</t>
  </si>
  <si>
    <t>A3 refers to district names; Active loan refers to running contracts; Status = 'C' stands for running contract, OK so far; Status = 'D' stands for running contract, client in debt</t>
  </si>
  <si>
    <t>A3 หมายถึงชื่อเขต สินเชื่อที่ใช้งานอยู่หมายถึงสัญญาที่กำลังดำเนินอยู่ Status = 'C' ย่อมาจาก Running Contract, OK จนถึงตอนนี้; สถานะ = 'D' ย่อมาจาก Running Contract ลูกค้าเป็นหนี้</t>
  </si>
  <si>
    <t>SELECT T2.A3 FROM account AS T1 INNER JOIN district AS T2 ON T1.district_id = T2.district_id INNER JOIN loan AS T3 ON T1.account_id = T3.account_id WHERE T3.status IN ('C', 'D') GROUP BY T2.A3 ORDER BY SUM(T3.amount) DESC LIMIT 1</t>
  </si>
  <si>
    <t>What is the average loan amount by male borrowers?</t>
  </si>
  <si>
    <t>Male refers to gender = 'M'</t>
  </si>
  <si>
    <t>ชายหมายถึงเพศ = 'M'</t>
  </si>
  <si>
    <t>SELECT AVG(T4.amount) FROM client AS T1 INNER JOIN disp AS T2 ON T1.client_id = T2.client_id INNER JOIN account AS T3 ON T2.account_id = T3.account_id INNER JOIN loan AS T4 ON T3.account_id = T4.account_id WHERE T1.gender = 'M'</t>
  </si>
  <si>
    <t>In 1996, which districts have the highest unemployment rate? List their branch location and district name.</t>
  </si>
  <si>
    <t>A2 refers to district names; A13 refers to unemploymant rate in 1996</t>
  </si>
  <si>
    <t>A2 หมายถึงชื่อเขต A13 หมายถึงอัตราการว่างงานในปี 1996</t>
  </si>
  <si>
    <t>SELECT district_id, A2 FROM district ORDER BY A13 DESC LIMIT 1</t>
  </si>
  <si>
    <t>In the branch where the largest number of crimes were committed in 1996, how many accounts were opened?</t>
  </si>
  <si>
    <t>A16 stands for no. of committed crimes 1996</t>
  </si>
  <si>
    <t>A16 ย่อมาจาก No. ของการก่ออาชญากรรม พ.ศ. 2539</t>
  </si>
  <si>
    <t>SELECT COUNT(T2.account_id) FROM district AS T1 INNER JOIN account AS T2 ON T1.district_id = T2.district_id GROUP BY T1.A16 ORDER BY T1.A16 DESC LIMIT 1</t>
  </si>
  <si>
    <t>After making a credit card withdrawal, how many account/s with monthly issuance has a negative balance?</t>
  </si>
  <si>
    <t>Negative balance means balance &lt; 0; Operation = 'VYBER KARTOU' stands for credit card withdraw. Frequency = 'POPLATEK MESICNE' stands for monthly issurance</t>
  </si>
  <si>
    <t>ยอดติดลบหมายถึงยอดคงเหลือ &lt; 0; การดำเนินการ = 'VYBER KARTOU' ย่อมาจากการถอนบัตรเครดิต ความถี่ = 'POPLATEK MESICNE' ย่อมาจากการออกประกันรายเดือน</t>
  </si>
  <si>
    <t>SELECT COUNT(T1.account_id) FROM trans AS T1 INNER JOIN account AS T2 ON T1.account_id = T2.account_id WHERE T1.balance &lt; 0 AND T1.operation = 'VYBER KARTOU' AND T2.frequency = 'POPLATEK MESICNE'</t>
  </si>
  <si>
    <t>Between 1/1/1995 and 12/31/1997, how many loans in the amount of at least 250,000 per account that chose monthly statement issuance were approved?</t>
  </si>
  <si>
    <t>Frequency = 'POPLATEK MESICNE' stands for monthly issurance</t>
  </si>
  <si>
    <t>ความถี่ = 'POPLATEK MESICNE' ย่อมาจากการออกประกันรายเดือน</t>
  </si>
  <si>
    <t>SELECT COUNT(T1.account_id) FROM account AS T1 INNER JOIN loan AS T2 ON T1.account_id = T2.account_id WHERE T2.date BETWEEN '1995-01-01' AND '1997-12-31' AND T1.frequency = 'POPLATEK MESICNE' AND T2.amount &gt;= 250000</t>
  </si>
  <si>
    <t>How many accounts have running contracts in Branch location 1?</t>
  </si>
  <si>
    <t>Status = 'C' stands for running contract, OK so far; Status = 'D' stands for running contract, client in debt</t>
  </si>
  <si>
    <t>Status = 'C' ย่อมาจาก Running Contract, OK จนถึงตอนนี้; สถานะ = 'D' ย่อมาจาก Running Contract ลูกค้าเป็นหนี้</t>
  </si>
  <si>
    <t>SELECT COUNT(T1.account_id) FROM account AS T1 INNER JOIN district AS T2 ON T1.district_id = T2.district_id INNER JOIN loan AS T3 ON T1.account_id = T3.account_id WHERE T1.district_id = 1 AND (T3.status = 'C' OR T3.status = 'D')</t>
  </si>
  <si>
    <t>In the branch where the second-highest number of crimes were committed in 1995 occurred, how many male clients are there?</t>
  </si>
  <si>
    <t>Male refers to gender = 'M'; A15 stands for no. of commited crimes 1995</t>
  </si>
  <si>
    <t>ชายหมายถึงเพศ = 'M'; A15 ย่อมาจาก No. ของการก่ออาชญากรรม พ.ศ. 2538</t>
  </si>
  <si>
    <t>SELECT COUNT(T1.client_id) FROM client AS T1 INNER JOIN district AS T2 ON T1.district_id = T2.district_id WHERE T1.gender = 'M' AND T2.A15 = (SELECT T3.A15 FROM district AS T3 ORDER BY T3.A15 DESC LIMIT 1, 1)</t>
  </si>
  <si>
    <t>How many high-level credit cards have "OWNER" type of disposition?</t>
  </si>
  <si>
    <t>High-level credit cards refers to the cards with the gold type.</t>
  </si>
  <si>
    <t>บัตรเครดิตระดับสูงหมายถึงบัตรประเภททอง</t>
  </si>
  <si>
    <t>SELECT COUNT(T1.card_id) FROM card AS T1 INNER JOIN disp AS T2 ON T1.disp_id = T2.disp_id WHERE T1.type = 'gold' AND T2.type = 'OWNER'</t>
  </si>
  <si>
    <t>How many accounts are there in the district of "Pisek"?</t>
  </si>
  <si>
    <t>A2 refers to district name</t>
  </si>
  <si>
    <t>A2 หมายถึงชื่อเขต</t>
  </si>
  <si>
    <t>SELECT COUNT(T1.account_id) FROM account AS T1 INNER JOIN district AS T2 ON T1.district_id = T2.district_id WHERE T2.A2 = 'Pisek'</t>
  </si>
  <si>
    <t>Which districts have transactions greater than USS$10,000 in 1997?</t>
  </si>
  <si>
    <t>SELECT T1.district_id FROM account AS T1 INNER JOIN district AS T2 ON T1.district_id = T2.district_id INNER JOIN trans AS T3 ON T1.account_id = T3.account_id WHERE STRFTIME('%Y', T3.date) = '1997' GROUP BY T1.district_id HAVING SUM(T3.amount) &gt; 10000</t>
  </si>
  <si>
    <t>Which accounts placed orders for household payment in Pisek?</t>
  </si>
  <si>
    <t>k_symbol = 'SIPO' refers to household payment</t>
  </si>
  <si>
    <t>k_สัญลักษณ์ = 'SIPO' หมายถึงการชำระเงินของครัวเรือน</t>
  </si>
  <si>
    <t>SELECT DISTINCT T2.account_id FROM trans AS T1 INNER JOIN account AS T2 ON T1.account_id = T2.account_id INNER JOIN district AS T3 ON T2.district_id = T3.district_id WHERE T1.k_symbol = 'SIPO' AND T3.A2 = 'Pisek'</t>
  </si>
  <si>
    <t>What are the accounts that have gold credit cards?</t>
  </si>
  <si>
    <t>SELECT T2.account_id FROM disp AS T2  INNER JOIN card AS T1 ON T1.disp_id = T2.disp_id  WHERE T1.type = 'gold'</t>
  </si>
  <si>
    <t>How much is the average amount in credit card made by account holders in a month, in year 2021?</t>
  </si>
  <si>
    <t>Operation = 'VYBER KARTOU' refers to credit card withdrawn</t>
  </si>
  <si>
    <t>การดำเนินการ = 'VYBER KARTOU' หมายถึงการถอนบัตรเครดิต</t>
  </si>
  <si>
    <t>SELECT AVG(T4.amount) FROM card AS T1 INNER JOIN disp AS T2 ON T1.disp_id = T2.disp_id INNER JOIN account AS T3 ON T2.account_id = T3.account_id INNER JOIN trans AS T4 ON T3.account_id = T4.account_id WHERE STRFTIME('%Y', T4.date) = '1998' AND T4.operation = 'VYBER KARTOU'</t>
  </si>
  <si>
    <t>Who are the account holder identification numbers whose who have transactions on the credit card with the amount is less than the average, in 1998?</t>
  </si>
  <si>
    <t>Operation = 'VYBER KARTOU' refers to credit card withdrawal</t>
  </si>
  <si>
    <t>SELECT T1.account_id FROM trans AS T1 INNER JOIN account AS T2 ON T1.account_id = T2.account_id WHERE STRFTIME('%Y', T1.date) = '1998' AND T1.operation = 'VYBER KARTOU' AND T1.amount &lt; (SELECT AVG(amount) FROM trans WHERE STRFTIME('%Y', date) = '1998')</t>
  </si>
  <si>
    <t>Who are the female account holders who own credit cards and also have loans?</t>
  </si>
  <si>
    <t>Female refers to gender = 'F'</t>
  </si>
  <si>
    <t>หญิงหมายถึงเพศ = 'F'</t>
  </si>
  <si>
    <t>SELECT T1.client_id FROM client AS T1 INNER JOIN disp AS T2 ON T1.client_id = T2.client_id INNER JOIN account AS T5 ON T2.account_id = T5.account_id INNER JOIN loan AS T3 ON T5.account_id = T3.account_id INNER JOIN card AS T4 ON T2.disp_id = T4.disp_id WHERE T1.gender = 'F'</t>
  </si>
  <si>
    <t>How many female clients' accounts are in the region of South Bohemia?</t>
  </si>
  <si>
    <t>Female refers to gender = 'F'; A3 contains the region 'south Bohemia'</t>
  </si>
  <si>
    <t>หญิงหมายถึงเพศ = 'F'; A3 ประกอบด้วยภูมิภาค 'โบฮีเมียใต้'</t>
  </si>
  <si>
    <t>SELECT COUNT(T1.client_id) FROM client AS T1 INNER JOIN district AS T2 ON T1.district_id = T2.district_id WHERE T1.gender = 'F' AND T2.A3 = 'south Bohemia'</t>
  </si>
  <si>
    <t>Please list the accounts whose district is Tabor that are eligible for loans.</t>
  </si>
  <si>
    <t>District refers to column A2; when the account type = 'OWNER', it's eligible for loans</t>
  </si>
  <si>
    <t>เขต หมายถึงคอลัมน์ A2; เมื่อประเภทบัญชี = 'เจ้าของ' ก็มีสิทธิ์ได้รับสินเชื่อ</t>
  </si>
  <si>
    <t>SELECT T2.account_id FROM district AS T1 INNER JOIN account AS T2 ON T1.district_id = T2.district_id INNER JOIN disp AS T3 ON T2.account_id = T3.account_id WHERE T3.type = 'OWNER' AND T1.A2 = 'Tabor'</t>
  </si>
  <si>
    <t>Please list the account types that are not eligible for loans, and the average income of residents in the district where the account is located exceeds $8000 but is no more than $9000.</t>
  </si>
  <si>
    <t>A11 represents the average salary; Salary and income share the similar meanings; when the account type = 'OWNER', it's eligible for loans</t>
  </si>
  <si>
    <t>A11 หมายถึงเงินเดือนโดยเฉลี่ย เงินเดือนและรายได้มีความหมายคล้ายกัน เมื่อประเภทบัญชี = 'เจ้าของ' ก็มีสิทธิ์ได้รับสินเชื่อ</t>
  </si>
  <si>
    <t>SELECT T3.type FROM district AS T1 INNER JOIN account AS T2 ON T1.district_id = T2.district_id INNER JOIN disp AS T3 ON T2.account_id = T3.account_id WHERE T3.type != 'OWNER' AND T1.A11 BETWEEN 8000 AND 9000</t>
  </si>
  <si>
    <t>How many accounts in North Bohemia has made a transaction with the partner's bank being AB?</t>
  </si>
  <si>
    <t>A3 contains the region names; North Bohemia is a region.</t>
  </si>
  <si>
    <t>A3 มีชื่อภูมิภาค โบฮีเมียเหนือเป็นภูมิภาค</t>
  </si>
  <si>
    <t>SELECT COUNT(T2.account_id) FROM district AS T1 INNER JOIN account AS T2 ON T1.district_id = T2.district_id INNER JOIN trans AS T3 ON T2.account_id = T3.account_id WHERE T3.bank = 'AB' AND T1.A3 = 'north Bohemia'</t>
  </si>
  <si>
    <t>Please list the name of the districts with accounts that made withdrawal transactions.</t>
  </si>
  <si>
    <t>A2 refers to district name; type = 'VYDAJ' stands for withdrawal transactions</t>
  </si>
  <si>
    <t>A2 หมายถึงชื่อเขต type = 'VYDAJ' ย่อมาจากธุรกรรมการถอนเงิน</t>
  </si>
  <si>
    <t>SELECT DISTINCT T1.A2 FROM district AS T1 INNER JOIN account AS T2 ON T1.district_id = T2.district_id INNER JOIN trans AS T3 ON T2.account_id = T3.account_id WHERE T3.type = 'VYDAJ'</t>
  </si>
  <si>
    <t>What is the average number of crimes committed in 1995 in regions where the number exceeds 4000 and the region has accounts that are opened starting from the year 1997?</t>
  </si>
  <si>
    <t>A3 refers to region names; A15 stands for the average number of crimes commited in 1995.</t>
  </si>
  <si>
    <t>A3 หมายถึงชื่อภูมิภาค A15 หมายถึง จำนวนอาชญากรรมที่เกิดขึ้นโดยเฉลี่ยในปี 2538</t>
  </si>
  <si>
    <t>SELECT AVG(T1.A15) FROM district AS T1 INNER JOIN account AS T2 ON T1.district_id = T2.district_id WHERE STRFTIME('%Y', T2.date) &gt;= '1997' AND T1.A15 &gt; 4000</t>
  </si>
  <si>
    <t>How many 'classic' cards are eligible for loan?</t>
  </si>
  <si>
    <t>when the account type = 'OWNER', it's eligible for loan</t>
  </si>
  <si>
    <t>เมื่อประเภทบัญชี = 'เจ้าของ' ก็มีสิทธิ์ได้รับเงินกู้</t>
  </si>
  <si>
    <t>SELECT COUNT(T1.card_id) FROM card AS T1 INNER JOIN disp AS T2 ON T1.disp_id = T2.disp_id WHERE T1.type = 'classic' AND T2.type = 'OWNER'</t>
  </si>
  <si>
    <t>How many male clients in 'Hl.m. Praha' district?</t>
  </si>
  <si>
    <t>District data appears in the A2; Male means that gender = 'M'</t>
  </si>
  <si>
    <t>ข้อมูลเขตปรากฏใน A2; ชาย หมายถึง เพศ = 'M'</t>
  </si>
  <si>
    <t>SELECT COUNT(T1.client_id) FROM client AS T1 INNER JOIN district AS T2 ON T1.district_id = T2.district_id WHERE T1.gender = 'M' AND T2.A2 = 'Hl.m. Praha'</t>
  </si>
  <si>
    <t>How many percent of 'Gold' cards were issued prior to 1998?</t>
  </si>
  <si>
    <t>Percent of Gold = [ count(type = 'gold' and issued date &lt; 1998) / count(all cards)] * 100%</t>
  </si>
  <si>
    <t>เปอร์เซ็นต์ของทองคำ = [ count(type = 'gold' และวันที่ออก &lt; 1998) / count(all cards)] * 100%</t>
  </si>
  <si>
    <t>SELECT CAST(SUM(type = 'gold' AND STRFTIME('%Y', issued) &lt; '1998') AS REAL) * 100 / COUNT(card_id) FROM card</t>
  </si>
  <si>
    <t>Who is the owner of the account with the largest loan amount?</t>
  </si>
  <si>
    <t>SELECT T1.client_id FROM disp AS T1 INNER JOIN account AS T3 ON T1.account_id = T3.account_id INNER JOIN loan AS T2 ON T3.account_id = T2.account_id WHERE T1.type = 'OWNER' ORDER BY T2.amount DESC LIMIT 1</t>
  </si>
  <si>
    <t>What is the number of committed crimes in 1995 in the district of the account with the id 532?</t>
  </si>
  <si>
    <t>A15 contains information about number of committed crimes in 1995</t>
  </si>
  <si>
    <t>A15 มีข้อมูลเกี่ยวกับจำนวนอาชญากรรมที่เกิดขึ้นในปี 1995</t>
  </si>
  <si>
    <t>SELECT T1.A15 FROM district AS T1 INNER JOIN `account` AS T2 ON T1.district_id = T2.district_id WHERE T2.account_id = 532</t>
  </si>
  <si>
    <t>What is the district Id of the account that placed the order with the id 33333?</t>
  </si>
  <si>
    <t>SELECT T3.district_id FROM `order` AS T1 INNER JOIN account AS T2 ON T1.account_id = T2.account_id INNER JOIN district AS T3 ON T2.district_id = T3.district_id WHERE T1.order_id = 33333</t>
  </si>
  <si>
    <t>List all the withdrawals in cash transactions that the client with the id 3356 makes.</t>
  </si>
  <si>
    <t>operation = 'VYBER' refers to withdrawal in cash</t>
  </si>
  <si>
    <t>การดำเนินการ = 'VYBER' หมายถึงการถอนเป็นเงินสด</t>
  </si>
  <si>
    <t>SELECT T4.trans_id FROM client AS T1 INNER JOIN disp AS T2 ON T1.client_id = T2.client_id INNER JOIN account AS T3 ON T2.account_id = T3.account_id INNER JOIN trans AS T4 ON T3.account_id = T4.account_id WHERE T1.client_id = 3356 AND T4.operation = 'VYBER'</t>
  </si>
  <si>
    <t>Among the weekly issuance accounts, how many have a loan of under 200000?</t>
  </si>
  <si>
    <t>frequency = 'POPLATEK TYDNE' stands for weekly issuance</t>
  </si>
  <si>
    <t>ความถี่ = 'POPLATEK TYDNE' ย่อมาจากการออกรายสัปดาห์</t>
  </si>
  <si>
    <t>SELECT COUNT(T1.account_id) FROM loan AS T1 INNER JOIN account AS T2 ON T1.account_id = T2.account_id WHERE T2.frequency = 'POPLATEK TYDNE' AND T1.amount &lt; 200000</t>
  </si>
  <si>
    <t>What type of credit card does the client with the id 13539 own?</t>
  </si>
  <si>
    <t>SELECT T3.type FROM disp AS T1 INNER JOIN client AS T2 ON T1.client_id = T2.client_id INNER JOIN card AS T3 ON T1.disp_id = T3.disp_id WHERE T2.client_id = 13539</t>
  </si>
  <si>
    <t>What is the region of the client with the id 3541 from?</t>
  </si>
  <si>
    <t>A3 refers to region</t>
  </si>
  <si>
    <t>A3 หมายถึงภูมิภาค</t>
  </si>
  <si>
    <t>SELECT T1.A3 FROM district AS T1 INNER JOIN client AS T2 ON T1.district_id = T2.district_id WHERE T2.client_id = 3541</t>
  </si>
  <si>
    <t>Which district has the most accounts with loan contracts finished with no problems?</t>
  </si>
  <si>
    <t>status = 'A' refers to loan contracts finished with no problems</t>
  </si>
  <si>
    <t>status = 'A' หมายถึง สัญญากู้ยืมเสร็จสิ้นโดยไม่มีปัญหา</t>
  </si>
  <si>
    <t>SELECT T1.A2 FROM District AS T1 INNER JOIN Account AS T2 ON T1.District_id = T2.District_id INNER JOIN Loan AS T3 ON T2.Account_id = T3.Account_id WHERE T3.status = 'A' GROUP BY T1.District_id ORDER BY COUNT(T2.Account_id) DESC LIMIT 1</t>
  </si>
  <si>
    <t>Who placed the order with the id 32423?</t>
  </si>
  <si>
    <t>SELECT T3.client_id FROM `order` AS T1 INNER JOIN account AS T2 ON T1.account_id = T2.account_id INNER JOIN disp AS T4 ON T4.account_id = T2.account_id  INNER JOIN client AS T3 ON T4.client_id = T3.client_id WHERE T1.order_id = 32423</t>
  </si>
  <si>
    <t>Please list all the transactions made by accounts from district 5.</t>
  </si>
  <si>
    <t>SELECT T3.trans_id FROM district AS T1 INNER JOIN account AS T2 ON T1.district_id = T2.district_id INNER JOIN trans AS T3 ON T2.account_id = T3.account_id WHERE T1.district_id = 5</t>
  </si>
  <si>
    <t>How many of the accounts are from Jesenik district?</t>
  </si>
  <si>
    <t>SELECT COUNT(T2.account_id) FROM district AS T1 INNER JOIN account AS T2 ON T1.district_id = T2.district_id WHERE T1.A2 = 'Jesenik'</t>
  </si>
  <si>
    <t>List all the clients' IDs whose junior credit cards were issued after 1996.</t>
  </si>
  <si>
    <t>After 1996 means date &gt; = '1997-01-01</t>
  </si>
  <si>
    <t>หลังจากปี 1996 หมายถึงวันที่ &gt; = '1997-01-01</t>
  </si>
  <si>
    <t>SELECT T2.client_id FROM card AS T1 INNER JOIN disp AS T2 ON T1.disp_id = T2.disp_id WHERE T1.type = 'junior' AND T1.issued &gt;= '1997-01-01'</t>
  </si>
  <si>
    <t>What percentage of clients who opened their accounts in the district with an average salary of over 10000 are women?</t>
  </si>
  <si>
    <t>Female refers to gender = 'F'; Woman and female are closed; Average salary can be found in A11</t>
  </si>
  <si>
    <t>หญิงหมายถึงเพศ = 'F'; หญิงและหญิงปิดให้บริการ เงินเดือนเฉลี่ยสามารถพบได้ใน A11</t>
  </si>
  <si>
    <t>SELECT CAST(SUM(T2.gender = 'F') AS REAL) * 100 / COUNT(T2.client_id) FROM district AS T1 INNER JOIN client AS T2 ON T1.district_id = T2.district_id WHERE T1.A11 &gt; 10000</t>
  </si>
  <si>
    <t>What was the growth rate of the total amount of loans across all accounts for a male client between 1996 and 1997?</t>
  </si>
  <si>
    <t>Growth rate = (sum of amount_1997 - sum of amount_1996) / (sum of amount_1996) * 100%; Male refers to gender = 'M'</t>
  </si>
  <si>
    <t>อัตราการเติบโต = (ผลรวมของจำนวนเงิน_1997 - ผลรวมของจำนวนเงิน_1996) / (ผลรวมของจำนวนเงิน_1996) * 100%; ชายหมายถึงเพศ = 'M'</t>
  </si>
  <si>
    <t>SELECT CAST((SUM(CASE WHEN STRFTIME('%Y', T1.date) = '1997' THEN T1.amount ELSE 0 END) - SUM(CASE WHEN STRFTIME('%Y', T1.date) = '1996' THEN T1.amount ELSE 0 END)) AS REAL) * 100 / SUM(CASE WHEN STRFTIME('%Y', T1.date) = '1996' THEN T1.amount ELSE 0 END) FROM loan AS T1 INNER JOIN account AS T2 ON T1.account_id = T2.account_id INNER JOIN disp AS T3 ON T3.account_id = T2.account_id INNER JOIN client AS T4 ON T4.client_id = T3.client_id WHERE T4.gender = 'M' AND T3.type = 'OWNER'</t>
  </si>
  <si>
    <t>How many credit card withdrawals were recorded after 1995?</t>
  </si>
  <si>
    <t>Operation = 'VYBER KARTOU' means credit card withdrawals</t>
  </si>
  <si>
    <t>SELECT COUNT(account_id) FROM trans WHERE STRFTIME('%Y', date) &gt; '1995' AND operation = 'VYBER KARTOU'</t>
  </si>
  <si>
    <t>What was the difference in the number of crimes committed in East and North Bohemia in 1996?</t>
  </si>
  <si>
    <t>Difference in no. of committed crimes between 2 regions = Total no. of committed crimes in 1996 in north Bohemia - Total no. of committed crimes in 1996 in e ast Bohemia. A3 refers to region. Data about no. of committed crimes 1996 appears in A16</t>
  </si>
  <si>
    <t>ความแตกต่างในจำนวน ของการก่ออาชญากรรมระหว่าง 2 ภูมิภาค = จำนวนทั้งหมด ของการก่ออาชญากรรมในปี พ.ศ. 2539 ในโบฮีเมียตอนเหนือ - จำนวนรวม ของการก่ออาชญากรรมในปี 1996 ในภาคตะวันออกของโบฮีเมีย A3 หมายถึงภูมิภาค ข้อมูลเกี่ยวกับหมายเลข ของการก่ออาชญากรรม พ.ศ. 2539 ปรากฏใน A16</t>
  </si>
  <si>
    <t>SELECT SUM(IIF(A3 = 'east Bohemia', A16, 0)) - SUM(IIF(A3 = 'north Bohemia', A16, 0)) FROM district</t>
  </si>
  <si>
    <t>How many owner and disponent dispositions are there from account number 1 to account number 10?</t>
  </si>
  <si>
    <t>SELECT SUM(type = 'OWNER') , SUM(type = 'DISPONENT') FROM disp WHERE account_id BETWEEN 1 AND 10</t>
  </si>
  <si>
    <t>How often does account number 3 request an account statement to be released? What was the aim of debiting 3539 in total?</t>
  </si>
  <si>
    <t>k_symbol refers to the purpose of payments</t>
  </si>
  <si>
    <t>k_สัญลักษณ์ หมายถึง วัตถุประสงค์ของการชำระเงิน</t>
  </si>
  <si>
    <t>SELECT T1.frequency, T2.k_symbol FROM account AS T1 INNER JOIN (SELECT account_id, k_symbol, SUM(amount) AS total_amount FROM `order` GROUP BY account_id, k_symbol) AS T2 ON T1.account_id = T2.account_id WHERE T1.account_id = 3 AND T2.total_amount = 3539</t>
  </si>
  <si>
    <t>What year was account owner number 130 born?</t>
  </si>
  <si>
    <t>SELECT STRFTIME('%Y', T1.birth_date) FROM client AS T1 INNER JOIN disp AS T3 ON T1.client_id = T3.client_id INNER JOIN account AS T2 ON T3.account_id = T2.account_id WHERE T2.account_id = 130</t>
  </si>
  <si>
    <t>How many accounts have an owner disposition and request for a statement to be generated upon a transaction?</t>
  </si>
  <si>
    <t>Frequency = 'POPLATEK PO OBRATU' stands for issuance after transaction</t>
  </si>
  <si>
    <t>ความถี่ = 'POPLATEK PO OBRATU' ย่อมาจากการออกภายหลังการทำธุรกรรม</t>
  </si>
  <si>
    <t>SELECT COUNT(T1.account_id) FROM account AS T1 INNER JOIN disp AS T2 ON T1.account_id = T2.account_id WHERE T2.type = 'OWNER' AND T1.frequency = 'POPLATEK PO OBRATU'</t>
  </si>
  <si>
    <t>What is the amount of debt that client number 992 has, and how is this client doing with payments?</t>
  </si>
  <si>
    <t>SELECT T4.amount, T4.status FROM client AS T1 INNER JOIN disp AS T2 ON T1.client_id = T2.client_id INNER JOIN account AS T3 on T2.account_id = T3.account_id INNER JOIN loan AS T4 ON T3.account_id = T4.account_id WHERE T1.client_id = 992</t>
  </si>
  <si>
    <t>What is the sum that client number 4's account has following transaction 851? Who owns this account, a man or a woman?</t>
  </si>
  <si>
    <t>SELECT T4.balance, T1.gender FROM client AS T1 INNER JOIN disp AS T2 ON T1.client_id = T2.client_id INNER JOIN account AS T3 ON T2.account_id =T3.account_id INNER JOIN trans AS T4 ON T3.account_id = T4.account_id WHERE T1.client_id = 4 AND T4.trans_id = 851</t>
  </si>
  <si>
    <t>Which kind of credit card does client number 9 possess?</t>
  </si>
  <si>
    <t>SELECT T3.type FROM client AS T1 INNER JOIN disp AS T2 ON T1.client_id = T2.client_id INNER JOIN card AS T3 ON T2.disp_id = T3.disp_id WHERE T1.client_id = 9</t>
  </si>
  <si>
    <t>How much, in total, did client number 617 pay for all of the transactions in 1998?</t>
  </si>
  <si>
    <t>SELECT SUM(T3.amount) FROM client AS T1 INNER JOIN disp AS T4 ON T1.client_id = T4.client_id INNER JOIN account AS T2 ON T4.account_id = T2.account_id INNER JOIN trans AS T3 ON T2.account_id = T3.account_id WHERE STRFTIME('%Y', T3.date)= '1998' AND T1.client_id = 617</t>
  </si>
  <si>
    <t>Please provide a list of clients who were born between 1983 and 1987 and whose account branch is in East Bohemia, along with their IDs.</t>
  </si>
  <si>
    <t>SELECT T1.client_id, T3.account_id FROM client AS T1 INNER JOIN district AS T2 ON T1.district_id = T2.district_id INNER JOIN disp AS T4 ON T1.client_id = T4.client_id INNER JOIN account AS T3 ON T2.district_id = T3.district_id and T4.account_id = T3.account_id WHERE T2.A3 = 'east Bohemia' AND STRFTIME('%Y', T1.birth_date) BETWEEN '1983' AND '1987'</t>
  </si>
  <si>
    <t>Please provide the IDs of the 3 female clients with the largest loans.</t>
  </si>
  <si>
    <t>SELECT T1.client_id FROM client AS T1 INNER JOIN disp AS T4 on T1.client_id= T4.client_id INNER JOIN account AS T2 ON T4.account_id = T2.account_id  INNER JOIN loan AS T3 ON T2.account_id = T3.account_id and T4.account_id = T3.account_id WHERE T1.gender = 'F' ORDER BY T3.amount DESC LIMIT 3</t>
  </si>
  <si>
    <t>How many male customers who were born between 1974 and 1976 have made a payment on their home in excess of $4000?</t>
  </si>
  <si>
    <t>Man and male refers to gender = 'M'; 'SIPO' stands for household payment</t>
  </si>
  <si>
    <t>ชายและชายหมายถึงเพศ = 'M'; 'SIPO' ย่อมาจาก การชำระเงินในครัวเรือน</t>
  </si>
  <si>
    <t>SELECT COUNT(T1.account_id) FROM trans AS T1 INNER JOIN account AS T2 ON T1.account_id = T2.account_id INNER JOIN disp AS T4 ON T2.account_id = T4.account_id INNER JOIN client AS T3 ON T4.client_id = T3.client_id WHERE STRFTIME('%Y', T3.birth_date) BETWEEN '1974' AND '1976' AND T3.gender = 'M' AND T1.amount &gt; 4000 AND T1.k_symbol = 'SIPO'</t>
  </si>
  <si>
    <t>How many accounts in Beroun were opened after 1996?</t>
  </si>
  <si>
    <t>SELECT COUNT(account_id) FROM account AS T1 INNER JOIN district AS T2 ON T1.district_id = T2.district_id WHERE STRFTIME('%Y', T1.date) &gt; '1996' AND T2.A2 = 'Beroun'</t>
  </si>
  <si>
    <t>How many female customers have a junior credit card?</t>
  </si>
  <si>
    <t>SELECT COUNT(T1.client_id) FROM client AS T1 INNER JOIN disp AS T2 ON T1.client_id = T2.client_id INNER JOIN card AS T3 ON T2.disp_id = T3.disp_id WHERE T1.gender = 'F' AND T3.type = 'junior'</t>
  </si>
  <si>
    <t>What proportion of customers who have accounts at the Prague branch are female?</t>
  </si>
  <si>
    <t>Female refers to gender = 'F'; Percentage of female clients in Prague branch = count[female clients with accounts in Prague branch / count(clients with accounts in Prague branch)] * 100%; A3 may contain information about Prague</t>
  </si>
  <si>
    <t>หญิงหมายถึงเพศ = 'F'; เปอร์เซ็นต์ของลูกค้าเพศหญิงในสาขาปราก = จำนวน[ลูกค้าหญิงที่มีบัญชีในสาขาปราก / จำนวน(ลูกค้าที่มีบัญชีในสาขาปราก)] * 100%; A3 อาจมีข้อมูลเกี่ยวกับปราก</t>
  </si>
  <si>
    <t>SELECT CAST(SUM(T2.gender = 'F') AS REAL) / COUNT(T2.client_id) * 100 FROM district AS T1 INNER JOIN client AS T2 ON T1.district_id = T2.district_id WHERE T1.A3 = 'Prague'</t>
  </si>
  <si>
    <t>What percentage of male clients request for weekly statements to be issued?</t>
  </si>
  <si>
    <t>Percentage of male clients = [count(male clients who requested weekly statements / count(clients who requested weekly statements)] * 100%; Male means gender = 'M'; 'POPLATEK TYDNE' stands for weekly issuance</t>
  </si>
  <si>
    <t>เปอร์เซ็นต์ของลูกค้าชาย = [จำนวน (ลูกค้าชายที่ขอใบแจ้งยอดรายสัปดาห์ / จำนวน (ลูกค้าที่ขอใบแจ้งยอดรายสัปดาห์)] * 100%; ชาย หมายถึงเพศ = 'M'; 'POPLATEK TYDNE' ย่อมาจากการออกรายสัปดาห์</t>
  </si>
  <si>
    <t>SELECT CAST(SUM(T1.gender = 'M') AS REAL) * 100 / COUNT(T1.client_id) FROM client AS T1 INNER JOIN district AS T3 ON T1.district_id = T3.district_id INNER JOIN account AS T2 ON T2.district_id = T3.district_id INNER JOIN disp as T4 on T1.client_id = T4.client_id AND T2.account_id = T4.account_id WHERE T2.frequency = 'POPLATEK TYDNE'</t>
  </si>
  <si>
    <t>How many clients who choose statement of weekly issuance are Owner?</t>
  </si>
  <si>
    <t>Frequency = 'POPLATEK TYDNE' refers to weekly issuance</t>
  </si>
  <si>
    <t>ความถี่ = 'POPLATEK TYDNE' หมายถึงการออกรายสัปดาห์</t>
  </si>
  <si>
    <t>SELECT COUNT(T2.account_id) FROM account AS T1 INNER JOIN disp AS T2 ON T2.account_id = T1.account_id WHERE T1.frequency = 'POPLATEK TYDNE' AND T2.type = 'OWNER'</t>
  </si>
  <si>
    <t>Among the accounts who have loan validity more than 24 months, list out the accounts that have the lowest approved amount and have account opening date before 1997.</t>
  </si>
  <si>
    <t>SELECT T1.account_id FROM loan AS T1 INNER JOIN account AS T2 ON T1.account_id = T2.account_id WHERE T1.duration &gt; 24 AND STRFTIME('%Y', T2.date) &lt; '1997' ORDER BY T1.amount ASC LIMIT 1</t>
  </si>
  <si>
    <t>Name the account numbers of female clients who are oldest and have lowest average salary?</t>
  </si>
  <si>
    <t>Female refers to 'F' in the gender; A11 contains information about average salary</t>
  </si>
  <si>
    <t>เพศหญิงหมายถึง 'F' ในเพศ A11 มีข้อมูลเกี่ยวกับเงินเดือนโดยเฉลี่ย</t>
  </si>
  <si>
    <t>SELECT T3.account_id FROM client AS T1 INNER JOIN district AS T2 ON T1.district_id = T2.district_id INNER JOIN account AS T3 ON T2.district_id = T3.district_id INNER JOIN disp AS T4 ON T1.client_id = T4.client_id AND T4.account_id = T3.account_id  WHERE T1.gender = 'F' ORDER BY T1.birth_date ASC, T2.A11 ASC LIMIT 1</t>
  </si>
  <si>
    <t>How many clients who were born in 1920 stay in east Bohemia?</t>
  </si>
  <si>
    <t>East Bohemia appears in the column A3, which refers to the region.</t>
  </si>
  <si>
    <t>โบฮีเมียตะวันออกปรากฏในคอลัมน์ A3 ซึ่งหมายถึงภูมิภาค</t>
  </si>
  <si>
    <t>SELECT COUNT(T1.client_id) FROM client AS T1 INNER JOIN district AS T2 ON T1.district_id = T2.district_id WHERE STRFTIME('%Y', T1.birth_date) = '1920' AND T2.A3 = 'east Bohemia'</t>
  </si>
  <si>
    <t>How many loan accounts are for pre-payment of duration of 24 months with weekly issuance of statement.</t>
  </si>
  <si>
    <t>Frequency = 'POPLATEK TYDNE' referes to weekly statement</t>
  </si>
  <si>
    <t>ความถี่ = 'POPLATEK TYDNE' หมายถึงใบแจ้งยอดรายสัปดาห์</t>
  </si>
  <si>
    <t>SELECT COUNT(T2.account_id) FROM account AS T1 INNER JOIN loan AS T2 ON T1.account_id = T2.account_id WHERE T2.duration = 24 AND T1.frequency = 'POPLATEK TYDNE'</t>
  </si>
  <si>
    <t>What is the average amount of loan which are still on running contract with statement issuance after each transaction?</t>
  </si>
  <si>
    <t>status = 'C' stands for running contract, OK so far; status = 'D' stands for running contract, client in debt. 'POPLATEK PO OBRATU' stands for issuance after transaction</t>
  </si>
  <si>
    <t>status = 'C' ย่อมาจาก Running Contract, OK จนถึงตอนนี้; status = 'D' ย่อมาจาก Running Contract, ลูกค้าเป็นหนี้ 'POPLATEK PO OBRATU' ย่อมาจากการออกหลังการทำธุรกรรม</t>
  </si>
  <si>
    <t>SELECT AVG(T2.amount) FROM account AS T1 INNER JOIN loan AS T2 ON T1.account_id = T2.account_id WHERE T2.status IN ('C', 'D') AND T1.frequency = 'POPLATEK PO OBRATU'</t>
  </si>
  <si>
    <t>List all ID and district for clients that can only have the right to issue permanent orders or apply for loans.</t>
  </si>
  <si>
    <t>Only the owner accounts have the right to issue permanent orders or apply for loans</t>
  </si>
  <si>
    <t>เฉพาะบัญชีเจ้าของเท่านั้นที่มีสิทธิ์ออกคำสั่งถาวรหรือสมัครขอสินเชื่อ</t>
  </si>
  <si>
    <t>SELECT T3.client_id, T2.district_id, T2.A2 FROM account AS T1 INNER JOIN district AS T2 ON T1.district_id = T2.district_id INNER JOIN disp AS T3 ON T1.account_id = T3.account_id WHERE T3.type = 'OWNER'</t>
  </si>
  <si>
    <t>Provide the IDs and age of the client with high level credit card, which is eligible for loans.</t>
  </si>
  <si>
    <t>the credit card is high-level refers to card.type = 'gold'; eligible for loans refers to disp.type = 'OWNER'</t>
  </si>
  <si>
    <t>บัตรเครดิตอยู่ในระดับสูงหมายถึง card.type = 'gold'; มีสิทธิ์ได้รับสินเชื่อหมายถึง disp.type = 'OWNER'</t>
  </si>
  <si>
    <t>SELECT T1.client_id, STRFTIME('%Y', CURRENT_TIMESTAMP) - STRFTIME('%Y', T3.birth_date) FROM disp AS T1 INNER JOIN card AS T2 ON T2.disp_id = T1.disp_id INNER JOIN client AS T3 ON T1.client_id = T3.client_id WHERE T2.type = 'gold' AND T1.type = 'OWNER'</t>
  </si>
  <si>
    <t>toxicology</t>
  </si>
  <si>
    <t>What is the most common bond type?</t>
  </si>
  <si>
    <t>most common bond type refers MAX(COUNT(bond_type))</t>
  </si>
  <si>
    <t>ประเภทพันธบัตรที่พบบ่อยที่สุดอ้างอิงถึง MAX(COUNT(bond_type))</t>
  </si>
  <si>
    <t>SELECT T.bond_type FROM ( SELECT bond_type, COUNT(bond_id) FROM bond GROUP BY bond_type ORDER BY COUNT(bond_id) DESC LIMIT 1 ) AS T</t>
  </si>
  <si>
    <t>In the non-carcinogenic molecules, how many contain chlorine atoms?</t>
  </si>
  <si>
    <t>non-carcinogenic molecules refers to label = '-'; chlorine atoms refers to element = 'cl'</t>
  </si>
  <si>
    <t>โมเลกุลที่ไม่ก่อมะเร็งหมายถึงฉลาก = '-'; อะตอมของคลอรีนหมายถึงองค์ประกอบ = 'cl'</t>
  </si>
  <si>
    <t>SELECT COUNT(DISTINCT T1.molecule_id) FROM molecule AS T1 INNER JOIN atom AS T2 ON T1.molecule_id = T2.molecule_id WHERE T2.element = 'cl' AND T1.label = '-'</t>
  </si>
  <si>
    <t>Calculate the average number of oxygen atoms in single-bonded molecules.</t>
  </si>
  <si>
    <t>single-bonded molecules refers to bond_type = '-' ; average number of oxygen atom = AVG(element = 'o')</t>
  </si>
  <si>
    <t>โมเลกุลที่มีพันธะเดี่ยวหมายถึง Bond_type = '-' ; จำนวนเฉลี่ยของอะตอมออกซิเจน = AVG(องค์ประกอบ = 'o')</t>
  </si>
  <si>
    <t>SELECT AVG(oxygen_count) FROM (SELECT T1.molecule_id, COUNT(T1.element) AS oxygen_count FROM atom AS T1 INNER JOIN bond AS T2 ON T1.molecule_id = T2.molecule_id  WHERE T2.bond_type = '-' AND T1.element = 'o'  GROUP BY T1.molecule_id) AS oxygen_counts</t>
  </si>
  <si>
    <t>On average how many carcinogenic molecules are single bonded?</t>
  </si>
  <si>
    <t>carcinogenic molecules refers to label = '+'; single-bonded refers to bond_type = '-'; average = DIVIDE(SUM(bond_type = '-'), COUNT(atom_id))</t>
  </si>
  <si>
    <t>โมเลกุลของสารก่อมะเร็งหมายถึงฉลาก = '+'; พันธะเดี่ยวหมายถึง Bond_type = '-'; ค่าเฉลี่ย = DIVIDE(SUM(bond_type = '-'), COUNT(atom_id))</t>
  </si>
  <si>
    <t>SELECT AVG(single_bond_count) FROM (SELECT T3.molecule_id, COUNT(T1.bond_type) AS single_bond_count FROM bond AS T1  INNER JOIN atom AS T2 ON T1.molecule_id = T2.molecule_id INNER JOIN molecule AS T3 ON T3.molecule_id = T2.molecule_id WHERE T1.bond_type = '-' AND T3.label = '+' GROUP BY T3.molecule_id) AS subquery</t>
  </si>
  <si>
    <t>In the molecule containing sodium atoms, how many are non-carcinogenic?</t>
  </si>
  <si>
    <t>non-carcinogenic refers to label = '-'; sodium atoms refers to element = 'na'</t>
  </si>
  <si>
    <t>ไม่เป็นสารก่อมะเร็งหมายถึงฉลาก = '-'; อะตอมโซเดียมหมายถึงองค์ประกอบ = 'na'</t>
  </si>
  <si>
    <t>SELECT COUNT(DISTINCT T2.molecule_id) FROM atom AS T1 INNER JOIN molecule AS T2 ON T1.molecule_id = T2.molecule_id WHERE T1.element = 'na' AND T2.label = '-'</t>
  </si>
  <si>
    <t>Find the triple-bonded molecules which are carcinogenic.</t>
  </si>
  <si>
    <t>triple-bonded molecules refers to bond_type = '#'; carcinogenic refers to label = '+'</t>
  </si>
  <si>
    <t>โมเลกุลที่มีพันธะสามชั้นอ้างอิงถึง Bond_type = '#'; สารก่อมะเร็งหมายถึงฉลาก = '+'</t>
  </si>
  <si>
    <t>SELECT DISTINCT T2.molecule_id FROM bond AS T1 INNER JOIN molecule AS T2 ON T1.molecule_id = T2.molecule_id WHERE T1.bond_type = '#' AND T2.label = '+'</t>
  </si>
  <si>
    <t>What is the percentage of carbon in double-bond molecules?</t>
  </si>
  <si>
    <t>carbon refers to element = 'c'; double-bond molecules refers to bond_type = '='; percentage = DIVIDE(SUM(element = 'c'), COUNT(atom_id))</t>
  </si>
  <si>
    <t>คาร์บอนหมายถึงองค์ประกอบ = 'c'; โมเลกุลพันธะคู่อ้างอิงถึง Bond_type = '='; เปอร์เซ็นต์ = DIVIDE(SUM(องค์ประกอบ = 'c'), COUNT(atom_id))</t>
  </si>
  <si>
    <t>SELECT CAST(COUNT(DISTINCT CASE WHEN T1.element = 'c' THEN T1.atom_id ELSE NULL END) AS REAL) * 100 / COUNT(DISTINCT T1.atom_id) FROM atom AS T1 INNER JOIN bond AS T2 ON T1.molecule_id = T2.molecule_id WHERE T2.bond_type = '='</t>
  </si>
  <si>
    <t>How many triple type bonds are there?</t>
  </si>
  <si>
    <t>triple type bonds refers to bond_type = '#'</t>
  </si>
  <si>
    <t>พันธบัตรประเภทสามหมายถึง Bond_type = '#'</t>
  </si>
  <si>
    <t>SELECT COUNT(T.bond_id) FROM bond AS T WHERE T.bond_type = '#'</t>
  </si>
  <si>
    <t>In how many atoms is there no bromine?</t>
  </si>
  <si>
    <t>atoms with no bromine refers to element ! = 'br'</t>
  </si>
  <si>
    <t>อะตอมที่ไม่มีโบรมีนหมายถึงธาตุ ! = 'พี่'</t>
  </si>
  <si>
    <t>SELECT COUNT(DISTINCT T.atom_id) FROM atom AS T WHERE T.element &lt;&gt; 'br'</t>
  </si>
  <si>
    <t>Of the first 100 molecules in number order, how many are carcinogenic?</t>
  </si>
  <si>
    <t>first 100 molecules in number order refers to molecule_id between 'TR000' and 'TR099'; label = '+' means molecules are carcinogenic</t>
  </si>
  <si>
    <t>100 โมเลกุลแรกตามลำดับตัวเลขอ้างอิงถึง โมเลกุล_id ระหว่าง 'TR000' และ 'TR099'; label = '+' หมายถึงโมเลกุลเป็นสารก่อมะเร็ง</t>
  </si>
  <si>
    <t>SELECT COUNT(T.molecule_id) FROM molecule AS T WHERE molecule_id BETWEEN 'TR000' AND 'TR099' AND T.label = '+'</t>
  </si>
  <si>
    <t>Identify by their ID the molecules in which there is carbon.</t>
  </si>
  <si>
    <t>carbon refers to element = 'c';</t>
  </si>
  <si>
    <t>คาร์บอนหมายถึงองค์ประกอบ = 'c';</t>
  </si>
  <si>
    <t>SELECT T.molecule_id FROM atom AS T WHERE T.element = 'c'</t>
  </si>
  <si>
    <t>What elements are in the TR004_8_9 bond atoms?</t>
  </si>
  <si>
    <t>TR004_8_9 bond atoms refers to bond_id = 'TR004_8_9';</t>
  </si>
  <si>
    <t>อะตอมของพันธะ TR004_8_9 อ้างอิงถึง Bond_id = 'TR004_8_9';</t>
  </si>
  <si>
    <t>SELECT DISTINCT T1.element FROM atom AS T1 INNER JOIN connected AS T2 ON T1.atom_id = T2.atom_id WHERE T2.bond_id = 'TR004_8_9'</t>
  </si>
  <si>
    <t>What elements are in a double type bond?</t>
  </si>
  <si>
    <t>double type bond refers to bond_type = '=';</t>
  </si>
  <si>
    <t>พันธบัตรประเภทคู่หมายถึง Bond_type = '=';</t>
  </si>
  <si>
    <t>SELECT DISTINCT T1.element FROM atom AS T1 INNER JOIN bond AS T2 ON T1.molecule_id = T2.molecule_id INNER JOIN connected AS T3 ON T1.atom_id = T3.atom_id WHERE T2.bond_type = '='</t>
  </si>
  <si>
    <t>Which type of label is the most numerous in atoms with hydrogen?</t>
  </si>
  <si>
    <t>with hydrogen refers to element = 'h'; label most numerous in atoms refers to MAX(COUNT(label));</t>
  </si>
  <si>
    <t>โดยที่ไฮโดรเจนหมายถึงองค์ประกอบ = 'h'; ฉลากที่มีจำนวนมากที่สุดในอะตอมหมายถึง MAX(COUNT(label));</t>
  </si>
  <si>
    <t>SELECT T.label FROM ( SELECT T2.label, COUNT(T2.molecule_id) FROM atom AS T1 INNER JOIN molecule AS T2 ON T1.molecule_id = T2.molecule_id WHERE T1.element = 'h' GROUP BY T2.label ORDER BY COUNT(T2.molecule_id) DESC LIMIT 1 ) t</t>
  </si>
  <si>
    <t>Chlorine is in what type of bond?</t>
  </si>
  <si>
    <t>type of bond refers to bond_type; chlorine refers to element = 'cl'</t>
  </si>
  <si>
    <t>ประเภทของพันธบัตรหมายถึง Bond_type; คลอรีนหมายถึงองค์ประกอบ = 'cl'</t>
  </si>
  <si>
    <t>SELECT DISTINCT T1.bond_type FROM bond AS T1 INNER JOIN connected AS T2 ON T1.bond_id = T2.bond_id INNER JOIN atom AS T3 ON T2.atom_id = T3.atom_id WHERE T3.element = 'cl'</t>
  </si>
  <si>
    <t>What atoms are connected in single type bonds?</t>
  </si>
  <si>
    <t>single type bond refers to bond_type = '-';</t>
  </si>
  <si>
    <t>พันธบัตรประเภทเดียวหมายถึง Bond_type = '-';</t>
  </si>
  <si>
    <t>SELECT T2.atom_id, T2.atom_id2 FROM bond AS T1 INNER JOIN connected AS T2 ON T1.bond_id = T2.bond_id WHERE T1.bond_type = '-'</t>
  </si>
  <si>
    <t>Indicate which atoms are connected in non-carcinogenic type molecules.</t>
  </si>
  <si>
    <t>label = '-' means molecules are non-carcinogenic</t>
  </si>
  <si>
    <t>label = '-' หมายถึงโมเลกุลไม่เป็นสารก่อมะเร็ง</t>
  </si>
  <si>
    <t>SELECT DISTINCT T1.atom_id FROM atom AS T1 INNER JOIN molecule AS T2 ON T1.molecule_id = T2.molecule_id INNER JOIN connected AS T3 ON T1.atom_id = T3.atom_id WHERE T2.label = '-'</t>
  </si>
  <si>
    <t>Which element is the least numerous in non-carcinogenic molecules?</t>
  </si>
  <si>
    <t>label = '-' means molecules are non-carcinogenic; least numerous refers to MIN(COUNT(element));</t>
  </si>
  <si>
    <t>label = '-' หมายถึงโมเลกุลไม่เป็นสารก่อมะเร็ง จำนวนน้อยที่สุดหมายถึง MIN(COUNT(element));</t>
  </si>
  <si>
    <t>SELECT T.element FROM (SELECT T1.element, COUNT(DISTINCT T1.molecule_id) FROM atom AS T1 INNER JOIN molecule AS T2 ON T1.molecule_id = T2.molecule_id WHERE T2.label = '-' GROUP BY T1.element ORDER BY COUNT(DISTINCT T1.molecule_id) ASC LIMIT 1) t</t>
  </si>
  <si>
    <t>What type of bond is there between the atoms TR004_8 and TR004_20?</t>
  </si>
  <si>
    <t>type of bond refers to bond_type; between the atoms TR004_8 and TR004_20 refers to atom_id = 'TR004_8' AND atom_id2 = 'TR004_20' OR another way around</t>
  </si>
  <si>
    <t>ประเภทของพันธบัตรหมายถึง Bond_type; ระหว่างอะตอม TR004_8 และ TR004_20 หมายถึง atom_id = 'TR004_8' และ atom_id2 = 'TR004_20' หรือวิธีอื่น</t>
  </si>
  <si>
    <t>SELECT T1.bond_type FROM bond AS T1 INNER JOIN connected AS T2 ON T1.bond_id = T2.bond_id WHERE T2.atom_id = 'TR004_8' AND T2.atom_id2 = 'TR004_20' OR T2.atom_id2 = 'TR004_8' AND T2.atom_id = 'TR004_20'</t>
  </si>
  <si>
    <t>What type of label is not on molecules with atoms with tin?</t>
  </si>
  <si>
    <t>tin refers to element ! = 'sn'; label = '+' mean molecules are carcinogenic; label = '-' means molecules are non-carcinogenic</t>
  </si>
  <si>
    <t>tin หมายถึงธาตุ ! = 'สน'; label = '+' หมายความว่าโมเลกุลเป็นสารก่อมะเร็ง label = '-' หมายถึงโมเลกุลไม่เป็นสารก่อมะเร็ง</t>
  </si>
  <si>
    <t>SELECT DISTINCT T2.label FROM atom AS T1 INNER JOIN molecule AS T2 ON T1.molecule_id = T2.molecule_id WHERE T1.element != 'sn'</t>
  </si>
  <si>
    <t>How many atoms with iodine and with sulfur type elements are there in single bond molecules?</t>
  </si>
  <si>
    <t>with iodine element refer to element = 'i'; with sulfur element refers to element = 's'; single type bond refers to bond_type = '-'; Should consider the distinct atoms when counting;</t>
  </si>
  <si>
    <t>ที่มีธาตุไอโอดีน อ้างถึง element = 'i'; มีธาตุกำมะถันหมายถึง element = 's'; พันธบัตรประเภทเดียวหมายถึง Bond_type = '-'; ควรคำนึงถึงอะตอมที่แตกต่างกันในการนับ</t>
  </si>
  <si>
    <t>SELECT COUNT(DISTINCT CASE WHEN T1.element = 'i' THEN T1.atom_id ELSE NULL END) AS iodine_nums , COUNT(DISTINCT CASE WHEN T1.element = 's' THEN T1.atom_id ELSE NULL END) AS sulfur_nums FROM atom AS T1 INNER JOIN connected AS T2 ON T1.atom_id = T2.atom_id INNER JOIN bond AS T3 ON T2.bond_id = T3.bond_id WHERE T3.bond_type = '-'</t>
  </si>
  <si>
    <t>Identify all connected atoms with a triple bond.</t>
  </si>
  <si>
    <t>triple bond refers to bond_type = '#';</t>
  </si>
  <si>
    <t>พันธะสามหมายถึง Bond_type = '#';</t>
  </si>
  <si>
    <t>SELECT T2.atom_id, T2.atom_id2 FROM bond AS T1 INNER JOIN connected AS T2 ON T1.bond_id = T2.bond_id WHERE T1.bond_type = '#'</t>
  </si>
  <si>
    <t>Identify all the atoms that are connected to the atoms of the TR181 molecule.</t>
  </si>
  <si>
    <t>TR181 molecule refers to molecule_id = 'TR181'</t>
  </si>
  <si>
    <t>โมเลกุล TR181 อ้างอิงถึง โมเลกุล_id = 'TR181'</t>
  </si>
  <si>
    <t>SELECT T2.atom_id, T2.atom_id2 FROM atom AS T1 INNER JOIN connected AS T2 ON T2.atom_id = T1.atom_id WHERE T1.molecule_id = 'TR181'</t>
  </si>
  <si>
    <t>What percentage of carcinogenic-type molecules does not contain fluorine?</t>
  </si>
  <si>
    <t>label = '+' mean molecules are carcinogenic; contain fluorine refers to element = 'f'; percentage = DIVIDE(SUM(element = 'f') * 100, COUNT(molecule_id)) where label = '+'; Should consider the distinct atoms when counting;</t>
  </si>
  <si>
    <t>label = '+' หมายความว่าโมเลกุลเป็นสารก่อมะเร็ง มีฟลูออรีนหมายถึงองค์ประกอบ = 'f'; เปอร์เซ็นต์ = DIVIDE(SUM(องค์ประกอบ = 'f') * 100, COUNT(โมเลกุล_id)) โดยที่ label = '+'; ควรคำนึงถึงอะตอมที่แตกต่างกันในการนับ</t>
  </si>
  <si>
    <t>SELECT CAST(COUNT(DISTINCT CASE WHEN T1.element &lt;&gt; 'f' THEN T2.molecule_id ELSE NULL END) AS REAL) * 100 / COUNT(DISTINCT T2.molecule_id) FROM atom AS T1 INNER JOIN molecule AS T2 ON T1.molecule_id = T2.molecule_id WHERE T2.label = '+'</t>
  </si>
  <si>
    <t>What is the percentage of carcinogenic molecules in triple type bonds?</t>
  </si>
  <si>
    <t>label = '+' mean molecules are carcinogenic; triple bond refers to bond_type = '#'; percentage = DIVIDE(SUM(bond_type = '#') * 100, COUNT(bond_id)) as percent where label = '+'</t>
  </si>
  <si>
    <t>label = '+' หมายความว่าโมเลกุลเป็นสารก่อมะเร็ง พันธะสามหมายถึง Bond_type = '#'; เปอร์เซ็นต์ = DIVIDE(SUM(bond_type = '#') * 100, COUNT(bond_id)) เป็นเปอร์เซ็นต์ โดยที่ label = '+'</t>
  </si>
  <si>
    <t>SELECT CAST(COUNT(DISTINCT CASE WHEN T2.label = '+' THEN T2.molecule_id ELSE NULL END) AS REAL) * 100 / COUNT(DISTINCT T2.molecule_id) FROM atom AS T1 INNER JOIN molecule AS T2 ON T1.molecule_id = T2.molecule_id INNER JOIN bond AS T3 ON T2.molecule_id = T3.molecule_id WHERE T3.bond_type = '#'</t>
  </si>
  <si>
    <t>Please list top three elements of the toxicology of the molecule TR000 in alphabetical order.</t>
  </si>
  <si>
    <t>TR000 is the molecule id;</t>
  </si>
  <si>
    <t>TR000 คือรหัสโมเลกุล</t>
  </si>
  <si>
    <t>SELECT DISTINCT T.element FROM atom AS T WHERE T.molecule_id = 'TR000' ORDER BY T.element LIMIT 3</t>
  </si>
  <si>
    <t>What are the atoms that are bonded in the molecule TR001 with the bond ID of TR001_2_6?</t>
  </si>
  <si>
    <t>TR001 is the molecule id; TR001_2_6 is the bond id</t>
  </si>
  <si>
    <t>TR001 คือรหัสโมเลกุล TR001_2_6 คือรหัสพันธบัตร</t>
  </si>
  <si>
    <t>SELECT SUBSTR(T.bond_id, 1, 7) AS atom_id1 , T.molecule_id || SUBSTR(T.bond_id, 8, 2) AS atom_id2 FROM bond AS T WHERE T.molecule_id = 'TR001' AND T.bond_id = 'TR001_2_6'</t>
  </si>
  <si>
    <t>What is the difference between the number of molecules that are carcinogenic and those that are not?</t>
  </si>
  <si>
    <t>label = '+' means molecules are carcinogenic; label = '-' means molecules are non-carcinogenic; difference = SUBTRACT(SUM(label = '+'), SUM(label = '-'))</t>
  </si>
  <si>
    <t>label = '+' หมายถึงโมเลกุลเป็นสารก่อมะเร็ง label = '-' หมายถึงโมเลกุลไม่เป็นสารก่อมะเร็ง ความแตกต่าง = SUBTRACT(SUM(label = '+'), SUM(label = '-'))</t>
  </si>
  <si>
    <t>SELECT COUNT(CASE WHEN T.label = '+' THEN T.molecule_id ELSE NULL END) - COUNT(CASE WHEN T.label = '-' THEN T.molecule_id ELSE NULL END) AS diff_car_notcar FROM molecule t</t>
  </si>
  <si>
    <t>What are the atom IDs of the bond TR000_2_5?</t>
  </si>
  <si>
    <t>TR000_2_5 is the bond id</t>
  </si>
  <si>
    <t>TR000_2_5 คือรหัสพันธบัตร</t>
  </si>
  <si>
    <t>SELECT T.atom_id FROM connected AS T WHERE T.bond_id = 'TR000_2_5'</t>
  </si>
  <si>
    <t>What are the bond IDs that have the same atom ID 2 of TR000_2?</t>
  </si>
  <si>
    <t>TR000_2 is the atom id; atom ID 2 refers to atom_id2</t>
  </si>
  <si>
    <t>TR000_2 คือรหัสอะตอม อะตอม ID 2 หมายถึง atom_id2</t>
  </si>
  <si>
    <t>SELECT T.bond_id FROM connected AS T WHERE T.atom_id2 = 'TR000_2'</t>
  </si>
  <si>
    <t>Please list top five molecules that have double bonds in alphabetical order.</t>
  </si>
  <si>
    <t>double bond refers to bond_type = ' = ';</t>
  </si>
  <si>
    <t>พันธะคู่หมายถึง Bond_type = ' = ';</t>
  </si>
  <si>
    <t>SELECT DISTINCT T.molecule_id FROM bond AS T WHERE T.bond_type = '=' ORDER BY T.molecule_id LIMIT 5</t>
  </si>
  <si>
    <t>What is the percentage of double bonds in the molecule TR008? Please provide your answer as a percentage with five decimal places.</t>
  </si>
  <si>
    <t>double bond refers to bond_type = '='; TR008 is the molecule id; percentage = DIVIDE(SUM(bond_type = '='), COUNT(bond_id)) as percent where molecule_id = 'TR008'</t>
  </si>
  <si>
    <t>พันธะคู่หมายถึง Bond_type = '='; TR008 คือรหัสโมเลกุล เปอร์เซ็นต์ = DIVIDE(SUM(bond_type = '='), COUNT(bond_id)) เป็นเปอร์เซ็นต์ โดยที่ molecular_id = 'TR008'</t>
  </si>
  <si>
    <t>SELECT ROUND(CAST(COUNT(CASE WHEN T.bond_type = '=' THEN T.bond_id ELSE NULL END) AS REAL) * 100 / COUNT(T.bond_id),5) FROM bond AS T WHERE T.molecule_id = 'TR008'</t>
  </si>
  <si>
    <t>What is the percentage of molecules that are carcinogenic? Please provide your answer as a percentage with three decimal places.</t>
  </si>
  <si>
    <t>label = '+' mean molecules are carcinogenic; percentage = DIVIDE(SUM(label = '+'), COUNT(molecule_id)) as percent</t>
  </si>
  <si>
    <t>label = '+' หมายความว่าโมเลกุลเป็นสารก่อมะเร็ง เปอร์เซ็นต์ = DIVIDE(SUM(label = '+'), COUNT(โมเลกุล_id)) เป็นเปอร์เซ็นต์</t>
  </si>
  <si>
    <t>SELECT ROUND(CAST(COUNT(CASE WHEN T.label = '+' THEN T.molecule_id ELSE NULL END) AS REAL) * 100 / COUNT(T.molecule_id),3) FROM molecule t</t>
  </si>
  <si>
    <t>How much of the hydrogen in molecule TR206 is accounted for? Please provide your answer as a percentage with four decimal places.</t>
  </si>
  <si>
    <t>hydrogen refers to element = 'h'; TR206 is the molecule id; percentage = DIVIDE(SUM(element = 'h'), COUNT(atom_id)) as percent where molecule_id = 'TR206'</t>
  </si>
  <si>
    <t>ไฮโดรเจนหมายถึงองค์ประกอบ = 'h'; TR206 คือรหัสโมเลกุล เปอร์เซ็นต์ = DIVIDE(SUM(องค์ประกอบ = 'h'), COUNT(atom_id)) เป็นเปอร์เซ็นต์ โดยที่ molecular_id = 'TR206'</t>
  </si>
  <si>
    <t>SELECT ROUND(CAST(COUNT(CASE WHEN T.element = 'h' THEN T.atom_id ELSE NULL END) AS REAL) * 100 / COUNT(T.atom_id),4) FROM atom AS T WHERE T.molecule_id = 'TR206'</t>
  </si>
  <si>
    <t>What is the type of bond that molecule TR000 has when involved in any bonds?</t>
  </si>
  <si>
    <t>type of bond refers to bond_type; TR000 is the molecule id</t>
  </si>
  <si>
    <t>ประเภทของพันธบัตรหมายถึง Bond_type; TR000 คือรหัสโมเลกุล</t>
  </si>
  <si>
    <t>SELECT DISTINCT T.bond_type FROM bond AS T WHERE T.molecule_id = 'TR000'</t>
  </si>
  <si>
    <t>What are the elements of the toxicology and label of molecule TR060?</t>
  </si>
  <si>
    <t>TR060 is the molecule id;</t>
  </si>
  <si>
    <t>TR060 คือรหัสโมเลกุล</t>
  </si>
  <si>
    <t>SELECT DISTINCT T1.element, T2.label FROM atom AS T1 INNER JOIN molecule AS T2 ON T1.molecule_id = T2.molecule_id WHERE T2.molecule_id = 'TR060'</t>
  </si>
  <si>
    <t>Which bond type accounted for the majority of the bonds found in molecule TR010 and state whether or not this molecule is carcinogenic?</t>
  </si>
  <si>
    <t>TR010 is the molecule id; majority of the bond found refers to MAX(COUNT(bond_type));</t>
  </si>
  <si>
    <t>TR010 คือรหัสโมเลกุล พันธบัตรส่วนใหญ่ที่พบอ้างอิงถึง MAX(COUNT(bond_type));</t>
  </si>
  <si>
    <t>SELECT T.bond_type FROM ( SELECT T1.bond_type, COUNT(T1.molecule_id) FROM bond AS T1  WHERE T1.molecule_id = 'TR010' GROUP BY T1.bond_type ORDER BY COUNT(T1.molecule_id) DESC LIMIT 1 ) AS T</t>
  </si>
  <si>
    <t>Please list top three molecules that have single bonds between two atoms and are not carcinogenic in alphabetical order.</t>
  </si>
  <si>
    <t>label = '-' means molecules are not carcinogenic; single type bond refers to bond_type = '-'; list top three molecules refers to return molecule_id and order by molecule_id;</t>
  </si>
  <si>
    <t>label = '-' หมายถึงโมเลกุลไม่เป็นสารก่อมะเร็ง พันธบัตรประเภทเดียวหมายถึง Bond_type = '-'; รายการโมเลกุลสามอันดับแรกอ้างถึงการส่งคืน โมเลกุล_id และลำดับตาม โมเลกุล_id;</t>
  </si>
  <si>
    <t>SELECT DISTINCT T2.molecule_id FROM bond AS T1 INNER JOIN molecule AS T2 ON T1.molecule_id = T2.molecule_id WHERE T1.bond_type = '-' AND T2.label = '-' ORDER BY T2.molecule_id LIMIT 3</t>
  </si>
  <si>
    <t>Please list top two bonds that happened with the molecule TR006 in alphabetical order.</t>
  </si>
  <si>
    <t>TR006 is the molecule id</t>
  </si>
  <si>
    <t>TR006 คือรหัสโมเลกุล</t>
  </si>
  <si>
    <t>SELECT DISTINCT T2.bond_id FROM atom AS T1 INNER JOIN connected AS T2 ON T1.atom_id = T2.atom_id WHERE T1.molecule_id = 'TR006' ORDER BY T2.bond_id LIMIT 2</t>
  </si>
  <si>
    <t>How many bonds which involved atom 12 does molecule TR009 have?</t>
  </si>
  <si>
    <t>TR009 is the molecule id;  involved atom 12 refers to atom_id = 'TR009_12' or atom_id2 = 'TR009_12'</t>
  </si>
  <si>
    <t>TR009 คือรหัสโมเลกุล  อะตอมที่เกี่ยวข้อง 12 อ้างถึง atom_id = 'TR009_12' หรือ atom_id2 = 'TR009_12'</t>
  </si>
  <si>
    <t>SELECT COUNT(T2.bond_id) FROM bond AS T1 INNER JOIN connected AS T2 ON T1.bond_id = T2.bond_id WHERE T1.molecule_id = 'TR009' AND T2.atom_id = T1.molecule_id || '_1' AND T2.atom_id2 = T1.molecule_id || '_2'</t>
  </si>
  <si>
    <t>How many molecules are carcinogenic and have the bromine element?</t>
  </si>
  <si>
    <t>label = '+' mean molecules are carcinogenic; have bromine element refers to element = 'br'</t>
  </si>
  <si>
    <t>label = '+' หมายความว่าโมเลกุลเป็นสารก่อมะเร็ง มีธาตุโบรมีน หมายถึงธาตุ = 'br'</t>
  </si>
  <si>
    <t>SELECT COUNT(DISTINCT T2.molecule_id) FROM atom AS T1 INNER JOIN molecule AS T2 ON T1.molecule_id = T2.molecule_id WHERE T2.label = '+' AND T1.element = 'br'</t>
  </si>
  <si>
    <t>What are the bond type and the atoms of the bond ID of TR001_6_9?</t>
  </si>
  <si>
    <t>atoms refer to atom_id or atom_id2</t>
  </si>
  <si>
    <t>อะตอมอ้างถึงatom_idหรือatom_id2</t>
  </si>
  <si>
    <t>SELECT T1.bond_type, T2.atom_id, T2.atom_id2 FROM bond AS T1 INNER JOIN connected AS T2 ON T1.bond_id = T2.bond_id WHERE T2.bond_id = 'TR001_6_9'</t>
  </si>
  <si>
    <t>Which molecule does the atom TR001_10 belong to? Please state whether this molecule is carcinogenic or not.</t>
  </si>
  <si>
    <t>TR001_10 is the atom id; label = '+' mean molecules are carcinogenic</t>
  </si>
  <si>
    <t>TR001_10 คือรหัสอะตอม label = '+' หมายความว่าโมเลกุลเป็นสารก่อมะเร็ง</t>
  </si>
  <si>
    <t>SELECT T2.molecule_id , IIF(T2.label = '+', 'YES', 'NO') AS flag_carcinogenic FROM atom AS T1 INNER JOIN molecule AS T2 ON T1.molecule_id = T2.molecule_id WHERE T1.atom_id = 'TR001_10'</t>
  </si>
  <si>
    <t>How many molecules have a triple bond type?</t>
  </si>
  <si>
    <t>SELECT COUNT(DISTINCT T.molecule_id) FROM bond AS T WHERE T.bond_type = '#'</t>
  </si>
  <si>
    <t>How many connections does the atom 19 have?</t>
  </si>
  <si>
    <t>connections refers to bond_id; atom 19 refers to atom_id like 'TR%_19';</t>
  </si>
  <si>
    <t>การเชื่อมต่อหมายถึง Bond_id; อะตอม 19 อ้างถึง atom_id เช่น 'TR%_19';</t>
  </si>
  <si>
    <t>SELECT COUNT(T.bond_id) FROM connected AS T WHERE SUBSTR(T.atom_id, -2) = '19'</t>
  </si>
  <si>
    <t>List all the elements of the toxicology of the molecule "TR004".</t>
  </si>
  <si>
    <t>TR004 is the molecule id;</t>
  </si>
  <si>
    <t>TR004 คือรหัสโมเลกุล</t>
  </si>
  <si>
    <t>SELECT DISTINCT T.element FROM atom AS T WHERE T.molecule_id = 'TR004'</t>
  </si>
  <si>
    <t>How many of the molecules are not carcinogenic?</t>
  </si>
  <si>
    <t>SELECT COUNT(T.molecule_id) FROM molecule AS T WHERE T.label = '-'</t>
  </si>
  <si>
    <t>Among all the atoms from 21 to 25, list all the molecules that are carcinogenic.</t>
  </si>
  <si>
    <t>atoms from 21 to 25 refers to SUBSTR(atom_id, 7, 2) between '21' and '25'; label = '+' mean molecules are carcinogenic</t>
  </si>
  <si>
    <t>อะตอมตั้งแต่ 21 ถึง 25 หมายถึง SUBSTR(atom_id, 7, 2) ระหว่าง '21' ถึง '25'; label = '+' หมายความว่าโมเลกุลเป็นสารก่อมะเร็ง</t>
  </si>
  <si>
    <t>SELECT DISTINCT T2.molecule_id FROM atom AS T1 INNER JOIN molecule AS T2 ON T1.molecule_id = T2.molecule_id WHERE SUBSTR(T1.atom_id, -2) BETWEEN '21' AND '25' AND T2.label = '+'</t>
  </si>
  <si>
    <t>What are the bonds that have phosphorus and nitrogen as their atom elements?</t>
  </si>
  <si>
    <t>have phosphorus as atom elements refers to element = 'p'; have nitrogen as atom elements refers to element = 'n'</t>
  </si>
  <si>
    <t>มีฟอสฟอรัสเนื่องจากองค์ประกอบอะตอมหมายถึงองค์ประกอบ = 'p'; มีไนโตรเจนเนื่องจากองค์ประกอบอะตอมหมายถึงองค์ประกอบ = 'n'</t>
  </si>
  <si>
    <t>SELECT T2.bond_id FROM atom AS T1 INNER JOIN connected AS T2 ON T1.atom_id = T2.atom_id WHERE T2.bond_id IN ( SELECT T3.bond_id FROM connected AS T3 INNER JOIN atom AS T4 ON T3.atom_id = T4.atom_id WHERE T4.element = 'p' ) AND T1.element = 'n'</t>
  </si>
  <si>
    <t>Is the molecule with the most double bonds carcinogenic?</t>
  </si>
  <si>
    <t>double bond refers to bond_type = ' = '; label = '+' mean molecules are carcinogenic</t>
  </si>
  <si>
    <t>พันธะคู่หมายถึง Bond_type = ' = '; label = '+' หมายความว่าโมเลกุลเป็นสารก่อมะเร็ง</t>
  </si>
  <si>
    <t>SELECT T1.label FROM molecule AS T1 INNER JOIN ( SELECT T.molecule_id, COUNT(T.bond_type) FROM bond AS T WHERE T.bond_type = '=' GROUP BY T.molecule_id ORDER BY COUNT(T.bond_type) DESC LIMIT 1 ) AS T2 ON T1.molecule_id = T2.molecule_id</t>
  </si>
  <si>
    <t>What is the average number of bonds the atoms with the element iodine have?</t>
  </si>
  <si>
    <t>atoms with the element iodine refers to element = 'i'; average = DIVIDE(COUND(bond_id), COUNT(atom_id)) where element = 'i'</t>
  </si>
  <si>
    <t>อะตอมที่มีธาตุไอโอดีนหมายถึงธาตุ = 'i'; ค่าเฉลี่ย = DIVIDE(COUND(bond_id), COUNT(atom_id)) โดยที่ element = 'i'</t>
  </si>
  <si>
    <t>SELECT CAST(COUNT(T2.bond_id) AS REAL) / COUNT(T1.atom_id) FROM atom AS T1 INNER JOIN connected AS T2 ON T1.atom_id = T2.atom_id WHERE T1.element = 'i'</t>
  </si>
  <si>
    <t>List the bond type and the bond ID of the atom 45.</t>
  </si>
  <si>
    <t>bond ID of atom 45 refers to SUBSTR(atom_id, 7, 2) + 0 = 45; double bond refers to bond_type = ' = '; single bond refers to bond_type = '-'; triple bond refers to bond_type = '#';</t>
  </si>
  <si>
    <t>ID พันธะของอะตอม 45 อ้างอิงถึง SUBSTR(atom_id, 7, 2) + 0 = 45; พันธะคู่หมายถึง Bond_type = ' = '; พันธบัตรเดี่ยวหมายถึง Bond_type = '-'; พันธะสามหมายถึง Bond_type = '#';</t>
  </si>
  <si>
    <t>SELECT T1.bond_type, T1.bond_id FROM bond AS T1 INNER JOIN connected AS T2 ON T1.bond_id = T2.bond_id WHERE SUBSTR(T2.atom_id, 7, 2) = '45'</t>
  </si>
  <si>
    <t>List all the elements of atoms that can not bond with any other atoms.</t>
  </si>
  <si>
    <t>atoms cannot bond with other atoms means atom_id NOT in connected table;</t>
  </si>
  <si>
    <t>อะตอมไม่สามารถสร้างพันธะกับอะตอมอื่นได้ หมายความว่า atom_id ไม่ได้อยู่ในตารางที่เชื่อมต่อ</t>
  </si>
  <si>
    <t>SELECT DISTINCT T.element FROM atom AS T WHERE T.element NOT IN ( SELECT DISTINCT T1.element FROM atom AS T1 INNER JOIN connected AS T2 ON T1.atom_id = T2.atom_id )</t>
  </si>
  <si>
    <t>What are the atoms of the triple bond with the molecule "TR041"?</t>
  </si>
  <si>
    <t>TR041 is the molecule id; triple bond refers to bond_type = '#';</t>
  </si>
  <si>
    <t>TR041 คือรหัสโมเลกุล พันธะสามหมายถึง Bond_type = '#';</t>
  </si>
  <si>
    <t>SELECT T2.atom_id, T2.atom_id2 FROM atom AS T1 INNER JOIN connected AS T2 ON T1.atom_id = T2.atom_id INNER JOIN bond AS T3 ON T2.bond_id = T3.bond_id WHERE T3.bond_type = '#' AND T3.molecule_id = 'TR041'</t>
  </si>
  <si>
    <t>What are the elements of the atoms of TR144_8_19?</t>
  </si>
  <si>
    <t>TR144_8_19 is the bond id;</t>
  </si>
  <si>
    <t>TR144_8_19 คือรหัสพันธบัตร</t>
  </si>
  <si>
    <t>SELECT T2.element FROM connected AS T1 INNER JOIN atom AS T2 ON T1.atom_id = T2.atom_id WHERE T1.bond_id = 'TR144_8_19'</t>
  </si>
  <si>
    <t>Of all the carcinogenic molecules, which one has the most double bonds?</t>
  </si>
  <si>
    <t>label = '+' mean molecules are carcinogenic; double bond refers to bond_type = ' = ';</t>
  </si>
  <si>
    <t>label = '+' หมายความว่าโมเลกุลเป็นสารก่อมะเร็ง พันธะคู่หมายถึง Bond_type = ' = ';</t>
  </si>
  <si>
    <t>SELECT T.molecule_id FROM ( SELECT T3.molecule_id, COUNT(T1.bond_type) FROM bond AS T1 INNER JOIN molecule AS T3 ON T1.molecule_id = T3.molecule_id WHERE T3.label = '+' AND T1.bond_type = '=' GROUP BY T3.molecule_id ORDER BY COUNT(T1.bond_type) DESC LIMIT 1 ) AS T</t>
  </si>
  <si>
    <t>What is the least common element of all carcinogenic molecules?</t>
  </si>
  <si>
    <t>label = '+' mean molecules are carcinogenic</t>
  </si>
  <si>
    <t>label = '+' หมายความว่าโมเลกุลเป็นสารก่อมะเร็ง</t>
  </si>
  <si>
    <t>SELECT T.element FROM ( SELECT T2.element, COUNT(DISTINCT T2.molecule_id) FROM molecule AS T1 INNER JOIN atom AS T2 ON T1.molecule_id = T2.molecule_id WHERE T1.label = '+' GROUP BY T2.element ORDER BY COUNT(DISTINCT T2.molecule_id) LIMIT 1 ) t</t>
  </si>
  <si>
    <t>What are the atoms that can bond with the atom that has the element lead?</t>
  </si>
  <si>
    <t>atom that has the element lead refers to atom_id where element = 'pb'</t>
  </si>
  <si>
    <t>อะตอมที่มีองค์ประกอบตะกั่วหมายถึง atom_id โดยที่องค์ประกอบ = 'pb'</t>
  </si>
  <si>
    <t>SELECT T2.atom_id, T2.atom_id2 FROM atom AS T1 INNER JOIN connected AS T2 ON T1.atom_id = T2.atom_id WHERE T1.element = 'pb'</t>
  </si>
  <si>
    <t>List the elements of all the triple bonds.</t>
  </si>
  <si>
    <t>SELECT DISTINCT T3.element FROM bond AS T1 INNER JOIN connected AS T2 ON T1.bond_id = T2.bond_id INNER JOIN atom AS T3 ON T2.atom_id = T3.atom_id WHERE T1.bond_type = '#'</t>
  </si>
  <si>
    <t>What percentage of bonds have the most common combination of atoms' elements?</t>
  </si>
  <si>
    <t>DIVIDE(COUNT(bond_id), COUNT(atom_id where MAX(COUNT(atom_id)) ))</t>
  </si>
  <si>
    <t>DIVIDE(COUNT(bond_id), COUNT(atom_id โดยที่ MAX(COUNT(atom_id)) ))</t>
  </si>
  <si>
    <t>SELECT CAST((SELECT COUNT(T1.atom_id) FROM connected AS T1 INNER JOIN bond AS T2 ON T1.bond_id = T2.bond_id GROUP BY T2.bond_type ORDER BY COUNT(T2.bond_id) DESC LIMIT 1 ) AS REAL) * 100 / ( SELECT COUNT(atom_id) FROM connected )</t>
  </si>
  <si>
    <t>What proportion of single bonds are carcinogenic? Please provide your answer as a percentage with five decimal places.</t>
  </si>
  <si>
    <t>single bond refers to bond_type = '-'; label = '+' mean molecules are carcinogenic; proportion = DIVIDE(SUM(label = '+') * 100, COUNT(bond_id)) where bond_type = '-'</t>
  </si>
  <si>
    <t>พันธบัตรเดี่ยวหมายถึง Bond_type = '-'; label = '+' หมายความว่าโมเลกุลเป็นสารก่อมะเร็ง สัดส่วน = DIVIDE(SUM(label = '+') * 100, COUNT(bond_id)) โดยที่ Bond_type = '-'</t>
  </si>
  <si>
    <t>SELECT ROUND(CAST(COUNT(CASE WHEN T2.label = '+' THEN T1.bond_id ELSE NULL END) AS REAL) * 100 / COUNT(T1.bond_id),5) FROM bond AS T1 INNER JOIN molecule AS T2 ON T1.molecule_id = T2.molecule_id WHERE T1.bond_type = '-'</t>
  </si>
  <si>
    <t>Calculate the total atoms consisting of the element carbon and hydrogen.</t>
  </si>
  <si>
    <t>consisting of element carbon and hydrogen refers to element in('c', 'h')</t>
  </si>
  <si>
    <t>ประกอบด้วยธาตุคาร์บอนและไฮโดรเจน หมายถึง ธาตุใน('c', 'h')</t>
  </si>
  <si>
    <t>SELECT COUNT(T.atom_id) FROM atom AS T WHERE T.element = 'c' OR T.element = 'h'</t>
  </si>
  <si>
    <t>List down atom id2 for atoms with element sulfur.</t>
  </si>
  <si>
    <t>element sulfur refers to element = 's'</t>
  </si>
  <si>
    <t>องค์ประกอบกำมะถันหมายถึงองค์ประกอบ = 's'</t>
  </si>
  <si>
    <t>SELECT DISTINCT T2.atom_id2 FROM atom AS T1 INNER JOIN connected AS T2 ON T1.atom_id = T2.atom_id WHERE T1.element = 's'</t>
  </si>
  <si>
    <t>What are the bond type for atoms with element Tin?</t>
  </si>
  <si>
    <t>element Tin refers to element = 'sn'; double bond refers to bond_type = ' = '; single bond refers to bond_type = '-'; triple bond refers to bond_type = '#'</t>
  </si>
  <si>
    <t>องค์ประกอบ Tin หมายถึงองค์ประกอบ = 'sn'; พันธะคู่หมายถึง Bond_type = ' = '; พันธบัตรเดี่ยวหมายถึง Bond_type = '-'; พันธะสามหมายถึง Bond_type = '#'</t>
  </si>
  <si>
    <t>SELECT DISTINCT T3.bond_type FROM atom AS T1 INNER JOIN connected AS T2 ON T1.atom_id = T2.atom_id INNER JOIN bond AS T3 ON T3.bond_id = T2.bond_id WHERE T1.element = 'sn'</t>
  </si>
  <si>
    <t>How many elements are there for single bond molecules?</t>
  </si>
  <si>
    <t>single bond refers to bond_type = '-';</t>
  </si>
  <si>
    <t>พันธบัตรเดี่ยวหมายถึง Bond_type = '-';</t>
  </si>
  <si>
    <t>SELECT COUNT(DISTINCT T.element) FROM ( SELECT DISTINCT T2.molecule_id, T1.element FROM atom AS T1 INNER JOIN molecule AS T2 ON T1.molecule_id = T2.molecule_id INNER JOIN bond AS T3 ON T2.molecule_id = T3.molecule_id WHERE T3.bond_type = '-' ) AS T</t>
  </si>
  <si>
    <t>Calculate the total atoms with triple-bond molecules containing the element phosphorus or bromine.</t>
  </si>
  <si>
    <t>triple bond refers to bond_type = '#'; phosphorus refers to element = 'p'; bromine refers to element = 'br'</t>
  </si>
  <si>
    <t>พันธะสามหมายถึง Bond_type = '#'; ฟอสฟอรัสหมายถึงองค์ประกอบ = 'p'; โบรมีนหมายถึงองค์ประกอบ = 'br'</t>
  </si>
  <si>
    <t>SELECT COUNT(T1.atom_id) FROM atom AS T1 INNER JOIN molecule AS T2 ON T1.molecule_id = T2.molecule_id INNER JOIN bond AS T3 ON T2.molecule_id = T3.molecule_id WHERE T3.bond_type = '#' AND T1.element IN ('p', 'br')</t>
  </si>
  <si>
    <t>Write down bond id for molecules that are carcinogenic.</t>
  </si>
  <si>
    <t>SELECT DISTINCT T1.bond_id FROM bond AS T1 INNER JOIN molecule AS T2 ON T1.molecule_id = T2.molecule_id WHERE T2.label = '+'</t>
  </si>
  <si>
    <t>Among the single bond molecule id, which molecules are not carcinogenic?</t>
  </si>
  <si>
    <t>label = '-' means molecules are non-carcinogenic; single bond refers to bond_type = '-';</t>
  </si>
  <si>
    <t>label = '-' หมายถึงโมเลกุลไม่เป็นสารก่อมะเร็ง พันธบัตรเดี่ยวหมายถึง Bond_type = '-';</t>
  </si>
  <si>
    <t>SELECT DISTINCT T1.molecule_id FROM bond AS T1 INNER JOIN molecule AS T2 ON T1.molecule_id = T2.molecule_id WHERE T2.label = '-' AND T1.bond_type = '-'</t>
  </si>
  <si>
    <t>What is the composition of element chlorine in percentage among the single bond molecules?</t>
  </si>
  <si>
    <t>element chlorine refers to element = 'cl'; single bond refers to bond_type = '-'; percentage = DIVIDE(SUM(element = 'cl'), COUNT(atom_id)) as percent where bond_type = '-'</t>
  </si>
  <si>
    <t>องค์ประกอบคลอรีนหมายถึงองค์ประกอบ = 'cl'; พันธบัตรเดี่ยวหมายถึง Bond_type = '-'; เปอร์เซ็นต์ = DIVIDE(SUM(องค์ประกอบ = 'cl'), COUNT(atom_id)) เป็นเปอร์เซ็นต์ โดยที่ Bond_type = '-'</t>
  </si>
  <si>
    <t>SELECT CAST(COUNT(CASE WHEN T.element = 'cl' THEN T.atom_id ELSE NULL END) AS REAL) * 100 / COUNT(T.atom_id) FROM ( SELECT T1.atom_id, T1.element FROM atom AS T1 INNER JOIN molecule AS T2 ON T1.molecule_id = T2.molecule_id INNER JOIN bond AS T3 ON T2.molecule_id = T3.molecule_id WHERE T3.bond_type = '-' ) AS T</t>
  </si>
  <si>
    <t>What are the labels for TR000, TR001 and TR002?</t>
  </si>
  <si>
    <t>TR000, TR001 and TR002 are molecule id; label = '+' mean molecules are carcinogenic; label = '-' means molecules are non-carcinogenic</t>
  </si>
  <si>
    <t>TR000, TR001 และ TR002 เป็นรหัสโมเลกุล label = '+' หมายความว่าโมเลกุลเป็นสารก่อมะเร็ง label = '-' หมายถึงโมเลกุลไม่เป็นสารก่อมะเร็ง</t>
  </si>
  <si>
    <t>SELECT molecule_id, T.label FROM molecule AS T WHERE T.molecule_id IN ('TR000', 'TR001', 'TR002')</t>
  </si>
  <si>
    <t>List down the molecule id for non carcinogenic molecules.</t>
  </si>
  <si>
    <t>SELECT T.molecule_id FROM molecule AS T WHERE T.label = '-'</t>
  </si>
  <si>
    <t>Calculate the total carcinogenic molecules for molecule id from TR000 to TR030.</t>
  </si>
  <si>
    <t>SELECT COUNT(T.molecule_id) FROM molecule AS T WHERE T.molecule_id BETWEEN 'TR000' AND 'TR030' AND T.label = '+'</t>
  </si>
  <si>
    <t>List down the bond type for molecules from molecule id TR000 to TR050.</t>
  </si>
  <si>
    <t>double bond refers to bond_type = ' = '; single bond refers to bond_type = '-'; triple bond refers to bond_type = '#';</t>
  </si>
  <si>
    <t>พันธะคู่หมายถึง Bond_type = ' = '; พันธบัตรเดี่ยวหมายถึง Bond_type = '-'; พันธะสามหมายถึง Bond_type = '#';</t>
  </si>
  <si>
    <t>SELECT T2.molecule_id, T2.bond_type FROM molecule AS T1 INNER JOIN bond AS T2 ON T1.molecule_id = T2.molecule_id WHERE T1.molecule_id BETWEEN 'TR000' AND 'TR050'</t>
  </si>
  <si>
    <t>What are the elements for bond id TR001_10_11?</t>
  </si>
  <si>
    <t>TR001_10_11 is the bond id;</t>
  </si>
  <si>
    <t>TR001_10_11 คือรหัสพันธบัตร</t>
  </si>
  <si>
    <t>SELECT T2.element FROM connected AS T1 INNER JOIN atom AS T2 ON T1.atom_id = T2.atom_id WHERE T1.bond_id = 'TR001_10_11'</t>
  </si>
  <si>
    <t>How many bond id have element iodine?</t>
  </si>
  <si>
    <t>iodine refers to element = 'i'</t>
  </si>
  <si>
    <t>ไอโอดีนหมายถึงองค์ประกอบ = 'i'</t>
  </si>
  <si>
    <t>SELECT COUNT(T3.bond_id) FROM atom AS T1 INNER JOIN molecule AS T2 ON T1.molecule_id = T2.molecule_id INNER JOIN bond AS T3 ON T2.molecule_id = T3.molecule_id WHERE T1.element = 'i'</t>
  </si>
  <si>
    <t>Among the molecules with element Calcium, are they mostly carcinogenic or non carcinogenic?</t>
  </si>
  <si>
    <t>calcium refers to element = 'ca'; label = '+' mean molecules are carcinogenic; label = '-' means molecules are non-carcinogenic; MAX(label)</t>
  </si>
  <si>
    <t>แคลเซียมหมายถึงองค์ประกอบ = 'ca'; label = '+' หมายความว่าโมเลกุลเป็นสารก่อมะเร็ง label = '-' หมายถึงโมเลกุลไม่เป็นสารก่อมะเร็ง สูงสุด(ฉลาก)</t>
  </si>
  <si>
    <t>SELECT T2.label FROM atom AS T1 INNER JOIN molecule AS T2 ON T1.molecule_id = T2.molecule_id WHERE T1.element = 'ca' GROUP BY T2.label ORDER BY COUNT(T2.label) DESC LIMIT 1</t>
  </si>
  <si>
    <t>Does bond id TR001_1_8 have both element of chlorine and carbon?</t>
  </si>
  <si>
    <t>chlorine refers to element = 'cl'; carbon refers to element = 'c'</t>
  </si>
  <si>
    <t>คลอรีนหมายถึงองค์ประกอบ = 'cl'; คาร์บอนหมายถึงองค์ประกอบ = 'c'</t>
  </si>
  <si>
    <t>SELECT T2.bond_id, T2.atom_id2, T1.element AS flag_have_CaCl FROM atom AS T1 INNER JOIN connected AS T2 ON T2.atom_id = T1.atom_id WHERE T2.bond_id = 'TR001_1_8' AND (T1.element = 'c1' OR T1.element = 'c')</t>
  </si>
  <si>
    <t>List down two molecule id of triple bond non carcinogenic molecules with element carbon.</t>
  </si>
  <si>
    <t>carbon refers to element = 'c'; triple bond refers to bond_type = '#'; label = '-' means molecules are non-carcinogenic</t>
  </si>
  <si>
    <t>คาร์บอนหมายถึงองค์ประกอบ = 'c'; พันธะสามหมายถึง Bond_type = '#'; label = '-' หมายถึงโมเลกุลไม่เป็นสารก่อมะเร็ง</t>
  </si>
  <si>
    <t>SELECT DISTINCT T2.molecule_id FROM atom AS T1 INNER JOIN molecule AS T2 ON T1.molecule_id = T2.molecule_id INNER JOIN bond AS T3 ON T2.molecule_id = T3.molecule_id WHERE T3.bond_type = '#' AND T1.element = 'c' AND T2.label = '-'</t>
  </si>
  <si>
    <t>What is the percentage of element chlorine in carcinogenic molecules?</t>
  </si>
  <si>
    <t>chlorine refers to element = 'cl'; label = '+' mean molecules are carcinogenic; percentage = DIVIDE(SUM(element = 'pb'); COUNT(molecule_id)) as percentage where label = '+'</t>
  </si>
  <si>
    <t>คลอรีนหมายถึงองค์ประกอบ = 'cl'; label = '+' หมายความว่าโมเลกุลเป็นสารก่อมะเร็ง เปอร์เซ็นต์ = DIVIDE(SUM(element = 'pb'); COUNT(โมเลกุล_id)) เป็นเปอร์เซ็นต์โดยที่ label = '+'</t>
  </si>
  <si>
    <t>SELECT CAST(COUNT( CASE WHEN T1.element = 'cl' THEN T1.element ELSE NULL END) AS REAL) * 100 / COUNT(T1.element) FROM atom AS T1 INNER JOIN molecule AS T2 ON T1.molecule_id = T2.molecule_id WHERE T2.label = '+'</t>
  </si>
  <si>
    <t>List the toxicology elements associated with molecule TR001.</t>
  </si>
  <si>
    <t>TR001 is the molecule id</t>
  </si>
  <si>
    <t>TR001 คือรหัสโมเลกุล</t>
  </si>
  <si>
    <t>SELECT DISTINCT T.element FROM atom AS T WHERE T.molecule_id = 'TR001'</t>
  </si>
  <si>
    <t>Give me the molecule ID of the double bond type.</t>
  </si>
  <si>
    <t>SELECT DISTINCT T.molecule_id FROM bond AS T WHERE T.bond_type = '='</t>
  </si>
  <si>
    <t>Write down the atom IDs of the first and second atoms of triple bond type molecules.</t>
  </si>
  <si>
    <t>first atom refers to atom_id; second atom refers to atom_id2; triple bond refers to bond_type = '#';</t>
  </si>
  <si>
    <t>อะตอมแรกหมายถึง atom_id; อะตอมที่สองหมายถึง atom_id2; พันธะสามหมายถึง Bond_type = '#';</t>
  </si>
  <si>
    <t>What are the toxicology elements associated with bond ID TR000_1_2?</t>
  </si>
  <si>
    <t>TR000_1_2 is the bond id;</t>
  </si>
  <si>
    <t>TR000_1_2 คือรหัสพันธบัตร</t>
  </si>
  <si>
    <t>SELECT T1.element FROM atom AS T1 INNER JOIN connected AS T2 ON T1.atom_id = T2.atom_id WHERE T2.bond_id = 'TR000_1_2'</t>
  </si>
  <si>
    <t>How many of the single bond type molecules are non-carcinogenic?</t>
  </si>
  <si>
    <t>SELECT COUNT(DISTINCT T2.molecule_id) FROM bond AS T1 INNER JOIN molecule AS T2 ON T1.molecule_id = T2.molecule_id WHERE T2.label = '-' AND T1.bond_type = '-'</t>
  </si>
  <si>
    <t>What is the label for bond ID TR001_10_11?</t>
  </si>
  <si>
    <t>label = '+' mean molecules are carcinogenic; label = '-' means molecules are non-carcinogenic</t>
  </si>
  <si>
    <t>label = '+' หมายความว่าโมเลกุลเป็นสารก่อมะเร็ง label = '-' หมายถึงโมเลกุลไม่เป็นสารก่อมะเร็ง</t>
  </si>
  <si>
    <t>SELECT T2.label FROM bond AS T1 INNER JOIN molecule AS T2 ON T1.molecule_id = T2.molecule_id WHERE T1.bond_id = 'TR001_10_11'</t>
  </si>
  <si>
    <t>Enumerate the bond ID of triple bond type molecules and tell me if they are carcinogenic or not.</t>
  </si>
  <si>
    <t>triple bond refers to bond_type = '#'; label = '+' mean molecules are carcinogenic; label = '-' means molecules are non-carcinogenic</t>
  </si>
  <si>
    <t>พันธะสามหมายถึง Bond_type = '#'; label = '+' หมายความว่าโมเลกุลเป็นสารก่อมะเร็ง label = '-' หมายถึงโมเลกุลไม่เป็นสารก่อมะเร็ง</t>
  </si>
  <si>
    <t>SELECT DISTINCT T1.bond_id, T2.label FROM bond AS T1 INNER JOIN molecule AS T2 ON T1.molecule_id = T2.molecule_id WHERE T1.bond_type = '#'</t>
  </si>
  <si>
    <t>Tally the toxicology element of the 4th atom of each molecule that was carcinogenic.</t>
  </si>
  <si>
    <t xml:space="preserve">label = '+' means molecules are carcinogenic; 4th atom of each molecule refers to substr(atom_id, 7, 1) = '4'; </t>
  </si>
  <si>
    <t xml:space="preserve">label = '+' หมายถึงโมเลกุลเป็นสารก่อมะเร็ง อะตอมที่ 4 ของแต่ละโมเลกุลอ้างอิงถึง substr(atom_id, 7, 1) = '4'; </t>
  </si>
  <si>
    <t>SELECT DISTINCT T1.element FROM atom AS T1 INNER JOIN molecule AS T2 ON T1.molecule_id = T2.molecule_id WHERE T2.label = '+' AND SUBSTR(T1.atom_id, -1) = '4' AND LENGTH(T1.atom_id) = 7</t>
  </si>
  <si>
    <t>What is the ratio of Hydrogen elements in molecule ID TR006? List the ratio with its label.</t>
  </si>
  <si>
    <t>hydrogen refers to element = 'h'; ratio = DIVIDE(SUM(element = 'h'), count(element)) where molecule_id = 'TR006' ; label = '+' mean molecules are carcinogenic; label = '-' means molecules are non-carcinogenic</t>
  </si>
  <si>
    <t>ไฮโดรเจนหมายถึงองค์ประกอบ = 'h'; อัตราส่วน = DIVIDE(SUM(องค์ประกอบ = 'h'), จำนวน (องค์ประกอบ)) โดยที่ โมเลกุล_id = 'TR006' ; label = '+' หมายความว่าโมเลกุลเป็นสารก่อมะเร็ง label = '-' หมายถึงโมเลกุลไม่เป็นสารก่อมะเร็ง</t>
  </si>
  <si>
    <t>WITH SubQuery AS (SELECT DISTINCT T1.atom_id, T1.element, T1.molecule_id, T2.label FROM atom AS T1 INNER JOIN molecule AS T2 ON T1.molecule_id = T2.molecule_id WHERE T2.molecule_id = 'TR006') SELECT CAST(COUNT(CASE WHEN element = 'h' THEN atom_id ELSE NULL END) AS REAL) / (CASE WHEN COUNT(atom_id) = 0 THEN NULL ELSE COUNT(atom_id) END) AS ratio, label FROM SubQuery GROUP BY label</t>
  </si>
  <si>
    <t>Identify whether the chemical compound that contains Calcium is carcinogenic.</t>
  </si>
  <si>
    <t>calcium refers to element = 'ca'; label = '+' mean molecules are carcinogenic; label = '-' means molecules are non-carcinogenic;</t>
  </si>
  <si>
    <t>แคลเซียมหมายถึงองค์ประกอบ = 'ca'; label = '+' หมายความว่าโมเลกุลเป็นสารก่อมะเร็ง label = '-' หมายถึงโมเลกุลไม่เป็นสารก่อมะเร็ง</t>
  </si>
  <si>
    <t>SELECT T2.label AS flag_carcinogenic FROM atom AS T1 INNER JOIN molecule AS T2 ON T1.molecule_id = T2.molecule_id WHERE T1.element = 'ca'</t>
  </si>
  <si>
    <t>Determine the bond type that is formed in the chemical compound containing element Carbon.</t>
  </si>
  <si>
    <t>Carbon refers to element = 'c'; double bond refers to bond_type = ' = '; single bond refers to bond_type = '-'; triple bond refers to bond_type = '#';</t>
  </si>
  <si>
    <t>คาร์บอนหมายถึงธาตุ = 'c'; พันธะคู่หมายถึง Bond_type = ' = '; พันธบัตรเดี่ยวหมายถึง Bond_type = '-'; พันธะสามหมายถึง Bond_type = '#';</t>
  </si>
  <si>
    <t>SELECT DISTINCT T2.bond_type FROM atom AS T1 INNER JOIN bond AS T2 ON T1.molecule_id = T2.molecule_id WHERE T1.element = 'c'</t>
  </si>
  <si>
    <t>Name chemical elements that form a bond TR001_10_11.</t>
  </si>
  <si>
    <t>element = 'cl' means Chlorine; element = 'c' means Carbon; element = 'h' means Hydrogen; element = 'o' means Oxygen, element = 's' means Sulfur; element = 'n' means Nitrogen, element = 'p' means Phosphorus, element = 'na' means Sodium, element = 'br' means Bromine, element = 'f' means Fluorine; element = 'i' means Iodine; element = 'sn' means Tin; element = 'pb' means Lead; element = 'te' means Tellurium; element = 'ca' means Calcium; TR001_10_11 is the bond id; molecule id refers to SUBSTR(bond_id, 1, 5); atom 1 refers to SUBSTR(bond_id, 7, 2); atom 2 refers to SUBSTR(bond_id, 10, 2)</t>
  </si>
  <si>
    <t>องค์ประกอบ = 'cl' หมายถึงคลอรีน; องค์ประกอบ = 'c' หมายถึงคาร์บอน; องค์ประกอบ = 'h' หมายถึงไฮโดรเจน; element = 'o' หมายถึงออกซิเจน, element = 's' หมายถึงซัลเฟอร์; element = 'n' หมายถึงไนโตรเจน, element = 'p' หมายถึงฟอสฟอรัส, element = 'na' หมายถึงโซเดียม, element = 'br' หมายถึงโบรมีน, element = 'f' หมายถึงฟลูออรีน; องค์ประกอบ = 'i' หมายถึงไอโอดีน; องค์ประกอบ = 'sn' หมายถึงดีบุก; องค์ประกอบ = 'pb' หมายถึงตะกั่ว; องค์ประกอบ = 'te' หมายถึงเทลลูเรียม; องค์ประกอบ = 'ca' หมายถึงแคลเซียม; TR001_10_11 คือรหัสพันธบัตร รหัสโมเลกุลหมายถึง SUBSTR (bond_id, 1, 5); อะตอม 1 อ้างถึง SUBSTR (bond_id, 7, 2); อะตอม 2 หมายถึง SUBSTR (bond_id, 10, 2)</t>
  </si>
  <si>
    <t>SELECT T1.element FROM atom AS T1 INNER JOIN connected AS T2 ON T1.atom_id = T2.atom_id INNER JOIN bond AS T3 ON T2.bond_id = T3.bond_id WHERE T3.bond_id = 'TR001_10_11'</t>
  </si>
  <si>
    <t>Among all chemical compounds identified in the database, what percent of compounds form a triple-bond.</t>
  </si>
  <si>
    <t>SELECT CAST(COUNT(CASE WHEN T.bond_type = '#' THEN T.bond_id ELSE NULL END) AS REAL) * 100 / COUNT(T.bond_id) FROM bond AS T</t>
  </si>
  <si>
    <t>Among all chemical compounds that contain molecule TR047, identify the percent that form a double-bond.</t>
  </si>
  <si>
    <t>TR047 is the molecule id; double bond refers to bond_type = ' = '; percentage = DIVIDE(SUM(bond_type = ' = '), COUNT(all bond_id)) as percent where molecule_id = 'TR047'</t>
  </si>
  <si>
    <t>TR047 คือรหัสโมเลกุล พันธะคู่หมายถึง Bond_type = ' = '; เปอร์เซ็นต์ = DIVIDE(SUM(bond_type = ' = '), COUNT(bond_id ทั้งหมด)) เป็นเปอร์เซ็นต์ โดยที่ molecular_id = 'TR047'</t>
  </si>
  <si>
    <t>SELECT CAST(COUNT(CASE WHEN T.bond_type = '=' THEN T.bond_id ELSE NULL END) AS REAL) * 100 / COUNT(T.bond_id) FROM bond AS T WHERE T.molecule_id = 'TR047'</t>
  </si>
  <si>
    <t>Identify whether the molecule that contains atom TR001_1 is carcinogenic.</t>
  </si>
  <si>
    <t>label = '+' mean molecules are carcinogenic;</t>
  </si>
  <si>
    <t>SELECT T2.label AS flag_carcinogenic FROM atom AS T1 INNER JOIN molecule AS T2 ON T1.molecule_id = T2.molecule_id WHERE T1.atom_id = 'TR001_1'</t>
  </si>
  <si>
    <t>Is molecule TR151 carcinogenic?</t>
  </si>
  <si>
    <t>SELECT T.label FROM molecule AS T WHERE T.molecule_id = 'TR151'</t>
  </si>
  <si>
    <t>Which toxic element can be found in the molecule TR151?</t>
  </si>
  <si>
    <t>element = 'cl' means Chlorine; element = 'c' means Carbon; element = 'h' means Hydrogen; element = 'o' means Oxygen, element = 's' means Sulfur; element = 'n' means Nitrogen, element = 'p' means Phosphorus, element = 'na' means Sodium, element = 'br' means Bromine, element = 'f' means Fluorine; element = 'i' means Iodine; element = 'sn' means Tin; element = 'pb' means Lead; element = 'te' means Tellurium; element = 'ca' means Calcium</t>
  </si>
  <si>
    <t>องค์ประกอบ = 'cl' หมายถึงคลอรีน; องค์ประกอบ = 'c' หมายถึงคาร์บอน; องค์ประกอบ = 'h' หมายถึงไฮโดรเจน; element = 'o' หมายถึงออกซิเจน, element = 's' หมายถึงซัลเฟอร์; element = 'n' หมายถึงไนโตรเจน, element = 'p' หมายถึงฟอสฟอรัส, element = 'na' หมายถึงโซเดียม, element = 'br' หมายถึงโบรมีน, element = 'f' หมายถึงฟลูออรีน; องค์ประกอบ = 'i' หมายถึงไอโอดีน; องค์ประกอบ = 'sn' หมายถึงดีบุก; องค์ประกอบ = 'pb' หมายถึงตะกั่ว; องค์ประกอบ = 'te' หมายถึงเทลลูเรียม; องค์ประกอบ = 'ca' หมายถึงแคลเซียม</t>
  </si>
  <si>
    <t>SELECT DISTINCT T.element FROM atom AS T WHERE T.molecule_id = 'TR151'</t>
  </si>
  <si>
    <t>How many chemical compounds in the database are identified as carcinogenic.</t>
  </si>
  <si>
    <t>SELECT COUNT(T.molecule_id) FROM molecule AS T WHERE T.label = '+'</t>
  </si>
  <si>
    <t>Identify the atoms belong to the molecule with ID between TR010 to TR050 that contain the element carbon.</t>
  </si>
  <si>
    <t>carbon refers to element = 'c'; between TR010 to TR050 refers to substr(molecule_id, 3, 3)&gt;=10 AND substr(molecule_id, 3, 3) &lt;= 50</t>
  </si>
  <si>
    <t>คาร์บอนหมายถึงองค์ประกอบ = 'c'; ระหว่าง TR010 ถึง TR050 หมายถึง substr(โมเลกุล_id, 3, 3)&gt;=10 และ substr(โมเลกุล_id, 3, 3) &lt;= 50</t>
  </si>
  <si>
    <t>SELECT T.atom_id FROM atom AS T WHERE T.molecule_id BETWEEN 'TR010' AND 'TR050' AND T.element = 'c'</t>
  </si>
  <si>
    <t>How many atoms belong to the molecule labeled with carcinogenic compounds?</t>
  </si>
  <si>
    <t>SELECT COUNT(T1.atom_id) FROM atom AS T1 INNER JOIN molecule AS T2 ON T1.molecule_id = T2.molecule_id WHERE T2.label = '+'</t>
  </si>
  <si>
    <t>Which bond ids are double-bond with carcinogenic compound?</t>
  </si>
  <si>
    <t>SELECT T1.bond_id FROM bond AS T1 INNER JOIN molecule AS T2 ON T1.molecule_id = T2.molecule_id WHERE T2.label = '+' AND T1.bond_type = '='</t>
  </si>
  <si>
    <t>How many atoms belong to the molecule that element is hydrogen and labeled with carcinogenic compound?</t>
  </si>
  <si>
    <t>label = '+' mean molecules are carcinogenic; hydrogen refers to element = h'</t>
  </si>
  <si>
    <t>label = '+' หมายความว่าโมเลกุลเป็นสารก่อมะเร็ง ไฮโดรเจนหมายถึงธาตุ = h'</t>
  </si>
  <si>
    <t>SELECT COUNT(T1.atom_id) AS atomnums_h FROM atom AS T1 INNER JOIN molecule AS T2 ON T1.molecule_id = T2.molecule_id WHERE T2.label = '+' AND T1.element = 'h'</t>
  </si>
  <si>
    <t>Indicate the molecule id is belonging to the TR000_1_2 bond that has the first atom named TR000_1.</t>
  </si>
  <si>
    <t>SELECT T2.molecule_id, T2.bond_id, T1.atom_id FROM connected AS T1 INNER JOIN bond AS T2 ON T1.bond_id = T2.bond_id WHERE T1.atom_id = 'TR000_1' AND T2.bond_id = 'TR000_1_2'</t>
  </si>
  <si>
    <t>Among the atoms that contain element carbon, which one does not contain compound carcinogenic?</t>
  </si>
  <si>
    <t>label = '-' means molecules are non-carcinogenic; carbon refers to element = 'c'</t>
  </si>
  <si>
    <t>label = '-' หมายถึงโมเลกุลไม่เป็นสารก่อมะเร็ง คาร์บอนหมายถึงองค์ประกอบ = 'c'</t>
  </si>
  <si>
    <t>SELECT T1.atom_id FROM atom AS T1 INNER JOIN molecule AS T2 ON T1.molecule_id = T2.molecule_id WHERE T1.element = 'c' AND T2.label = '-'</t>
  </si>
  <si>
    <t>Calculate the percentage of molecules containing carcinogenic compounds that element is hydrogen.</t>
  </si>
  <si>
    <t>hydrogen refers to element = 'h'; label = '+' mean molecules are carcinogenic; percentage = DIVIDE(SUM(label = '+' and element = 'h'), COUNT(molecule_id)) * 100.0</t>
  </si>
  <si>
    <t>ไฮโดรเจนหมายถึงองค์ประกอบ = 'h'; label = '+' หมายความว่าโมเลกุลเป็นสารก่อมะเร็ง เปอร์เซ็นต์ = DIVIDE(SUM(label = '+' และ element = 'h'), COUNT(โมเลกุล_id)) * 100.0</t>
  </si>
  <si>
    <t>SELECT CAST(COUNT(CASE WHEN T1.element = 'h' AND T2.label = '+' THEN T2.molecule_id ELSE NULL END) AS REAL) * 100 / COUNT(T2.molecule_id) FROM atom AS T1 INNER JOIN molecule AS T2 ON T1.molecule_id = T2.molecule_id</t>
  </si>
  <si>
    <t>Is molecule TR124 carcinogenic?</t>
  </si>
  <si>
    <t>SELECT T.label FROM molecule AS T WHERE T.molecule_id = 'TR124'</t>
  </si>
  <si>
    <t>What atoms comprise TR186?</t>
  </si>
  <si>
    <t>TR186 is a molecule id</t>
  </si>
  <si>
    <t>TR186 คือรหัสโมเลกุล</t>
  </si>
  <si>
    <t>SELECT T.atom_id FROM atom AS T WHERE T.molecule_id = 'TR186'</t>
  </si>
  <si>
    <t>What is the bond type of TR007_4_19?</t>
  </si>
  <si>
    <t>SELECT T.bond_type FROM bond AS T WHERE T.bond_id = 'TR007_4_19'</t>
  </si>
  <si>
    <t>Name the elements that comprise the atoms of bond TR001_2_4.</t>
  </si>
  <si>
    <t>SELECT DISTINCT T1.element FROM atom AS T1 INNER JOIN connected AS T2 ON T1.atom_id = T2.atom_id WHERE T2.bond_id = 'TR001_2_4'</t>
  </si>
  <si>
    <t>How many double bonds does TR006 have and is it carcinogenic?</t>
  </si>
  <si>
    <t>label = '+' mean molecules are carcinogenic; label = '-' means molecules are non-carcinogenic; double bond refers to bond_type = ' = ';</t>
  </si>
  <si>
    <t>label = '+' หมายความว่าโมเลกุลเป็นสารก่อมะเร็ง label = '-' หมายถึงโมเลกุลไม่เป็นสารก่อมะเร็ง พันธะคู่หมายถึง Bond_type = ' = ';</t>
  </si>
  <si>
    <t>SELECT COUNT(T1.bond_id), T2.label FROM bond AS T1 INNER JOIN molecule AS T2 ON T1.molecule_id = T2.molecule_id WHERE T1.bond_type = '=' AND T2.molecule_id = 'TR006' GROUP BY T2.label</t>
  </si>
  <si>
    <t>List all carcinogenic molecules and their elements.</t>
  </si>
  <si>
    <t>label = '+' mean molecules are carcinogenic; element = 'cl' means Chlorine; element = 'c' means Carbon; element = 'h' means Hydrogen; element = 'o' means Oxygen, element = 's' means Sulfur; element = 'n' means Nitrogen, element = 'p' means Phosphorus, element = 'na' means Sodium, element = 'br' means Bromine, element = 'f' means Fluorine; element = 'i' means Iodine; element = 'sn' means Tin; element = 'pb' means Lead; element = 'te' means Tellurium; element = 'ca' means Calcium</t>
  </si>
  <si>
    <t>label = '+' หมายความว่าโมเลกุลเป็นสารก่อมะเร็ง องค์ประกอบ = 'cl' หมายถึงคลอรีน; องค์ประกอบ = 'c' หมายถึงคาร์บอน; องค์ประกอบ = 'h' หมายถึงไฮโดรเจน; element = 'o' หมายถึงออกซิเจน, element = 's' หมายถึงซัลเฟอร์; element = 'n' หมายถึงไนโตรเจน, element = 'p' หมายถึงฟอสฟอรัส, element = 'na' หมายถึงโซเดียม, element = 'br' หมายถึงโบรมีน, element = 'f' หมายถึงฟลูออรีน; องค์ประกอบ = 'i' หมายถึงไอโอดีน; องค์ประกอบ = 'sn' หมายถึงดีบุก; องค์ประกอบ = 'pb' หมายถึงตะกั่ว; องค์ประกอบ = 'te' หมายถึงเทลลูเรียม; องค์ประกอบ = 'ca' หมายถึงแคลเซียม</t>
  </si>
  <si>
    <t>SELECT DISTINCT T2.molecule_id, T1.element FROM atom AS T1 INNER JOIN molecule AS T2 ON T1.molecule_id = T2.molecule_id WHERE T2.label = '+'</t>
  </si>
  <si>
    <t>Name all bonds with single bond types and what atoms are connected to the molecules.</t>
  </si>
  <si>
    <t>SELECT T1.bond_id, T2.atom_id, T2.atom_id2 FROM bond AS T1 INNER JOIN connected AS T2 ON T1.bond_id = T2.bond_id WHERE T1.bond_type = '-'</t>
  </si>
  <si>
    <t>Which molecules have triple bonds and list all the elements they contain.</t>
  </si>
  <si>
    <t>triple bond refers to bond_type = '#'; element = 'cl' means Chlorine; element = 'c' means Carbon; element = 'h' means Hydrogen; element = 'o' means Oxygen, element = 's' means Sulfur; element = 'n' means Nitrogen, element = 'p' means Phosphorus, element = 'na' means Sodium, element = 'br' means Bromine, element = 'f' means Fluorine; element = 'i' means Iodine; element = 'sn' means Tin; element = 'pb' means Lead; element = 'te' means Tellurium; element = 'ca' means Calcium</t>
  </si>
  <si>
    <t>พันธะสามหมายถึง Bond_type = '#'; องค์ประกอบ = 'cl' หมายถึงคลอรีน; องค์ประกอบ = 'c' หมายถึงคาร์บอน; องค์ประกอบ = 'h' หมายถึงไฮโดรเจน; element = 'o' หมายถึงออกซิเจน, element = 's' หมายถึงซัลเฟอร์; element = 'n' หมายถึงไนโตรเจน, element = 'p' หมายถึงฟอสฟอรัส, element = 'na' หมายถึงโซเดียม, element = 'br' หมายถึงโบรมีน, element = 'f' หมายถึงฟลูออรีน; องค์ประกอบ = 'i' หมายถึงไอโอดีน; องค์ประกอบ = 'sn' หมายถึงดีบุก; องค์ประกอบ = 'pb' หมายถึงตะกั่ว; องค์ประกอบ = 'te' หมายถึงเทลลูเรียม; องค์ประกอบ = 'ca' หมายถึงแคลเซียม</t>
  </si>
  <si>
    <t>SELECT DISTINCT T1.molecule_id, T2.element FROM bond AS T1 INNER JOIN atom AS T2 ON T1.molecule_id = T2.molecule_id WHERE T1.bond_type = '#'</t>
  </si>
  <si>
    <t>Name the atoms' elements that form bond TR000_2_3.</t>
  </si>
  <si>
    <t>SELECT T2.element FROM connected AS T1 INNER JOIN atom AS T2 ON T1.atom_id = T2.atom_id WHERE T1.bond_id = 'TR000_2_3'</t>
  </si>
  <si>
    <t>How many bonds are created by bonding atoms with chlorine element?</t>
  </si>
  <si>
    <t>chlorine refers to element = 'cl'</t>
  </si>
  <si>
    <t>คลอรีนหมายถึงองค์ประกอบ = 'cl'</t>
  </si>
  <si>
    <t>SELECT COUNT(T1.bond_id) FROM connected AS T1 INNER JOIN atom AS T2 ON T1.atom_id = T2.atom_id WHERE T2.element = 'cl'</t>
  </si>
  <si>
    <t>List out the atom id that belongs to the TR346 molecule and how many bond type can be created by this molecule?</t>
  </si>
  <si>
    <t>SELECT T1.atom_id, COUNT(DISTINCT T2.bond_type),T1.molecule_id FROM atom AS T1 INNER JOIN bond AS T2 ON T1.molecule_id = T2.molecule_id WHERE T1.molecule_id = 'TR000' GROUP BY T1.atom_id, T2.bond_type</t>
  </si>
  <si>
    <t>How many molecules have a double bond type and among these molecule, how many are labeled as carcinogenic compound?</t>
  </si>
  <si>
    <t>double bond refers to bond_type = ' = '; label = '+' mean molecules are carcinogenic;</t>
  </si>
  <si>
    <t>SELECT COUNT(DISTINCT T2.molecule_id), SUM(CASE WHEN T2.label = '+' THEN 1 ELSE 0 END) FROM bond AS T1 INNER JOIN molecule AS T2 ON T1.molecule_id = T2.molecule_id WHERE T1.bond_type = '='</t>
  </si>
  <si>
    <t>How many molecules without sulphur element is not having double bond?</t>
  </si>
  <si>
    <t>double bond refers to bond_type = ' = '; bond_type ! = ' = '; sulphur refers to element = 's'</t>
  </si>
  <si>
    <t>พันธะคู่หมายถึง Bond_type = ' = '; บอนด์_ไทป์ ! - กำมะถันหมายถึงองค์ประกอบ = 's'</t>
  </si>
  <si>
    <t>SELECT COUNT(DISTINCT T1.molecule_id) FROM atom AS T1 INNER JOIN bond AS T2 ON T1.molecule_id = T2.molecule_id WHERE T1.element &lt;&gt; 's' AND T2.bond_type &lt;&gt; '='</t>
  </si>
  <si>
    <t>What is the carcinogenic label for bond TR001_2_4?</t>
  </si>
  <si>
    <t>SELECT DISTINCT T2.label FROM atom AS T1 INNER JOIN molecule AS T2 ON T1.molecule_id = T2.molecule_id INNER JOIN bond AS T3 ON T2.molecule_id = T3.molecule_id WHERE T3.bond_id = 'TR001_2_4'</t>
  </si>
  <si>
    <t>How many atoms belong to molecule id TR001?</t>
  </si>
  <si>
    <t>SELECT COUNT(T.atom_id) FROM atom AS T WHERE T.molecule_id = 'TR001'</t>
  </si>
  <si>
    <t>How many single bonds are there in the list?</t>
  </si>
  <si>
    <t>SELECT COUNT(T.bond_id) FROM bond AS T WHERE T.bond_type = '-'</t>
  </si>
  <si>
    <t>Among the molecules which contain "cl" element, which of them are carcinogenic?</t>
  </si>
  <si>
    <t>SELECT DISTINCT T1.molecule_id FROM atom AS T1 INNER JOIN molecule AS T2 ON T1.molecule_id = T2.molecule_id WHERE T1.element = 'cl' AND T2.label = '+'</t>
  </si>
  <si>
    <t>Among the molecules which contain "c" element, which of them are not carcinogenic?</t>
  </si>
  <si>
    <t>SELECT DISTINCT T1.molecule_id FROM atom AS T1 INNER JOIN molecule AS T2 ON T1.molecule_id = T2.molecule_id WHERE T1.element = 'c' AND T2.label = '-'</t>
  </si>
  <si>
    <t>Calculate the percentage of carcinogenic molecules which contain the Chlorine element.</t>
  </si>
  <si>
    <t>label = '+' mean molecules are carcinogenic; percentage = DIVIDE(SUM(label = '+' and element = 'cl'), COUNT(molecule_id)) as percentage</t>
  </si>
  <si>
    <t>label = '+' หมายความว่าโมเลกุลเป็นสารก่อมะเร็ง เปอร์เซ็นต์ = DIVIDE(SUM(label = '+' และ element = 'cl'), COUNT(โมเลกุล_id)) เป็นเปอร์เซ็นต์</t>
  </si>
  <si>
    <t>SELECT COUNT(CASE WHEN T2.label = '+' AND T1.element = 'cl' THEN T2.molecule_id ELSE NULL END) * 100 / COUNT(T2.molecule_id) FROM atom AS T1 INNER JOIN molecule AS T2 ON T1.molecule_id = T2.molecule_id</t>
  </si>
  <si>
    <t>What is the molecule id of bond id TR001_1_7?</t>
  </si>
  <si>
    <t>SELECT DISTINCT T1.molecule_id FROM atom AS T1 INNER JOIN connected AS T2 ON T1.atom_id = T2.atom_id WHERE T2.bond_id = 'TR001_1_7'</t>
  </si>
  <si>
    <t>How many elements are contained in bond_id TR001_3_4?</t>
  </si>
  <si>
    <t>SELECT COUNT(DISTINCT T1.element) FROM atom AS T1 INNER JOIN connected AS T2 ON T1.atom_id = T2.atom_id WHERE T2.bond_id = 'TR001_3_4'</t>
  </si>
  <si>
    <t>What is the type of the bond which is presenting the connection between two atoms TR000_1 and TR000_2?</t>
  </si>
  <si>
    <t>type of bond refers to bond_type; double bond refers to bond_type = ' = '; single bond refers to bond_type = '-'; triple bond refers to bond_type = '#';</t>
  </si>
  <si>
    <t>ประเภทของพันธบัตรหมายถึง Bond_type; พันธะคู่หมายถึง Bond_type = ' = '; พันธบัตรเดี่ยวหมายถึง Bond_type = '-'; พันธะสามหมายถึง Bond_type = '#';</t>
  </si>
  <si>
    <t>SELECT T1.bond_type FROM bond AS T1 INNER JOIN connected AS T2 ON T1.bond_id = T2.bond_id WHERE T2.atom_id = 'TR000_1' AND T2.atom_id2 = 'TR000_2'</t>
  </si>
  <si>
    <t>What is the molecule of atom id "TR000_2" and atom id 2 "TR000_4"?</t>
  </si>
  <si>
    <t>SELECT T1.molecule_id FROM bond AS T1 INNER JOIN connected AS T2 ON T1.bond_id = T2.bond_id WHERE T2.atom_id = 'TR000_2' AND T2.atom_id2 = 'TR000_4'</t>
  </si>
  <si>
    <t>What is the element of toxicology for the atom with the ID of TR000_1?</t>
  </si>
  <si>
    <t>atom with ID refers to atom_id; element = 'cl' means Chlorine; element = 'c' means Carbon; element = 'h' means Hydrogen; element = 'o' means Oxygen, element = 's' means Sulfur; element = 'n' means Nitrogen, element = 'p' means Phosphorus, element = 'na' means Sodium, element = 'br' means Bromine, element = 'f' means Fluorine; element = 'i' means Iodine; element = 'sn' means Tin; element = 'pb' means Lead; element = 'te' means Tellurium; element = 'ca' means Calcium</t>
  </si>
  <si>
    <t>อะตอมที่มี ID หมายถึง atom_id; องค์ประกอบ = 'cl' หมายถึงคลอรีน; องค์ประกอบ = 'c' หมายถึงคาร์บอน; องค์ประกอบ = 'h' หมายถึงไฮโดรเจน; element = 'o' หมายถึงออกซิเจน, element = 's' หมายถึงซัลเฟอร์; element = 'n' หมายถึงไนโตรเจน, element = 'p' หมายถึงฟอสฟอรัส, element = 'na' หมายถึงโซเดียม, element = 'br' หมายถึงโบรมีน, element = 'f' หมายถึงฟลูออรีน; องค์ประกอบ = 'i' หมายถึงไอโอดีน; องค์ประกอบ = 'sn' หมายถึงดีบุก; องค์ประกอบ = 'pb' หมายถึงตะกั่ว; องค์ประกอบ = 'te' หมายถึงเทลลูเรียม; องค์ประกอบ = 'ca' หมายถึงแคลเซียม</t>
  </si>
  <si>
    <t>SELECT T.element FROM atom AS T WHERE T.atom_id = 'TR000_1'</t>
  </si>
  <si>
    <t>Is molecule TR000 is carcinogenic or not?</t>
  </si>
  <si>
    <t>SELECT label FROM molecule AS T WHERE T.molecule_id = 'TR000'</t>
  </si>
  <si>
    <t>Find the percentage of atoms with single bond.</t>
  </si>
  <si>
    <t>single bond refers to bond_type = '-'; percentage = DIVIDE(SUM(bond_type = '-'), COUNT(bond_id)) as percentage</t>
  </si>
  <si>
    <t>พันธบัตรเดี่ยวหมายถึง Bond_type = '-'; เปอร์เซ็นต์ = DIVIDE(SUM(bond_type = '-'), COUNT(bond_id)) เป็นเปอร์เซ็นต์</t>
  </si>
  <si>
    <t>SELECT CAST(COUNT(CASE WHEN T.bond_type = '-' THEN T.bond_id ELSE NULL END) AS REAL) * 100 / COUNT(T.bond_id) FROM bond t</t>
  </si>
  <si>
    <t>How many carcinogenic molecules that consisted of Nitrogen?</t>
  </si>
  <si>
    <t>nitrogen refers to element = 'n'; label = '+' mean molecules are carcinogenic;</t>
  </si>
  <si>
    <t>ไนโตรเจนหมายถึงธาตุ = 'n'; label = '+' หมายความว่าโมเลกุลเป็นสารก่อมะเร็ง</t>
  </si>
  <si>
    <t>SELECT COUNT(DISTINCT T1.molecule_id) FROM molecule AS T1 INNER JOIN atom AS T2 ON T1.molecule_id = T2.molecule_id WHERE T2.element = 'n' AND T1.label = '+'</t>
  </si>
  <si>
    <t>Which molecule consisted of Sulphur atom with double bond?</t>
  </si>
  <si>
    <t>sulphur refers to element - 's'; double bond refers to bond_type = ' = ';</t>
  </si>
  <si>
    <t>กำมะถันหมายถึงองค์ประกอบ - 's'; พันธะคู่หมายถึง Bond_type = ' = ';</t>
  </si>
  <si>
    <t>SELECT DISTINCT T1.molecule_id FROM atom AS T1 INNER JOIN bond AS T2 ON T1.molecule_id = T2.molecule_id WHERE T1.element = 's' AND T2.bond_type = '='</t>
  </si>
  <si>
    <t>Which non-carcinogenic molecules consisted more than 5 atoms?</t>
  </si>
  <si>
    <t>label = '-' means molecules are non-carcinogenic; molecules consisted more than 5 atoms refers to COUNT(molecule_id) &gt; 5</t>
  </si>
  <si>
    <t>label = '-' หมายถึงโมเลกุลไม่เป็นสารก่อมะเร็ง โมเลกุลประกอบด้วยมากกว่า 5 อะตอม หมายถึง COUNT(โมเลกุล_id) &gt; 5</t>
  </si>
  <si>
    <t>SELECT T.molecule_id FROM ( SELECT T1.molecule_id, COUNT(T2.atom_id) FROM molecule AS T1 INNER JOIN atom AS T2 ON T1.molecule_id = T2.molecule_id WHERE T1.label = '-' GROUP BY T1.molecule_id HAVING COUNT(T2.atom_id) &gt; 5 ) t</t>
  </si>
  <si>
    <t>List all the elements with double bond, consisted in molecule TR024.</t>
  </si>
  <si>
    <t>double bond refers to bond_type = '='; element = 'cl' means Chlorine; element = 'c' means Carbon; element = 'h' means Hydrogen; element = 'o' means Oxygen, element = 's' means Sulfur; element = 'n' means Nitrogen, element = 'p' means Phosphorus, element = 'na' means Sodium, element = 'br' means Bromine, element = 'f' means Fluorine; element = 'i' means Iodine; element = 'sn' means Tin; element = 'pb' means Lead; element = 'te' means Tellurium; element = 'ca' means Calcium</t>
  </si>
  <si>
    <t>พันธะคู่หมายถึง Bond_type = '='; องค์ประกอบ = 'cl' หมายถึงคลอรีน; องค์ประกอบ = 'c' หมายถึงคาร์บอน; องค์ประกอบ = 'h' หมายถึงไฮโดรเจน; element = 'o' หมายถึงออกซิเจน, element = 's' หมายถึงซัลเฟอร์; element = 'n' หมายถึงไนโตรเจน, element = 'p' หมายถึงฟอสฟอรัส, element = 'na' หมายถึงโซเดียม, element = 'br' หมายถึงโบรมีน, element = 'f' หมายถึงฟลูออรีน; องค์ประกอบ = 'i' หมายถึงไอโอดีน; องค์ประกอบ = 'sn' หมายถึงดีบุก; องค์ประกอบ = 'pb' หมายถึงตะกั่ว; องค์ประกอบ = 'te' หมายถึงเทลลูเรียม; องค์ประกอบ = 'ca' หมายถึงแคลเซียม</t>
  </si>
  <si>
    <t>SELECT T1.element FROM atom AS T1 INNER JOIN bond AS T2 ON T1.molecule_id = T2.molecule_id WHERE T1.molecule_id = 'TR024' AND T2.bond_type = '='</t>
  </si>
  <si>
    <t>Which carcinogenic molecule have the highest number of atoms consisted in it?</t>
  </si>
  <si>
    <t>label = '+' mean molecules are carcinogenic; molecule that have the highest number of atoms consisted in in refers to MAX(COUNT(atom.molecule_id))</t>
  </si>
  <si>
    <t>label = '+' หมายความว่าโมเลกุลเป็นสารก่อมะเร็ง โมเลกุลที่มีจำนวนอะตอมมากที่สุดประกอบด้วยค่า MAX(COUNT(atom.โมเลกุล_id))</t>
  </si>
  <si>
    <t>SELECT T.molecule_id FROM ( SELECT T2.molecule_id, COUNT(T1.atom_id) FROM atom AS T1 INNER JOIN molecule AS T2 ON T1.molecule_id = T2.molecule_id WHERE T2.label = '+' GROUP BY T2.molecule_id ORDER BY COUNT(T1.atom_id) DESC LIMIT 1 ) t</t>
  </si>
  <si>
    <t>Calculate the percentage of carcinogenic molecules with triple bonded Hidrogen atoms.</t>
  </si>
  <si>
    <t>hydrogen refers to element = 'h'; label = '+' mean molecules are carcinogenic; triple bond refers to bond_type = '#'; percentage = DIVIDE(SUM(label = '+'), COUNT(molecule_id)) * 100.0 where element = 'h' AND bond_type = '#';</t>
  </si>
  <si>
    <t>ไฮโดรเจนหมายถึงองค์ประกอบ = 'h'; label = '+' หมายความว่าโมเลกุลเป็นสารก่อมะเร็ง พันธะสามหมายถึง Bond_type = '#'; เปอร์เซ็นต์ = DIVIDE (SUM (ฉลาก = '+'), COUNT (โมเลกุล_id)) * 100.0 โดยที่องค์ประกอบ = 'h' และ Bond_type = '#';</t>
  </si>
  <si>
    <t>SELECT CAST(SUM(CASE WHEN T1.label = '+' THEN 1 ELSE 0 END) AS REAL) * 100 / COUNT(DISTINCT T1.molecule_id) FROM molecule AS T1 INNER JOIN atom AS T2 ON T1.molecule_id = T2.molecule_id INNER JOIN bond AS T3 ON T1.molecule_id = T3.molecule_id WHERE T3.bond_type = '#' AND T2.element = 'h'</t>
  </si>
  <si>
    <t>How many of the molecules are carcinogenic?</t>
  </si>
  <si>
    <t>Among the molecules between TR004 to TR010, how many of them has single bonds?</t>
  </si>
  <si>
    <t>single bond refers to bond_type = '-'; molecules between TR004 to TR010 refers molecule_id BETWEEN 'TR004' and 'TR010';</t>
  </si>
  <si>
    <t>พันธบัตรเดี่ยวหมายถึง Bond_type = '-'; โมเลกุลระหว่าง TR004 ถึง TR010 หมายถึง โมเลกุล_id ระหว่าง 'TR004' และ 'TR010';</t>
  </si>
  <si>
    <t>SELECT COUNT(DISTINCT T.molecule_id) FROM bond AS T WHERE T.molecule_id BETWEEN 'TR004' AND 'TR010' AND T.bond_type = '-'</t>
  </si>
  <si>
    <t>In the molecule TR008, how many carbons are present?</t>
  </si>
  <si>
    <t>carbon refers to element = 'c'</t>
  </si>
  <si>
    <t>คาร์บอนหมายถึงองค์ประกอบ = 'c'</t>
  </si>
  <si>
    <t>SELECT COUNT(T.atom_id) FROM atom AS T WHERE T.molecule_id = 'TR008' AND T.element = 'c'</t>
  </si>
  <si>
    <t>What is the element with the atom ID of TR004_7 in molecule that is not carcinogenic?</t>
  </si>
  <si>
    <t>label = '-' means molecules are non-carcinogenic; element = 'cl' means Chlorine; element = 'c' means Carbon; element = 'h' means Hydrogen; element = 'o' means Oxygen, element = 's' means Sulfur; element = 'n' means Nitrogen, element = 'p' means Phosphorus, element = 'na' means Sodium, element = 'br' means Bromine, element = 'f' means Fluorine; element = 'i' means Iodine; element = 'sn' means Tin; element = 'pb' means Lead; element = 'te' means Tellurium; element = 'ca' means Calcium</t>
  </si>
  <si>
    <t>label = '-' หมายถึงโมเลกุลไม่เป็นสารก่อมะเร็ง องค์ประกอบ = 'cl' หมายถึงคลอรีน; องค์ประกอบ = 'c' หมายถึงคาร์บอน; องค์ประกอบ = 'h' หมายถึงไฮโดรเจน; element = 'o' หมายถึงออกซิเจน, element = 's' หมายถึงซัลเฟอร์; element = 'n' หมายถึงไนโตรเจน, element = 'p' หมายถึงฟอสฟอรัส, element = 'na' หมายถึงโซเดียม, element = 'br' หมายถึงโบรมีน, element = 'f' หมายถึงฟลูออรีน; องค์ประกอบ = 'i' หมายถึงไอโอดีน; องค์ประกอบ = 'sn' หมายถึงดีบุก; องค์ประกอบ = 'pb' หมายถึงตะกั่ว; องค์ประกอบ = 'te' หมายถึงเทลลูเรียม; องค์ประกอบ = 'ca' หมายถึงแคลเซียม</t>
  </si>
  <si>
    <t>SELECT T1.element FROM atom AS T1 INNER JOIN molecule AS T2 ON T1.molecule_id = T2.molecule_id WHERE T1.atom_id = 'TR004_7' AND T2.label = '-'</t>
  </si>
  <si>
    <t>What is the total number of molecules with double bonded oxygen?</t>
  </si>
  <si>
    <t>oxygen refers to element = 'o'; double bond refers to bond_type = ' = ';</t>
  </si>
  <si>
    <t>ออกซิเจนหมายถึงองค์ประกอบ = 'o'; พันธะคู่หมายถึง Bond_type = ' = ';</t>
  </si>
  <si>
    <t>SELECT COUNT(DISTINCT T1.molecule_id) FROM atom AS T1 INNER JOIN bond AS T2 ON T1.molecule_id = T2.molecule_id WHERE T2.bond_type = '=' AND T1.element = 'o'</t>
  </si>
  <si>
    <t>in molecules with triple bonds, how many of them are not carcinogenic?</t>
  </si>
  <si>
    <t>triple bond refers to bond_type = '#'; label = '-' means molecules are non-carcinogenic</t>
  </si>
  <si>
    <t>พันธะสามหมายถึง Bond_type = '#'; label = '-' หมายถึงโมเลกุลไม่เป็นสารก่อมะเร็ง</t>
  </si>
  <si>
    <t>SELECT COUNT(DISTINCT T1.molecule_id) FROM molecule AS T1 INNER JOIN bond AS T2 ON T1.molecule_id = T2.molecule_id WHERE T2.bond_type = '#' AND T1.label = '-'</t>
  </si>
  <si>
    <t>List the element and bond type included in the molecule with molecule ID of TR002.</t>
  </si>
  <si>
    <t>TR002 is the molecule id</t>
  </si>
  <si>
    <t>TR002 คือรหัสโมเลกุล</t>
  </si>
  <si>
    <t>SELECT DISTINCT T1.element, T2.bond_type FROM atom AS T1 INNER JOIN bond AS T2 ON T1.molecule_id = T2.molecule_id WHERE T1.molecule_id = 'TR002'</t>
  </si>
  <si>
    <t>What is the atom ID of double bonded carbon in TR012 molecule?</t>
  </si>
  <si>
    <t>carbon refers to element = 'c'; double bond refers to bond_type = ' = ';</t>
  </si>
  <si>
    <t>คาร์บอนหมายถึงองค์ประกอบ = 'c'; พันธะคู่หมายถึง Bond_type = ' = ';</t>
  </si>
  <si>
    <t>SELECT T1.atom_id FROM atom AS T1 INNER JOIN molecule AS T2 ON T1.molecule_id = T2.molecule_id INNER JOIN bond AS T3 ON T2.molecule_id = T3.molecule_id WHERE T2.molecule_id = 'TR012' AND T3.bond_type = '=' AND T1.element = 'c'</t>
  </si>
  <si>
    <t>List the atom ID of the carcinogenic molecule that contains oxygen?</t>
  </si>
  <si>
    <t>label = '+' mean molecules are carcinogenic; oxygen refers to element = 'o'</t>
  </si>
  <si>
    <t>label = '+' หมายความว่าโมเลกุลเป็นสารก่อมะเร็ง ออกซิเจนหมายถึงองค์ประกอบ = 'o'</t>
  </si>
  <si>
    <t>SELECT T1.atom_id FROM atom AS T1 INNER JOIN molecule AS T2 ON T1.molecule_id = T2.molecule_id WHERE T1.element = 'o' AND T2.label = '+'</t>
  </si>
  <si>
    <t>card_games</t>
  </si>
  <si>
    <t>Which are the cards that have incredibly powerful foils.</t>
  </si>
  <si>
    <t>incredibly poweful foils refers to cardKingdomFoilId is not null AND cardKingdomId is not null</t>
  </si>
  <si>
    <t>ฟอยล์ที่ทรงพลังอย่างเหลือเชื่อหมายถึง cardKingdomFoilId ไม่เป็นโมฆะ และ cardKingdomId ไม่เป็นโมฆะ</t>
  </si>
  <si>
    <t>SELECT id FROM cards WHERE cardKingdomFoilId IS NOT NULL AND cardKingdomId IS NOT NULL</t>
  </si>
  <si>
    <t>What are the borderless cards available without powerful foils?</t>
  </si>
  <si>
    <t>borderless' refers to borderColor; poweful foils refers to cardKingdomFoilId paired with cardKingdomId AND cardKingdomId is not null</t>
  </si>
  <si>
    <t>ไร้ขอบ' หมายถึง borderColor; ฟอยล์อันทรงพลังหมายถึง cardKingdomFoilId ที่จับคู่กับ cardKingdomId และ cardKingdomId ไม่เป็นโมฆะ</t>
  </si>
  <si>
    <t>SELECT id FROM cards WHERE borderColor = 'borderless' AND (cardKingdomId IS NULL OR cardKingdomId IS NULL)</t>
  </si>
  <si>
    <t>List the card names with value that cost more converted mana for the face.</t>
  </si>
  <si>
    <t>more converted mana for the face refers to Max(faceConvertedManaCost);</t>
  </si>
  <si>
    <t>มานาที่แปลงแล้วสำหรับใบหน้าหมายถึงสูงสุด (faceConvertedManaCost);</t>
  </si>
  <si>
    <t>SELECT name FROM cards ORDER BY faceConvertedManaCost LIMIT 1</t>
  </si>
  <si>
    <t>Name all cards with 2015 frame style ranking below 100 on EDHRec.</t>
  </si>
  <si>
    <t>below 100 on EDHRec refers to EDHRec &lt;100; with 2015 frame style refers to frameVersion = 2015;</t>
  </si>
  <si>
    <t>ต่ำกว่า 100 บน EDHRec หมายถึง EDHRec &lt;100; ด้วยรูปแบบเฟรมปี 2015 หมายถึง frameVersion = 2015;</t>
  </si>
  <si>
    <t>SELECT id FROM cards WHERE edhrecRank &lt; 100 AND frameVersion = 2015</t>
  </si>
  <si>
    <t>List all the mythic rarity print cards banned in gladiator format.</t>
  </si>
  <si>
    <t>mythic rarity printing refers to rarity = 'mythic'; card banned refers to status = 'Banned'; in gladiator format refers to format = 'gladiator';</t>
  </si>
  <si>
    <t>การพิมพ์ความหายากในตำนานหมายถึงความหายาก = 'ตำนาน'; การ์ดที่ถูกแบนหมายถึงสถานะ = 'ถูกแบน'; ในรูปแบบ Gladiator หมายถึง format = 'gladiator';</t>
  </si>
  <si>
    <t>SELECT DISTINCT T1.id FROM cards AS T1 INNER JOIN legalities AS T2 ON T1.uuid = T2.uuid WHERE T2.format = 'gladiator' AND T2.status = 'Banned' AND T1.rarity = 'mythic'</t>
  </si>
  <si>
    <t>For artifact type of cards that do not have multiple faces on the same card, state its legalities status for vintage play format.</t>
  </si>
  <si>
    <t>Artifact type of cards refers to types = 'Artifact'; card does not have multiple faces on the same card refers to side is NULL'; vintage play format refers to format = 'vintage';</t>
  </si>
  <si>
    <t>ประเภทการ์ดสิ่งประดิษฐ์อ้างอิงถึงประเภท = 'สิ่งประดิษฐ์'; การ์ดไม่ได้มีหลายหน้าบนการ์ดใบเดียวกันหมายถึงด้านเป็น NULL '; รูปแบบการเล่นแบบวินเทจหมายถึง format = 'vintage';</t>
  </si>
  <si>
    <t>SELECT DISTINCT T2.status FROM cards AS T1 INNER JOIN legalities AS T2 ON T1.uuid = T2.uuid WHERE T1.type = 'Artifact' AND T2.format = 'vintage' AND T1.side IS NULL</t>
  </si>
  <si>
    <t>List all the card id and artist with unknown power which are legal for commander play format.</t>
  </si>
  <si>
    <t>unknown power refers to power = '*' or POWER IS NULL; commander play format refers to format = 'commander'; legal for commander play format refers to format = 'commander' where status = 'Legal'</t>
  </si>
  <si>
    <t>พลังงานที่ไม่รู้จักหมายถึงพลังงาน = '*' หรือพลังงานเป็นโมฆะ; รูปแบบการเล่นของผู้บัญชาการหมายถึง format = 'commander'; รูปแบบการเล่นที่ถูกกฎหมายสำหรับผู้บังคับบัญชาหมายถึงรูปแบบ = 'ผู้บัญชาการ' โดยที่สถานะ = 'กฎหมาย'</t>
  </si>
  <si>
    <t>SELECT T1.id, T1.artist FROM cards AS T1 INNER JOIN legalities AS T2 ON T1.uuid = T2.uuid WHERE T2.status = 'Legal' AND T2.format = 'commander' AND (T1.power IS NULL OR T1.power = '*')</t>
  </si>
  <si>
    <t>Find all cards illustrated by Stephen Daniel and describe the text of the ruling of these cards. State if these cards have missing or degraded properties and values.</t>
  </si>
  <si>
    <t>cards have missing or degraded properties and value refers to hasContentWarning = 1; 'Stephen Daniele' is artist; Find all cards refers to return card id</t>
  </si>
  <si>
    <t>การ์ดมีคุณสมบัติขาดหายไปหรือลดระดับและค่าอ้างอิงถึง hasContentWarning = 1; 'Stephen Daniele' เป็นศิลปิน ค้นหาการ์ดทั้งหมดหมายถึงรหัสบัตรคืน</t>
  </si>
  <si>
    <t>SELECT T1.id, T2.text, T1.hasContentWarning FROM cards AS T1 INNER JOIN rulings AS T2 ON T1.uuid = T2.uuid WHERE T1.artist = 'Stephen Daniele'</t>
  </si>
  <si>
    <t>Describe the information about rulings for card named 'Sublime Epiphany' with number 74s.</t>
  </si>
  <si>
    <t>Sublime Epiphany' is name of cards; number 74s refers to number = '74s'; information refers to text;</t>
  </si>
  <si>
    <t>Sublime Epiphany 'คือชื่อของไพ่; หมายเลข 74s หมายถึงหมายเลข = '74s'; ข้อมูลหมายถึงข้อความ</t>
  </si>
  <si>
    <t>SELECT T2.text FROM cards AS T1 INNER JOIN rulings AS T2 ON T1.uuid = T2.uuid WHERE T1.name = 'Sublime Epiphany' AND T1.number = '74s'</t>
  </si>
  <si>
    <t>Name the card and artist with the most ruling information. Also state if the card is a promotional printing.</t>
  </si>
  <si>
    <t>with the most ruling information refers to Max(count(rulings.uuid)); the card is the promotional printing refers to isPromo = 1;</t>
  </si>
  <si>
    <t>ที่มีข้อมูลการพิจารณาคดีมากที่สุดหมายถึง Max(count(rulings.uuid)); บัตรคือการพิมพ์ส่งเสริมการขายหมายถึง isPromo = 1;</t>
  </si>
  <si>
    <t>SELECT T1.name, T1.artist, T1.isPromo FROM cards AS T1 INNER JOIN rulings AS T2 ON T1.uuid = T2.uuid WHERE T1.isPromo = 1 AND T1.artist = (SELECT artist FROM cards WHERE isPromo = 1 GROUP BY artist HAVING COUNT(DISTINCT uuid) = (SELECT MAX(count_uuid) FROM ( SELECT COUNT(DISTINCT uuid) AS count_uuid FROM cards WHERE isPromo = 1 GROUP BY artist ))) LIMIT 1</t>
  </si>
  <si>
    <t>State the alternative languages available for card named Annul numbered 29.</t>
  </si>
  <si>
    <t>annul refers to name = 'annul'; numbered 29 refers to number = '29';</t>
  </si>
  <si>
    <t>annul หมายถึง name = 'annul'; หมายเลข 29 หมายถึง หมายเลข = '29';</t>
  </si>
  <si>
    <t>SELECT T2.language FROM cards AS T1 INNER JOIN foreign_data AS T2 ON T1.uuid = T2.uuid WHERE T1.name = 'Annul' AND T1.number = 29</t>
  </si>
  <si>
    <t>Name all the cards which have alternative language in Japanese.</t>
  </si>
  <si>
    <t>Japanese' is the language;</t>
  </si>
  <si>
    <t>ภาษาญี่ปุ่น' เป็นภาษา;</t>
  </si>
  <si>
    <t>SELECT T1.name FROM cards AS T1 INNER JOIN foreign_data AS T2 ON T1.uuid = T2.uuid WHERE T2.language = 'Japanese'</t>
  </si>
  <si>
    <t>Calculate the percentage of the cards availabe in Chinese Simplified.</t>
  </si>
  <si>
    <t>Chinese Simplified' is the language; percentage = Divide(Sum(id where language = 'Chinese Simplified'), Count(id)) *100</t>
  </si>
  <si>
    <t>จีนตัวย่อ 'คือภาษา; เปอร์เซ็นต์ = หาร (ผลรวม (id โดยที่ภาษา = 'ภาษาจีนตัวย่อ'), จำนวน (id)) *100</t>
  </si>
  <si>
    <t>SELECT CAST(SUM(CASE WHEN T2.language = 'Chinese Simplified' THEN 1 ELSE 0 END) AS REAL) * 100 / COUNT(T1.id) FROM cards AS T1 INNER JOIN foreign_data AS T2 ON T1.uuid = T2.uuid</t>
  </si>
  <si>
    <t>List all the sets available in Italian translation. State the total number of cards per set.</t>
  </si>
  <si>
    <t>Italian translation refers to language = 'Italian'; total number of card per set refers to totalSetSize;</t>
  </si>
  <si>
    <t>การแปลภาษาอิตาลีหมายถึงภาษา = 'อิตาลี'; จำนวนการ์ดทั้งหมดต่อชุดหมายถึง TotalSetSize;</t>
  </si>
  <si>
    <t>SELECT T1.name, T1.totalSetSize FROM sets AS T1 INNER JOIN set_translations AS T2 ON T1.code = T2.setCode WHERE T2.language = 'Italian'</t>
  </si>
  <si>
    <t>How many types of cards does the artist Aaron Boyd illustrated about card art?</t>
  </si>
  <si>
    <t>Aaron Boyd' is artist;</t>
  </si>
  <si>
    <t>Aaron Boyd' เป็นศิลปิน;</t>
  </si>
  <si>
    <t>SELECT COUNT(type) FROM cards WHERE artist = 'Aaron Boyd'</t>
  </si>
  <si>
    <t>What is the keyword found on card 'Angel of Mercy'?</t>
  </si>
  <si>
    <t>Angel of Mercy' is the name of card;</t>
  </si>
  <si>
    <t>Angel of Mercy' เป็นชื่อของไพ่;</t>
  </si>
  <si>
    <t>SELECT DISTINCT keywords FROM cards WHERE name = 'Angel of Mercy'</t>
  </si>
  <si>
    <t>How many cards have infinite power?</t>
  </si>
  <si>
    <t>infinite power refers to power = '*';</t>
  </si>
  <si>
    <t>พลังงานไม่มีที่สิ้นสุดหมายถึงพลังงาน = '*';</t>
  </si>
  <si>
    <t>SELECT COUNT(*) FROM cards WHERE power = '*'</t>
  </si>
  <si>
    <t>What type of promotion is of card 'Duress'?</t>
  </si>
  <si>
    <t>card Duress refers to name = 'Duress'; type of promotion refers to promoTypes;</t>
  </si>
  <si>
    <t>การ์ดการข่มขู่หมายถึงชื่อ = 'การข่มขู่'; ประเภทของโปรโมชันหมายถึงประเภทโปรโมชัน</t>
  </si>
  <si>
    <t>SELECT promoTypes FROM cards WHERE name = 'Duress' AND promoTypes IS NOT NULL</t>
  </si>
  <si>
    <t>What is the border color of card "Ancestor's Chosen"?</t>
  </si>
  <si>
    <t>name of card  = 'Ancestor''s Chosen' ;</t>
  </si>
  <si>
    <t>ชื่อการ์ด = 'บรรพบุรุษ' ผู้ถูกเลือก' ;</t>
  </si>
  <si>
    <t>SELECT DISTINCT borderColor FROM cards WHERE name = 'Ancestor''s Chosen'</t>
  </si>
  <si>
    <t>What is the type of the card "Ancestor's Chosen" as originally printed?</t>
  </si>
  <si>
    <t>Ancestor's Chosen' is the name of card; type of the card as originally printed refers to originaltype;</t>
  </si>
  <si>
    <t>Ancestor's Chosen' เป็นชื่อของการ์ด ประเภทของการ์ดที่พิมพ์ครั้งแรกหมายถึงประเภทต้นฉบับ</t>
  </si>
  <si>
    <t>SELECT originalType FROM cards WHERE name = 'Ancestor''s Chosen' AND originalType IS NOT NULL</t>
  </si>
  <si>
    <t>cards are not directly linked to language but through table 'set'. you need to add set in covered table &amp; rephrase your question
What are the languages available for the set that card 'Angel of Mercy' is in?</t>
  </si>
  <si>
    <t>SELECT language FROM set_translations WHERE id IN ( SELECT id FROM cards WHERE name = 'Angel of Mercy' )</t>
  </si>
  <si>
    <t>How many cards of legalities whose status is restricted have text boxes?</t>
  </si>
  <si>
    <t>restricted refers to status = 'restricted'; have text boxes refers to is Textless = 0;</t>
  </si>
  <si>
    <t>จำกัด หมายถึงสถานะ = 'ถูก จำกัด '; มีกล่องข้อความอ้างถึงคือ Textless = 0;</t>
  </si>
  <si>
    <t>SELECT COUNT(DISTINCT T1.id) FROM cards AS T1 INNER JOIN legalities AS T2 ON T1.uuid = T2.uuid WHERE T2.status = 'Restricted' AND T1.isTextless = 0</t>
  </si>
  <si>
    <t>What is the description about the ruling of card "Condemn"?</t>
  </si>
  <si>
    <t>Ancestor's Chosen' is the name of card; description about the ruling refers to text;</t>
  </si>
  <si>
    <t>Ancestor's Chosen' เป็นชื่อของการ์ด คำอธิบายเกี่ยวกับการพิจารณาคดีอ้างถึงข้อความ</t>
  </si>
  <si>
    <t>SELECT T2.text FROM cards AS T1 INNER JOIN rulings AS T2 ON T1.uuid = T2.uuid WHERE T1.name = 'Condemn'</t>
  </si>
  <si>
    <t>How many cards of legalities whose status is restricted are found in a starter deck?</t>
  </si>
  <si>
    <t>restricted refers to status = 'restricted'; found in the starter deck refers to isStarter = 1;</t>
  </si>
  <si>
    <t>จำกัด หมายถึงสถานะ = 'ถูก จำกัด '; ที่พบในสำรับเริ่มต้นหมายถึง isStarter = 1;</t>
  </si>
  <si>
    <t>SELECT COUNT(DISTINCT T1.id) FROM cards AS T1 INNER JOIN legalities AS T2 ON T1.uuid = T2.uuid WHERE T2.status = 'Restricted' AND T1.isStarter = 1</t>
  </si>
  <si>
    <t>What is the status of card "Cloudchaser Eagle"?</t>
  </si>
  <si>
    <t>Cloudchaser Eagle is the name of card;</t>
  </si>
  <si>
    <t>Cloudchaser Eagle เป็นชื่อของการ์ด</t>
  </si>
  <si>
    <t>SELECT DISTINCT T2.status FROM cards AS T1 INNER JOIN legalities AS T2 ON T1.uuid = T2.uuid WHERE T1.name = 'Cloudchaser Eagle'</t>
  </si>
  <si>
    <t>What is the type of card "Benalish Knight"?</t>
  </si>
  <si>
    <t>Benalish Knight' is the name of card;</t>
  </si>
  <si>
    <t>Benalish Knight' เป็นชื่อของการ์ด;</t>
  </si>
  <si>
    <t>SELECT DISTINCT T1.type FROM cards AS T1 INNER JOIN foreign_data AS T2 ON T1.uuid = T2.uuid WHERE T1.name = 'Benalish Knight'</t>
  </si>
  <si>
    <t>What is the rule of playing card "Benalish Knight"?</t>
  </si>
  <si>
    <t>Benalish Knight' is the name of card; rule of playing card refers to format;</t>
  </si>
  <si>
    <t>Benalish Knight' เป็นชื่อของการ์ด; กฎการเล่นไพ่หมายถึงรูปแบบ</t>
  </si>
  <si>
    <t>SELECT T2.format FROM cards AS T1 INNER JOIN legalities AS T2 ON T1.uuid = T2.uuid WHERE T1.name = 'Benalish Knight'</t>
  </si>
  <si>
    <t>Please provide the names of the artists who illustrated the card art in Phyrexian.</t>
  </si>
  <si>
    <t>Phyrexian' is the language; name of artists refers to artist;</t>
  </si>
  <si>
    <t>Phyrexian' เป็นภาษา; ชื่อศิลปินหมายถึงศิลปิน</t>
  </si>
  <si>
    <t>SELECT T1.artist FROM cards AS T1 INNER JOIN foreign_data AS T2 ON T1.uuid = T2.uuid WHERE T2.language = 'Phyrexian'</t>
  </si>
  <si>
    <t>What is the percentage of borderless cards?</t>
  </si>
  <si>
    <t>borderless card refers to borderColor = 'borderless'; percentage = Divide(Count (id) where borderColor = 'borderless', Count(id)) *100</t>
  </si>
  <si>
    <t>การ์ดไร้ขอบหมายถึง borderColor = 'ไร้ขอบ'; เปอร์เซ็นต์ = หาร(นับ (id) โดยที่ borderColor = 'ไร้ขอบ', Count(id)) *100</t>
  </si>
  <si>
    <t>SELECT CAST(SUM(CASE WHEN borderColor = 'borderless' THEN 1 ELSE 0 END) AS REAL) * 100 / COUNT(id) FROM cards</t>
  </si>
  <si>
    <t>How many cards that illusrtated in German have been reprinted?</t>
  </si>
  <si>
    <t>German' is the language; reprinted refers to isReprint = 1;</t>
  </si>
  <si>
    <t>ภาษาเยอรมัน' เป็นภาษา; พิมพ์ซ้ำหมายถึง isReprint = 1;</t>
  </si>
  <si>
    <t>SELECT COUNT(T1.id) FROM cards AS T1 INNER JOIN foreign_data AS T2 ON T1.uuid = T2.uuid WHERE T2.language = 'German' AND T1.isReprint = 1</t>
  </si>
  <si>
    <t>How many borderless cards are illustrated in Russian?</t>
  </si>
  <si>
    <t>borderless card refers to borderColor = 'borderless'; 'Russian' is the language;</t>
  </si>
  <si>
    <t>การ์ดไร้ขอบหมายถึง borderColor = 'ไร้ขอบ'; 'รัสเซีย' คือภาษา;</t>
  </si>
  <si>
    <t>SELECT COUNT(T1.id) FROM cards AS T1 INNER JOIN foreign_data AS T2 ON T1.uuid = T2.uuid WHERE T1.borderColor = 'borderless' AND T2.language = 'Russian'</t>
  </si>
  <si>
    <t>What is the percentage of cards whose language is French among the Story Spotlight cards?</t>
  </si>
  <si>
    <t>Story Spotlight card refers to isStorySpotlight = 1; French is the language; Percentage = Divide(Count(id) where language = 'French' and isStorySpotlight = 1, Count(id) where isStorySpotlight = 1)*100</t>
  </si>
  <si>
    <t>การ์ด Story Spotlight อ้างอิงถึง isStorySpotlight = 1; ภาษาฝรั่งเศสเป็นภาษา; เปอร์เซ็นต์ = หาร(นับ(id) โดยที่ภาษา = 'ภาษาฝรั่งเศส' และ isStorySpotlight = 1, จำนวน(id) โดยที่ isStorySpotlight = 1)*100</t>
  </si>
  <si>
    <t>SELECT CAST(SUM(CASE WHEN T2.language = 'French' THEN 1 ELSE 0 END) AS REAL) * 100 / COUNT(T1.id) FROM cards AS T1 INNER JOIN foreign_data AS T2 ON T1.uuid = T2.uuid WHERE T1.isStorySpotlight = 1</t>
  </si>
  <si>
    <t>How many cards are there with toughness of 99?</t>
  </si>
  <si>
    <t>SELECT COUNT(id) FROM cards WHERE toughness = 99</t>
  </si>
  <si>
    <t>Name the cards that were illustrated by Aaron Boyd.</t>
  </si>
  <si>
    <t>SELECT DISTINCT name FROM cards WHERE artist = 'Aaron Boyd'</t>
  </si>
  <si>
    <t>How many black border cards are only available on mtgo?</t>
  </si>
  <si>
    <t>black border card refers to borderColor = black; available on mtgo refers to availability = mtgo;
add quotes for string = 'black' and = 'mtgo'</t>
  </si>
  <si>
    <t>การ์ดขอบสีดำหมายถึง borderColor = black; พร้อมใช้งานบน mtgo หมายถึงความพร้อมใช้งาน = mtgo;
เพิ่มเครื่องหมายคำพูดสำหรับ string = 'black' และ = 'mtgo'</t>
  </si>
  <si>
    <t>SELECT COUNT(id) FROM cards WHERE availability = 'mtgo' AND borderColor = 'black'</t>
  </si>
  <si>
    <t>List down all the card IDs with converted mana cost of 0.</t>
  </si>
  <si>
    <t>converted mana cost of 0 refers to covertedManaCost = 0;</t>
  </si>
  <si>
    <t>ต้นทุนมานาที่แปลงเป็น 0 หมายถึง ต้นทุนมานาที่ถูกแปลง = 0;</t>
  </si>
  <si>
    <t>SELECT id FROM cards WHERE convertedManaCost = 0</t>
  </si>
  <si>
    <t>What are the card layout of cards with keyword of flying?</t>
  </si>
  <si>
    <t>SELECT layout FROM cards WHERE keywords = 'Flying'</t>
  </si>
  <si>
    <t>How many cards with original type of "Summon - Angel" have subtype other than "Angel"?</t>
  </si>
  <si>
    <t>subtype other than Angel refers to subtypes is not 'Angel';</t>
  </si>
  <si>
    <t>ประเภทย่อยอื่นที่ไม่ใช่ Angel หมายถึงประเภทย่อยไม่ใช่ 'Angel';</t>
  </si>
  <si>
    <t>SELECT COUNT(id) FROM cards WHERE originalType = 'Summon - Angel' AND subtypes != 'Angel'</t>
  </si>
  <si>
    <t>What are the foiled cards that are incredibly powerful when paired with non foiled cards? List the IDs.</t>
  </si>
  <si>
    <t>Incredibly powerful refers to both cardKingdomFoilId and cardKingdomId IS NOT Null;</t>
  </si>
  <si>
    <t>ทรงพลังอย่างเหลือเชื่อหมายถึงทั้ง cardKingdomFoilId และ cardKingdomId ไม่ใช่ Null;</t>
  </si>
  <si>
    <t>SELECT id FROM cards WHERE cardKingdomId IS NOT NULL AND cardKingdomFoilId IS NOT NULL</t>
  </si>
  <si>
    <t>What are the cards belong to duel deck a? List the ID.</t>
  </si>
  <si>
    <t>duel deck a refers to duelDeck = a;</t>
  </si>
  <si>
    <t>ดวลเด็ค a หมายถึง ดวลเด็ค = ก;</t>
  </si>
  <si>
    <t>SELECT id FROM cards WHERE duelDeck = 'a'</t>
  </si>
  <si>
    <t>List the edhrecRank for cards with frame version 2015.</t>
  </si>
  <si>
    <t>SELECT edhrecRank FROM cards WHERE frameVersion = 2015</t>
  </si>
  <si>
    <t>List down the name of artists for cards in Chinese Simplified.</t>
  </si>
  <si>
    <t>Chinese Simplified' is the language;</t>
  </si>
  <si>
    <t>จีนตัวย่อ 'คือภาษา;</t>
  </si>
  <si>
    <t>SELECT T1.artist FROM cards AS T1 INNER JOIN foreign_data AS T2 ON T1.uuid = T2.uuid WHERE T2.language = 'Chinese Simplified'</t>
  </si>
  <si>
    <t>What are the cards that only available in paper and Japanese language?</t>
  </si>
  <si>
    <t>available in paper refers to availability = 'paper'; 'Japanese is the language;</t>
  </si>
  <si>
    <t>มีอยู่ในกระดาษหมายถึงความพร้อม = 'กระดาษ'; 'ภาษาญี่ปุ่นเป็นภาษา;</t>
  </si>
  <si>
    <t>SELECT T1.name FROM cards AS T1 INNER JOIN foreign_data AS T2 ON T1.uuid = T2.uuid WHERE T1.availability = 'paper' AND T2.language = 'Japanese'</t>
  </si>
  <si>
    <t>How many of the banned cards are white border?</t>
  </si>
  <si>
    <t>banned card refers to status = 'Banned'; white border refers to borderColor = 'white';</t>
  </si>
  <si>
    <t>บัตรที่ถูกแบนหมายถึงสถานะ = 'ถูกแบน'; ขอบสีขาวหมายถึง borderColor = 'สีขาว';</t>
  </si>
  <si>
    <t>SELECT COUNT(T1.id) FROM cards AS T1 INNER JOIN legalities AS T2 ON T1.uuid = T2.uuid WHERE T2.status = 'Banned' AND T1.borderColor = 'white'</t>
  </si>
  <si>
    <t>List down the uuid for legacy cards and the foreign language of these cards.</t>
  </si>
  <si>
    <t>legacy card refers to format = 'legacy'; foreign language refers to language in foreign_data</t>
  </si>
  <si>
    <t>บัตรเดิมหมายถึงรูปแบบ = 'มรดก'; ภาษาต่างประเทศหมายถึงภาษาใน Foreign_data</t>
  </si>
  <si>
    <t>SELECT T1.uuid, T3.language FROM cards AS T1 INNER JOIN legalities AS T2 ON T1.uuid = T2.uuid INNER JOIN foreign_data AS T3 ON T1.uuid = T3.uuid WHERE T2.format = 'legacy'</t>
  </si>
  <si>
    <t>Write down the ruling of Beacon of Immortality.</t>
  </si>
  <si>
    <t>Beacon of Immortality' is the name of card;</t>
  </si>
  <si>
    <t>Beacon of Immortality' เป็นชื่อของการ์ด</t>
  </si>
  <si>
    <t>SELECT T2.text FROM cards AS T1 INNER JOIN rulings AS T2 ON T1.uuid = T2.uuid WHERE T1.name = 'Beacon of Immortality'</t>
  </si>
  <si>
    <t>How many cards are having future frame version and what are the legality status of these cards?</t>
  </si>
  <si>
    <t>future frame version refers to frameVersion = 'future'; legility status refers to status = 'legal';</t>
  </si>
  <si>
    <t>เวอร์ชันเฟรมในอนาคตหมายถึง frameVersion = 'future'; สถานะความถูกต้องตามกฎหมายหมายถึงสถานะ = 'กฎหมาย';</t>
  </si>
  <si>
    <t>SELECT COUNT(T1.id) FROM cards AS T1 INNER JOIN legalities AS T2 ON T1.uuid = T2.uuid WHERE T1.frameVersion = 'future'</t>
  </si>
  <si>
    <t>What are the cards for set OGW? State the colour for these cards.</t>
  </si>
  <si>
    <t>set OGW refers to setCode = 'OGW';</t>
  </si>
  <si>
    <t>ชุด OGW อ้างถึง setCode = 'OGW';</t>
  </si>
  <si>
    <t>SELECT id, colors FROM cards WHERE id IN ( SELECT id FROM set_translations WHERE setCode = 'OGW' )</t>
  </si>
  <si>
    <t>What are the cards in set 10E with converted mana of 5 have translation and what are the languages?</t>
  </si>
  <si>
    <t>set 10E refers to setCode = '10E'; converted mana of 5 refers to convertedManaCost = 5;</t>
  </si>
  <si>
    <t>ชุด 10E อ้างถึง setCode = '10E'; มานาที่แปลงแล้วของ 5 หมายถึงมานาที่แปลงแล้ว = 5;</t>
  </si>
  <si>
    <t>SELECT id, language FROM set_translations WHERE id = ( SELECT id FROM cards WHERE convertedManaCost = 5 ) AND setCode = '10E'</t>
  </si>
  <si>
    <t>List down the name of cards with original types of Creature - Elf and the date of rulings for these cards.</t>
  </si>
  <si>
    <t>Creature - Elf is the originalType;</t>
  </si>
  <si>
    <t>สิ่งมีชีวิต - เอลฟ์เป็นประเภทดั้งเดิม;</t>
  </si>
  <si>
    <t>SELECT T1.id, T2.date FROM cards AS T1 INNER JOIN rulings AS T2 ON T1.uuid = T2.uuid WHERE T1.originalType = 'Creature - Elf'</t>
  </si>
  <si>
    <t>What are the colors of cards from ID 1-20? What are the format of these cards?</t>
  </si>
  <si>
    <t>ID 1-20 refers to id BETWEEN 1 and 20;</t>
  </si>
  <si>
    <t>ID 1-20 หมายถึง ID ระหว่าง 1 ถึง 20;</t>
  </si>
  <si>
    <t>SELECT T1.colors, T2.format FROM cards AS T1 INNER JOIN legalities AS T2 ON T1.uuid = T2.uuid WHERE T1.id BETWEEN 1 AND 20</t>
  </si>
  <si>
    <t>Among the Artifact cards, which are black color and comes with foreign languague translation?</t>
  </si>
  <si>
    <t>Artifact card refers to originalType = 'Artifact'; black color refers to colors = 'B'; foreign language refers to language in foreign_data</t>
  </si>
  <si>
    <t>การ์ดสิ่งประดิษฐ์อ้างอิงถึง originalType = 'Artifact'; สีดำหมายถึงสี = 'B'; ภาษาต่างประเทศหมายถึงภาษาใน Foreign_data</t>
  </si>
  <si>
    <t>SELECT DISTINCT T1.name FROM cards AS T1 INNER JOIN foreign_data AS T2 ON T1.uuid = T2.uuid WHERE T1.originalType = 'Artifact' AND T1.colors = 'B'</t>
  </si>
  <si>
    <t>Pick 3 cards with rarity of uncommon, list down name these cards according to ascending order of it's ruling date.</t>
  </si>
  <si>
    <t>uncommon refers to rarity = 'uncommon';</t>
  </si>
  <si>
    <t>ผิดปกติหมายถึงความหายาก = 'ผิดปกติ';</t>
  </si>
  <si>
    <t>SELECT DISTINCT T1.name FROM cards AS T1 INNER JOIN rulings AS T2 ON T1.uuid = T2.uuid WHERE T1.rarity = 'uncommon' ORDER BY T2.date ASC LIMIT 3</t>
  </si>
  <si>
    <t>On how many cards designed by John Avon is its foil non-powerful?</t>
  </si>
  <si>
    <t xml:space="preserve">John Avon refer to artist; foil poweful foils refers to cardKingdomId and cardKingdomFoildId is NOT NULL 
</t>
  </si>
  <si>
    <t xml:space="preserve">John Avon หมายถึงศิลปิน ฟอยล์ที่มีประสิทธิภาพหมายถึง cardKingdomId และ cardKingdomFoildId ไม่ใช่ NULL 
</t>
  </si>
  <si>
    <t>SELECT COUNT(id) FROM cards WHERE (cardKingdomId IS NULL OR cardKingdomFoilId IS NULL) AND artist = 'John Avon'</t>
  </si>
  <si>
    <t>How many white bordered cards are powerful?</t>
  </si>
  <si>
    <t>white bordered cards refer to borderColor = 'white'; powerful cards refers to cardKingdomFoilId is not null AND cardKingdomId is not null (replace)</t>
  </si>
  <si>
    <t>การ์ดมีขอบสีขาวหมายถึง borderColor = 'white'; การ์ดที่มีประสิทธิภาพหมายถึง cardKingdomFoilId ไม่เป็นโมฆะ และ cardKingdomId ไม่เป็นโมฆะ (แทนที่)</t>
  </si>
  <si>
    <t>SELECT COUNT(id) FROM cards WHERE borderColor = 'white' AND cardKingdomId IS NOT NULL AND cardKingdomFoilId IS NOT NULL</t>
  </si>
  <si>
    <t>How many cards designed by UDON and available in mtgo print type has a starting maximum hand size of -1?</t>
  </si>
  <si>
    <t>UDON refer to artist; availabe in mtgo refers to availability = 'mtgo'; starting maximum hand size of -1 refers to hand = -1</t>
  </si>
  <si>
    <t>อุดรหมายถึงศิลปิน availabe ใน mtgo หมายถึงความพร้อมใช้งาน = 'mtgo'; ขนาดมือสูงสุดเริ่มต้นที่ -1 หมายถึงมือ = -1</t>
  </si>
  <si>
    <t>SELECT COUNT(id) FROM cards WHERE hAND = '-1' AND artist = 'UDON' AND Availability = 'mtgo'</t>
  </si>
  <si>
    <t>How many cards with a 1993 frame version and available on paper have a sensitive content warning?</t>
  </si>
  <si>
    <t>sensitive content warning refer to hasContentWarning = 1; available on paper refer to availability = 'paper' 1993 refer to frameVersion</t>
  </si>
  <si>
    <t>คำเตือนเนื้อหาที่ละเอียดอ่อนอ้างถึง hasContentWarning = 1; พร้อมใช้งานบนกระดาษอ้างถึงความพร้อมใช้งาน = 'กระดาษ' 1993 อ้างถึง frameVersion</t>
  </si>
  <si>
    <t>SELECT COUNT(id) FROM cards WHERE frameVersion = 1993 AND availability = 'paper' AND hasContentWarning = 1</t>
  </si>
  <si>
    <t>What is the mana cost of cards with a normal layout, a 2003 frame version, with a black border color, and available in paper and mtgo?</t>
  </si>
  <si>
    <t>available in paper and mtgo refers to availability = 'mtgo,paper'; frameVersion = 2003;borderColor = 'black'</t>
  </si>
  <si>
    <t>มีอยู่ในกระดาษและ mtgo หมายถึงความพร้อมใช้งาน = 'mtgo,paper'; frameVersion = 2003; borderColor = 'สีดำ'</t>
  </si>
  <si>
    <t>SELECT manaCost FROM cards WHERE availability = 'mtgo,paper' AND borderColor = 'black' AND frameVersion = 2003 AND layout = 'normal'</t>
  </si>
  <si>
    <t>What is the  unconverted mana do all the cards created by Rob Alexander cost in total?</t>
  </si>
  <si>
    <t>unconverted mana refer to manaCost; Rob Alexander refer to artist</t>
  </si>
  <si>
    <t>มานาที่ไม่ได้แปลงหมายถึงมานาต้นทุน Rob Alexander อ้างถึงศิลปิน</t>
  </si>
  <si>
    <t>SELECT manaCost FROM cards WHERE artist = 'Rob Alexander'</t>
  </si>
  <si>
    <t>Lists all types of cards available in arena.</t>
  </si>
  <si>
    <t>all types refer to subtypes and supertypes
availble in arena refers to availability = 'arena'</t>
  </si>
  <si>
    <t>ทุกประเภทอ้างถึงชนิดย่อยและชนิดพิเศษ
availble ใน arena หมายถึง ความพร้อม = 'arena'</t>
  </si>
  <si>
    <t>SELECT DISTINCT subtypes, supertypes FROM cards WHERE availability = 'arena' AND subtypes IS NOT NULL AND supertypes IS NOT NULL</t>
  </si>
  <si>
    <t>Lists the set code of all cards translated into Spanish.</t>
  </si>
  <si>
    <t>Spanish refer to language; set code refers to setCode</t>
  </si>
  <si>
    <t>ภาษาสเปนหมายถึงภาษา รหัสชุดหมายถึง setCode</t>
  </si>
  <si>
    <t>SELECT setCode FROM set_translations WHERE language = 'Spanish'</t>
  </si>
  <si>
    <t>What percentage of legendary frame effect cards that are only available in online game variations?</t>
  </si>
  <si>
    <t>only available in online game variationsrefer to isOnlineOnly =1 ; legendary frame effect cards refer to frameEffects = 'legendary'; percentage refer to DIVIDE(COUNT(isOnlineOnly=1), COUNT(id)) from cards where frameEffects = 'legendary'</t>
  </si>
  <si>
    <t>มีเฉพาะในรูปแบบเกมออนไลน์เท่านั้นอ้างอิงถึง isOnlineOnly =1 ; การ์ดเอฟเฟกต์เฟรมระดับตำนานอ้างถึง frameEffects = 'legendary'; เปอร์เซ็นต์อ้างถึง DIVIDE(COUNT(isOnlineOnly=1), COUNT(id)) จากการ์ดโดยที่ frameEffects = 'legendary'</t>
  </si>
  <si>
    <t>SELECT SUM(CASE WHEN isOnlineOnly = 1 THEN 1.0 ELSE 0 END) / COUNT(id) * 100 FROM cards WHERE frameEffects = 'legendary'</t>
  </si>
  <si>
    <t>What is the percentage of Story Spotlight cards that do not have a text box? List them by their ID.</t>
  </si>
  <si>
    <t>Story Spotlight cards that do not have a text box refers to isStorylight = 1 and isTextless = 0; Percentage = DIVIDE(SUM(count(id) where isStorylight = 1 AND isTextless = 0 ), SUM(count(id))) * 100</t>
  </si>
  <si>
    <t>การ์ด Story Spotlight ที่ไม่มีกล่องข้อความอ้างอิงถึง isStorylight = 1 และ isTextless = 0; เปอร์เซ็นต์ = DIVIDE(SUM(count(id) โดยที่ isStorylight = 1 AND isTextless = 0 ), SUM(count(id))) * 100</t>
  </si>
  <si>
    <t>SELECT CAST(SUM(CASE WHEN isTextless = 0 THEN 1 ELSE 0 END) AS REAL) * 100 / COUNT(id) FROM cards WHERE isStorySpotlight = 1</t>
  </si>
  <si>
    <t>Calculate the percentage of cards in Spanish. List them by name.</t>
  </si>
  <si>
    <t>Spanish refer to language; Percentage refer to DIVIDE(SUM(ID where language = 'Spanish'), COUNT(id))*100</t>
  </si>
  <si>
    <t>ภาษาสเปนหมายถึงภาษา เปอร์เซ็นต์อ้างอิงถึง DIVIDE(SUM(ID โดยที่ language = 'Spanish'), COUNT(id))*100</t>
  </si>
  <si>
    <t>SELECT ( SELECT CAST(SUM(CASE WHEN language = 'Spanish' THEN 1 ELSE 0 END) AS REAL) * 100 / COUNT(*) FROM foreign_data ), name FROM foreign_data WHERE language = 'Spanish'</t>
  </si>
  <si>
    <t>Indicates the name of all the languages into which the set whose number of cards is 309 is translated.</t>
  </si>
  <si>
    <t xml:space="preserve">set refer to setCode; number of cards refers to baseSetSize; baseSetsize = 309
</t>
  </si>
  <si>
    <t xml:space="preserve">ชุดอ้างถึง setCode; จำนวนไพ่หมายถึง baseSetSize; ฐานกำหนดขนาด = 309
</t>
  </si>
  <si>
    <t>SELECT T2.language FROM sets AS T1 INNER JOIN set_translations AS T2 ON T1.code = T2.setCode WHERE T1.baseSetSize = 309</t>
  </si>
  <si>
    <t>How many Brazilian Portuguese translated sets are inside the Commander block?</t>
  </si>
  <si>
    <t>Commander block refer to block = 'Commander'; sets refer to code = setCode; Portuguese refer to language = 'Portuguese (Brasil)'</t>
  </si>
  <si>
    <t>บล็อกผู้บัญชาการอ้างถึงบล็อก = 'ผู้บัญชาการ'; ชุดอ้างถึงรหัส = setCode; ภาษาโปรตุเกสหมายถึงภาษา = 'โปรตุเกส (บราซิล)'</t>
  </si>
  <si>
    <t>SELECT COUNT(T1.id) FROM sets AS T1 INNER JOIN set_translations AS T2 ON T1.code = T2.setCode WHERE T2.language = 'Portuguese (Brazil)' AND T1.block = 'Commander'</t>
  </si>
  <si>
    <t>Lists by ID all Creature-type cards with legal status.</t>
  </si>
  <si>
    <t>legal status refer to status = 'legal'; Goblin-type cards refer to types = 'Creature';</t>
  </si>
  <si>
    <t>สถานะทางกฎหมายหมายถึงสถานะ = 'ถูกกฎหมาย'; การ์ดประเภท Goblin หมายถึงประเภท = 'สิ่งมีชีวิต';</t>
  </si>
  <si>
    <t>SELECT T1.id FROM cards AS T1 INNER JOIN rulings AS T2 ON T1.uuid = T2.uuid INNER JOIN legalities AS T3 ON T1.uuid = T3.uuid WHERE T3.status = 'Legal' AND T1.types = 'Creature'</t>
  </si>
  <si>
    <t>Lists all types of cards in German.</t>
  </si>
  <si>
    <t>German refer to language; all types refer to the subtypes, supertypes; subtypes is not null AND supertypes is not null</t>
  </si>
  <si>
    <t>ภาษาเยอรมันหมายถึงภาษา ทุกประเภทอ้างถึงชนิดย่อย, ซุปเปอร์ไทป์; ชนิดย่อยไม่เป็นโมฆะ และชนิดพิเศษไม่เป็นโมฆะ</t>
  </si>
  <si>
    <t>SELECT T1.subtypes, T1.supertypes FROM cards AS T1 INNER JOIN foreign_data AS T2 ON T1.uuid = T2.uuid WHERE T2.language = 'German' AND T1.subtypes IS NOT NULL AND T1.supertypes IS NOT NULL</t>
  </si>
  <si>
    <t>How many unknown power cards contain info about the triggered ability</t>
  </si>
  <si>
    <t>unknown power cards refers to power is null or power = '*';contain info about the triggered ability refers to text contains 'triggered ability'</t>
  </si>
  <si>
    <t>การ์ดพลังที่ไม่รู้จักหมายถึงพลังงานเป็นโมฆะหรือพลังงาน = '*'; มีข้อมูลเกี่ยวกับความสามารถที่ถูกกระตุ้น หมายถึงข้อความที่มี 'ความสามารถที่ถูกกระตุ้น'</t>
  </si>
  <si>
    <t>SELECT T2.text FROM cards AS T1 INNER JOIN rulings AS T2 ON T1.uuid = T2.uuid WHERE (T1.power IS NULL OR T1.power = '*') AND T2.text LIKE '%triggered ability%'</t>
  </si>
  <si>
    <t>Indicates the number of cards with pre-modern format, ruling text "This is a triggered mana ability." that do not have multiple faces.</t>
  </si>
  <si>
    <t>pre-modern format refers to format = 'premodern' ;do not have multiple faces refers to side IS NULL</t>
  </si>
  <si>
    <t>รูปแบบยุคก่อนสมัยใหม่ หมายถึง format = 'ยุคก่อนสมัยใหม่' ; ไม่มีหลายหน้า หมายถึง ด้าน IS NULL</t>
  </si>
  <si>
    <t>SELECT COUNT(T1.id) FROM cards AS T1 INNER JOIN legalities AS T2 ON T1.uuid = T2.uuid INNER JOIN rulings AS T3 ON T1.uuid = T3.uuid WHERE T2.format = 'premodern' AND T3.text = 'This is a triggered mana ability.' AND T1.Side IS NULL</t>
  </si>
  <si>
    <t>Is there any card from Erica Yang artist in pauper format and available in paper? If so, indicate its ID.</t>
  </si>
  <si>
    <t>available in paper refers to availability = 'paper'</t>
  </si>
  <si>
    <t>ที่มีอยู่ในกระดาษหมายถึงความพร้อม = 'กระดาษ'</t>
  </si>
  <si>
    <t>SELECT T1.id FROM cards AS T1 INNER JOIN legalities AS T2 ON T1.uuid = T2.uuid WHERE T1.artist = 'Erica Yang' AND T2.format = 'pauper' AND T1.availability = 'paper'</t>
  </si>
  <si>
    <t>To which artist does the card with the text "Das perfekte Gegenmittel zu einer dichten Formation" belong?</t>
  </si>
  <si>
    <t>SELECT DISTINCT T1.artist FROM cards AS T1 INNER JOIN foreign_data AS T2 ON T1.uuid = T2.uuid WHERE T2.flavorText LIKE '%DAS perfekte Gegenmittel zu einer dichten Formation%'</t>
  </si>
  <si>
    <t>What is the foreign name of the card in French of type Creature, normal layout and black border color, by artist Matthew D. Wilson?</t>
  </si>
  <si>
    <t>in French refers to language = 'French'; black border color refers to borderColor = 'black'</t>
  </si>
  <si>
    <t>ในภาษาฝรั่งเศสหมายถึงภาษา = 'ฝรั่งเศส'; สีขอบสีดำหมายถึง borderColor = 'สีดำ'</t>
  </si>
  <si>
    <t>SELECT name FROM foreign_data WHERE uuid IN ( SELECT uuid FROM cards WHERE types = 'Creature' AND layout = 'normal' AND borderColor = 'black' AND artist = 'Matthew D. Wilson' ) AND language = 'French'</t>
  </si>
  <si>
    <t>How many cards with print rarity have ruling text printed on 01/02/2007?</t>
  </si>
  <si>
    <t>with print rarity refers to rarity = 'rare'; on 01/02/2007 refers to date = '2007-02-01'</t>
  </si>
  <si>
    <t>ที่มีความหายากในการพิมพ์หมายถึงความหายาก = 'หายาก'; วันที่ 01/02/2550 หมายถึง วันที่ = '2007-02-01'</t>
  </si>
  <si>
    <t>SELECT COUNT(DISTINCT T1.id) FROM cards AS T1 INNER JOIN rulings AS T2 ON T1.uuid = T2.uuid WHERE T1.rarity = 'rare' AND T2.date = '2007-02-01'</t>
  </si>
  <si>
    <t>What language is the set of 180 cards that belongs to the Ravnica block translated into?</t>
  </si>
  <si>
    <t>set of 180 cards refers to baseSetSize = 180</t>
  </si>
  <si>
    <t>ชุดไพ่ 180 ใบ อ้างอิงถึง baseSetSize = 180</t>
  </si>
  <si>
    <t>SELECT T2.language FROM sets AS T1 INNER JOIN set_translations AS T2 ON T1.code = T2.setCode WHERE T1.block = 'Ravnica' AND T1.baseSetSize = 180</t>
  </si>
  <si>
    <t>What percentage of cards with format commander and legal status do not have a content warning?</t>
  </si>
  <si>
    <t>do not have a content warning refers to hasContentWarning = 0; percentage refers to DIVIDE(COUNT(hasContentWarning = 0),COUNT(ID))*100 where format = 'commander' AND Status = 'legal';</t>
  </si>
  <si>
    <t>ไม่มีคำเตือนเนื้อหาอ้างถึง hasContentWarning = 0; เปอร์เซ็นต์อ้างถึง DIVIDE(COUNT(hasContentWarning = 0),COUNT(ID))*100 โดยที่ format = 'commander' AND Status = 'legal';</t>
  </si>
  <si>
    <t>SELECT CAST(SUM(CASE WHEN T1.hasContentWarning = 0 THEN 1 ELSE 0 END) AS REAL) * 100 / COUNT(T1.id) FROM cards AS T1 INNER JOIN legalities AS T2 ON T1.uuid = T2.uuid WHERE T2.format = 'commander' AND T2.status = 'Legal'</t>
  </si>
  <si>
    <t>What percentage of cards without power are in French?</t>
  </si>
  <si>
    <t>in French refers to language = 'French'; cards without power refers to power IS NULL OR power = '*'; percentage = DIVIDE(COUNT(language = 'French' and power is NULL or power = '*'), COUNT( power is NULL or power = '*'))*100</t>
  </si>
  <si>
    <t>ในภาษาฝรั่งเศสหมายถึงภาษา = 'ฝรั่งเศส'; การ์ดที่ไม่มีพลังงานหมายถึงพลังงานเป็นโมฆะหรือพลังงาน = '*'; เปอร์เซ็นต์ = DIVIDE(COUNT(ภาษา = 'ภาษาฝรั่งเศส' และกำลังเป็น NULL หรือ power = '*'), COUNT( กำลังเป็น NULL หรือ power = '*'))*100</t>
  </si>
  <si>
    <t>SELECT CAST(SUM(CASE WHEN T2.language = 'French' THEN 1 ELSE 0 END) AS REAL) * 100 / COUNT(T1.id) FROM cards AS T1 INNER JOIN foreign_data AS T2 ON T1.uuid = T2.uuid WHERE T1.power IS NULL OR T1.power = '*'</t>
  </si>
  <si>
    <t>What percentage of Japanese translated sets are expansion sets?</t>
  </si>
  <si>
    <t>Japanese translated refers to language = 'Japanese'; expansion sets refers to type = 'expansion'; percentage = DIVIDE(COUNT(language = 'Japanese'),COUNT(language))*100</t>
  </si>
  <si>
    <t>ภาษาญี่ปุ่นแปลหมายถึงภาษา = 'ญี่ปุ่น'; ชุดส่วนขยายหมายถึง type = 'expansion'; เปอร์เซ็นต์ = DIVIDE(COUNT(ภาษา = 'ญี่ปุ่น'),COUNT(ภาษา))*100</t>
  </si>
  <si>
    <t>SELECT CAST(SUM(CASE WHEN T2.language = 'Japanese' THEN 1 ELSE 0 END) AS REAL) * 100 / COUNT(T1.id) FROM sets AS T1 INNER JOIN set_translations AS T2 ON T1.code = T2.setCode WHERE T1.type = 'expansion'</t>
  </si>
  <si>
    <t>What kind of printing is on the card that Daren Bader created?</t>
  </si>
  <si>
    <t>kind of printing refers to availability; Daren Bader created refers to artist = 'Daren Bader'</t>
  </si>
  <si>
    <t>ประเภทของการพิมพ์หมายถึงความพร้อม Daren Bader สร้างหมายถึงศิลปิน = 'Daren Bader'</t>
  </si>
  <si>
    <t>SELECT DISTINCT availability FROM cards WHERE artist = 'Daren Bader'</t>
  </si>
  <si>
    <t>How many color cards with no borders have been ranked higher than 12000 on EDHRec?</t>
  </si>
  <si>
    <t>color cards with no borders refers to borderColor = 'borderless'; ranked higher than 12000 on EDHRec refers to edhrecRank &gt; 12000</t>
  </si>
  <si>
    <t>การ์ดสีที่ไม่มีเส้นขอบหมายถึง borderColor = 'ไร้ขอบ'; อันดับที่สูงกว่า 12,000 ใน EDHRec หมายถึง edhrecRank &gt; 12000</t>
  </si>
  <si>
    <t>SELECT COUNT(id) FROM cards WHERE edhrecRank &gt; 12000 AND borderColor = 'borderless'</t>
  </si>
  <si>
    <t>How many cards are oversized, reprinted, and printed for promotions?</t>
  </si>
  <si>
    <t>are oversized refers to isOversized = 1; reprinted refers to isReprint = 1; printed for promotions refers to isPromo = 1</t>
  </si>
  <si>
    <t>มีขนาดใหญ่หมายถึง isOversize = 1; พิมพ์ซ้ำหมายถึง isReprint = 1; พิมพ์สำหรับโปรโมชั่นหมายถึง isPromo = 1</t>
  </si>
  <si>
    <t>SELECT COUNT(id) FROM cards WHERE isOversized = 1 AND isReprint = 1 AND isPromo = 1</t>
  </si>
  <si>
    <t>Please list top three unknown power cards that have promotional types for arena league in alphabetical order.</t>
  </si>
  <si>
    <t>unknown power cards refers to power is null or power = '*'; promotional types for arena league refers to promoTypes = 'arenaleague'</t>
  </si>
  <si>
    <t>การ์ดพลังที่ไม่รู้จักหมายถึงพลังงานเป็นโมฆะหรือพลังงาน = '*'; ประเภทโปรโมชั่นสำหรับอารีน่าลีกหมายถึง promoTypes = 'arenaleague'</t>
  </si>
  <si>
    <t>SELECT name FROM cards WHERE (power IS NULL OR power LIKE '%*%') AND promoTypes = 'arenaleague' ORDER BY name LIMIT 3</t>
  </si>
  <si>
    <t>What is the language of the card with the multiverse number 149934?</t>
  </si>
  <si>
    <t>multiverse number 149934 refers to multiverseid = 149934;</t>
  </si>
  <si>
    <t>หมายเลขลิขสิทธิ์ 149934 หมายถึง multiverseid = 149934;</t>
  </si>
  <si>
    <t>SELECT language FROM foreign_data WHERE multiverseid = 149934</t>
  </si>
  <si>
    <t>Please provide the ids of top three powerful pairs of Kingdom Foil and Kingdom Cards sorted by Kingdom Foil id in alphabetical order.</t>
  </si>
  <si>
    <t>poweful refers to cardKingdomFoilId is not null AND cardKingdomId is not null</t>
  </si>
  <si>
    <t>การอ้างอิงที่มีประสิทธิภาพถึง cardKingdomFoilId ไม่เป็นโมฆะ และ cardKingdomId ไม่เป็นโมฆะ</t>
  </si>
  <si>
    <t>SELECT cardKingdomFoilId, cardKingdomId FROM cards WHERE cardKingdomFoilId IS NOT NULL AND cardKingdomId IS NOT NULL ORDER BY cardKingdomFoilId LIMIT 3</t>
  </si>
  <si>
    <t>What proportion of cards do not have a text box with a normal layout?</t>
  </si>
  <si>
    <t>do not have a text box refers to isTextless = 1; proportion refers to DIVIDE(COUNT(Textless = 1 and layout = 'normal'),COUNT(Textless))*100</t>
  </si>
  <si>
    <t>ไม่มีกล่องข้อความที่อ้างถึง isTextless = 1; สัดส่วนหมายถึง DIVIDE(COUNT(Textless = 1 และlayout = 'normal'),COUNT(Textless))*100</t>
  </si>
  <si>
    <t>SELECT CAST(SUM(CASE WHEN isTextless = 1 AND layout = 'normal' THEN 1 ELSE 0 END) AS REAL) * 100 / COUNT(*) FROM cards</t>
  </si>
  <si>
    <t>What are the card numbers that don't have multiple faces on a single card and have the subtypes Angel and Wizard?</t>
  </si>
  <si>
    <t>don't have multiple faces on a single card side is null</t>
  </si>
  <si>
    <t>การไม่มีหลายหน้าบนไพ่ใบเดียวถือเป็นโมฆะ</t>
  </si>
  <si>
    <t>SELECT id FROM cards WHERE subtypes = 'Angel,Wizard' AND side IS NULL</t>
  </si>
  <si>
    <t>Please provide top three sets that don't appear in Magic: The Gathering Online, along with their names in in alphabetical order.</t>
  </si>
  <si>
    <t>don't appear in Magic: The Gathering Online refers to mtgoCode is NULL or mtgoCode = ''</t>
  </si>
  <si>
    <t>ไม่ปรากฏใน Magic: The Gathering Online อ้างถึง mtgoCode เป็น NULL หรือ mtgoCode = ''</t>
  </si>
  <si>
    <t>SELECT name FROM sets WHERE mtgoCode IS NULL ORDER BY name LIMIT 3</t>
  </si>
  <si>
    <t>What languages are available in the set known as Archenemy on the magic card market and having the code ARC?</t>
  </si>
  <si>
    <t>known as Archenemy refers to mcmName = 'Archenemy'; having the code ARC refers to setCode = 'ARC'</t>
  </si>
  <si>
    <t>รู้จักกันในชื่อ Archenemy หมายถึง mcmName = 'Archenemy'; การมีรหัส ARC อ้างถึง setCode = 'ARC'</t>
  </si>
  <si>
    <t>SELECT T2.language FROM sets AS T1 INNER JOIN set_translations AS T2 ON T1.code = T2.setCode WHERE T1.mcmName = 'Archenemy' AND T2.setCode = 'ARC'</t>
  </si>
  <si>
    <t>What is the name of set number 5 and its translation?</t>
  </si>
  <si>
    <t>set number 5 refers to id = 5</t>
  </si>
  <si>
    <t>ชุดหมายเลข 5 หมายถึง id = 5</t>
  </si>
  <si>
    <t>SELECT T1.name, T2.translation FROM sets AS T1 INNER JOIN set_translations AS T2 ON T1.code = T2.setCode WHERE T2.id = 5 GROUP BY T1.name, T2.translation</t>
  </si>
  <si>
    <t>What is the language and expansion type of set number 206?</t>
  </si>
  <si>
    <t>set number 206 refers to id = 206</t>
  </si>
  <si>
    <t>ชุดหมายเลข 206 หมายถึง id = 206</t>
  </si>
  <si>
    <t>SELECT T2.language, T1.type FROM sets AS T1 INNER JOIN set_translations AS T2 ON T1.code = T2.setCode WHERE T2.id = 206</t>
  </si>
  <si>
    <t>Please list top two sets of cards with their IDs that have Italian-language cards and are located in the Shadowmoor block in alphabetical order.</t>
  </si>
  <si>
    <t>SELECT T1.name, T1.id FROM sets AS T1 INNER JOIN set_translations AS T2 ON T1.code = T2.setCode WHERE T1.block = 'Shadowmoor' AND T2.language = 'Italian' ORDER BY T1.id LIMIT 2</t>
  </si>
  <si>
    <t>Which set is not available outside of the United States and has foil cards with Japanese writing on them? Please include the set ID in your response.</t>
  </si>
  <si>
    <t>available outside of the United States refers to isForeignOnly = 1; has foil cards refers to isFoilOnly = 1; with Japanese writing on them refers to language = 'Japanese'</t>
  </si>
  <si>
    <t>ที่มีอยู่นอกประเทศสหรัฐอเมริกาหมายถึง isForeignOnly = 1; มีไพ่ฟอยล์หมายถึง isFoilOnly = 1; มีตัวเขียนภาษาญี่ปุ่นหมายถึงภาษา = 'ญี่ปุ่น'</t>
  </si>
  <si>
    <t>SELECT T1.name, T1.id FROM sets AS T1 INNER JOIN set_translations AS T2 ON T1.code = T2.setCode WHERE T2.language = 'Japanese' AND T1.isFoilOnly = 1 AND T1.isForeignOnly = 0</t>
  </si>
  <si>
    <t>Which Russian set of cards contains the most cards overall?</t>
  </si>
  <si>
    <t>Russian refers to language = 'Russian'; contains the most cards overall refers to MAX(baseSetSize)</t>
  </si>
  <si>
    <t>ภาษารัสเซียหมายถึงภาษา = 'ภาษารัสเซีย'; มีไพ่มากที่สุดโดยรวมหมายถึง MAX(baseSetSize)</t>
  </si>
  <si>
    <t>SELECT T1.id FROM sets AS T1 INNER JOIN set_translations AS T2 ON T1.code = T2.setCode WHERE T2.language = 'Russian' GROUP BY T1.baseSetSize ORDER BY T1.baseSetSize DESC LIMIT 1</t>
  </si>
  <si>
    <t>What is the percentage of the set of cards that have Chinese Simplified as the language and are only available for online games?</t>
  </si>
  <si>
    <t>are only available for online games refers to isOnlineOnly = 1; percentage = DIVIDE(COUNT(isOnlineOnly = 1),COUNT(isOnlineOnly))*100</t>
  </si>
  <si>
    <t>ใช้ได้เฉพาะกับเกมออนไลน์เท่านั้น หมายถึง isOnlineOnly = 1; เปอร์เซ็นต์ = DIVIDE(COUNT(isOnlineOnly = 1),COUNT(isOnlineOnly))*100</t>
  </si>
  <si>
    <t>SELECT CAST(SUM(CASE WHEN T2.language = 'Chinese Simplified' AND T1.isOnlineOnly = 1 THEN 1 ELSE 0 END) AS REAL) * 100 / COUNT(*) FROM sets AS T1 INNER JOIN set_translations AS T2 ON T1.code = T2.setCode</t>
  </si>
  <si>
    <t>How many sets are available just in Japanese and not in Magic: The Gathering Online?</t>
  </si>
  <si>
    <t>Japanese refers to language = 'Japanese'; not in Magic: The Gathering Online refers to mtgoCode is null or mtgoCode = ''</t>
  </si>
  <si>
    <t>ภาษาญี่ปุ่นหมายถึงภาษา = 'ญี่ปุ่น'; ไม่ได้อยู่ใน Magic: The Gathering Online อ้างถึง mtgoCode เป็นโมฆะหรือ mtgoCode = ''</t>
  </si>
  <si>
    <t>SELECT COUNT(T1.id) FROM sets AS T1 INNER JOIN set_translations AS T2 ON T2.setCode = T1.code WHERE T2.language = 'Japanese'  AND (T1.mtgoCode IS NULL OR T1.mtgoCode = '')</t>
  </si>
  <si>
    <t>How many card border with black color ? List out the card id.</t>
  </si>
  <si>
    <t>border with black color refers to borderColor = 'black'</t>
  </si>
  <si>
    <t>ขอบที่มีสีดำหมายถึง borderColor = 'สีดำ'</t>
  </si>
  <si>
    <t>SELECT id FROM cards WHERE borderColor = 'black' GROUP BY id</t>
  </si>
  <si>
    <t>How many cards have frame effect as extendedart? List out the id of those cards.</t>
  </si>
  <si>
    <t xml:space="preserve">
frame effect as extendedart refers to frameEffects = 'extendedart'
</t>
  </si>
  <si>
    <t xml:space="preserve">
เอฟเฟกต์เฟรมเนื่องจาก Extendedart อ้างถึง frameEffects = 'extensedart'
</t>
  </si>
  <si>
    <t>SELECT id FROM cards WHERE frameEffects = 'extendedart' GROUP BY id</t>
  </si>
  <si>
    <t>Among black card borders, which card has full artwork?</t>
  </si>
  <si>
    <t>white card borders refers to borderColor = 'white'; has full artwork refers to isFullArt = 1</t>
  </si>
  <si>
    <t>เส้นขอบบัตรสีขาวหมายถึง borderColor = 'สีขาว'; มีอาร์ตเวิร์คแบบเต็มอ้างอิงถึง isFullArt = 1</t>
  </si>
  <si>
    <t>SELECT id FROM cards WHERE borderColor = 'black' AND isFullArt = 1</t>
  </si>
  <si>
    <t>Point out the language of set id "174"?</t>
  </si>
  <si>
    <t>SELECT language FROM set_translations WHERE id = 174</t>
  </si>
  <si>
    <t>List out the set name of the set code "ALL".</t>
  </si>
  <si>
    <t>SELECT name FROM sets WHERE code = 'ALL'</t>
  </si>
  <si>
    <t>Which foreign language used by "A Pedra Fellwar"?</t>
  </si>
  <si>
    <t>"A Pedra Fellwar" refers to name = 'A Pedra Fellwar'</t>
  </si>
  <si>
    <t>"A Pedra Fellwar" หมายถึงชื่อ = 'A Pedra Fellwar'</t>
  </si>
  <si>
    <t>SELECT DISTINCT language FROM foreign_data WHERE name = 'A Pedra Fellwar'</t>
  </si>
  <si>
    <t>State the set code of the set with release date of 07/13/2007?</t>
  </si>
  <si>
    <t>SELECT T2.setCode FROM sets AS T1 INNER JOIN set_translations AS T2 ON T2.setCode = T1.code WHERE T1.releaseDate = '2007-07-13'</t>
  </si>
  <si>
    <t>Mention the base set size and set code of the set that was in block named "Masques" and "Mirage".</t>
  </si>
  <si>
    <t>SELECT DISTINCT T1.baseSetSize, T2.setCode FROM sets AS T1 INNER JOIN set_translations AS T2 ON T2.setCode = T1.code WHERE T1.block IN ('Masques', 'Mirage')</t>
  </si>
  <si>
    <t>Give the code of sets have expansion type of 'expansion'?</t>
  </si>
  <si>
    <t>code of sets refers to setCode</t>
  </si>
  <si>
    <t>รหัสของชุดหมายถึง setCode</t>
  </si>
  <si>
    <t>SELECT T2.setCode FROM sets AS T1 INNER JOIN set_translations AS T2 ON T2.setCode = T1.code WHERE T1.type = 'expansion' GROUP BY T2.setCode</t>
  </si>
  <si>
    <t>Name the foreign name of the card that has boros watermark? List out the type of this card.</t>
  </si>
  <si>
    <t>SELECT DISTINCT T1.name, T1.type FROM cards AS T1 INNER JOIN foreign_data AS T2 ON T2.uuid = T1.uuid WHERE T1.watermark = 'boros'</t>
  </si>
  <si>
    <t>What is the language and flavor text of the card that has colorpie watermark? List out the type of this card.</t>
  </si>
  <si>
    <t>SELECT DISTINCT T2.language, T2.flavorText FROM cards AS T1 INNER JOIN foreign_data AS T2 ON T2.uuid = T1.uuid WHERE T1.watermark = 'colorpie'</t>
  </si>
  <si>
    <t>What is percentage of the cards with a converted Mana Cost of 10 in set of Abyssal Horror?</t>
  </si>
  <si>
    <t>set of Abyssal Horror refers to name = 'Abyssal Horror'; percentage refers to DIVIDE(COUNT(convertedManaCost = 16),COUNT(convertedManaCost))*100</t>
  </si>
  <si>
    <t>ชุด Abyssal Horror หมายถึงชื่อ = 'Abyssal Horror'; เปอร์เซ็นต์หมายถึง DIVIDE(COUNT(convertedManaCost = 16),COUNT(convertedManaCost))*100</t>
  </si>
  <si>
    <t>SELECT CAST(SUM(CASE WHEN T1.convertedManaCost = 10 THEN 1 ELSE 0 END) AS REAL) * 100 / COUNT(T1.id), T1.name FROM cards AS T1 INNER JOIN sets AS T2 ON T2.code = T1.setCode WHERE T1.name = 'Abyssal Horror'</t>
  </si>
  <si>
    <t>Give the code of sets have expansion commander type?</t>
  </si>
  <si>
    <t>SELECT T2.setCode FROM sets AS T1 INNER JOIN set_translations AS T2 ON T2.setCode = T1.code WHERE T1.type = 'commander'</t>
  </si>
  <si>
    <t>Name the foreign name of the card that has abzan watermark? List out the type of this card.</t>
  </si>
  <si>
    <t>SELECT DISTINCT T1.name, T1.type FROM cards AS T1 INNER JOIN foreign_data AS T2 ON T2.uuid = T1.uuid WHERE T1.watermark = 'abzan'</t>
  </si>
  <si>
    <t>What is the language of the card that has azorius watermark? List out the type of this card.</t>
  </si>
  <si>
    <t>SELECT DISTINCT T2.language, T1.type FROM cards AS T1 INNER JOIN foreign_data AS T2 ON T2.uuid = T1.uuid WHERE T1.watermark = 'azorius'</t>
  </si>
  <si>
    <t>Of all the cards that are designed by Aaron Miller, how many of them are incredibly powerful?</t>
  </si>
  <si>
    <t>designed by Aaron Miller refers to artist = 'Aaron Miller'; are icredibily powerful refers to cardKingdomFoilId is not null AND cardKingdomId is not null</t>
  </si>
  <si>
    <t>ออกแบบโดย Aaron Miller หมายถึงศิลปิน = 'Aaron Miller'; มีประสิทธิภาพอย่างเหลือเชื่อหมายถึง cardKingdomFoilId ไม่เป็นโมฆะและ cardKingdomId ไม่เป็นโมฆะ</t>
  </si>
  <si>
    <t>SELECT SUM(CASE WHEN artist = 'Aaron Miller' AND cardKingdomFoilId IS NOT NULL AND cardKingdomId IS NOT NULL THEN 1 ELSE 0 END) FROM cards</t>
  </si>
  <si>
    <t>How many cards available in paper have a positive starting maximum hand size?</t>
  </si>
  <si>
    <t>available in paper refers to availability like '%paper%'; have a positive starting maximum hand size refers to hand = '3'</t>
  </si>
  <si>
    <t>ที่มีอยู่ในกระดาษหมายถึงความพร้อมเช่น '%กระดาษ%'; มีขนาดมือสูงสุดเริ่มต้นที่เป็นบวกหมายถึงมือ = '3'</t>
  </si>
  <si>
    <t>SELECT SUM(CASE WHEN availability = 'paper' AND hAND = '3' THEN 1 ELSE 0 END) FROM cards</t>
  </si>
  <si>
    <t>Please list the names of the cards that have a text box.</t>
  </si>
  <si>
    <t>have a text box refers to isTextless = 0</t>
  </si>
  <si>
    <t>มีกล่องข้อความอ้างอิงถึง isTextless = 0</t>
  </si>
  <si>
    <t>SELECT DISTINCT name FROM cards WHERE isTextless = 0</t>
  </si>
  <si>
    <t>What's the unconverted mana cost of the card "Ancestor's Chosen"?</t>
  </si>
  <si>
    <t>card "Ancestor's Chosen" refers to name = 'Ancestor`s Chosen'</t>
  </si>
  <si>
    <t>การ์ด "ผู้ถูกเลือกของบรรพบุรุษ" หมายถึง ชื่อ = 'ผู้ถูกเลือกของบรรพบุรุษ'</t>
  </si>
  <si>
    <t>SELECT DISTINCT manaCost FROM cards WHERE name = 'Ancestor''s Chosen'</t>
  </si>
  <si>
    <t>Among the cards with a white border color, how many of them have unknown power?</t>
  </si>
  <si>
    <t>unknown power refers to power = '*' or power is null</t>
  </si>
  <si>
    <t>พลังงานที่ไม่รู้จักหมายถึงพลังงาน = '*' หรือพลังงานเป็นโมฆะ</t>
  </si>
  <si>
    <t>SELECT SUM(CASE WHEN power LIKE '%*%' OR power IS NULL THEN 1 ELSE 0 END) FROM cards WHERE borderColor = 'white'</t>
  </si>
  <si>
    <t>Which of the cards that are a promotional painting have multiple faces on the same card? Please list their names.</t>
  </si>
  <si>
    <t>are a promotional painting refers to isPromo = 1; have multiple faces on the same card refers to side is not Null</t>
  </si>
  <si>
    <t>เป็นภาพวาดส่งเสริมการขายหมายถึง isPromo = 1; มีหลายหน้าบนไพ่ใบเดียวกันหมายถึงด้านไม่เป็นโมฆะ</t>
  </si>
  <si>
    <t>SELECT DISTINCT name FROM cards WHERE isPromo = 1 AND side IS NOT NULL</t>
  </si>
  <si>
    <t>What's the list of all types for the card "Molimo, Maro-Sorcerer"?</t>
  </si>
  <si>
    <t>card "Molimo, Maro-Sorcerer" refers to name = 'Molimo, Maro-Sorcerer'; list of all types refers to subtypes,supertypes</t>
  </si>
  <si>
    <t>การ์ด "Molimo, Maro-Sorcerer" หมายถึงชื่อ = 'Molimo, Maro-Sorcerer'; รายการทุกประเภทหมายถึงชนิดย่อย,ซุปเปอร์ไทป์</t>
  </si>
  <si>
    <t>SELECT DISTINCT subtypes, supertypes FROM cards WHERE name = 'Molimo, Maro-Sorcerer'</t>
  </si>
  <si>
    <t>Please list the websites where I can purchase the cards that have the promotional type of "bundle".</t>
  </si>
  <si>
    <t>promotional type of "bundle" refers to promoTypes = 'bundle'; websites refers to purchaseUrls</t>
  </si>
  <si>
    <t>ประเภทการส่งเสริมการขายของ "บันเดิล" หมายถึง promoTypes = 'บันเดิล'; เว็บไซต์หมายถึง buyUrls</t>
  </si>
  <si>
    <t>SELECT DISTINCT purchaseUrls FROM cards WHERE promoTypes = 'bundle'</t>
  </si>
  <si>
    <t>How many artists have designed a card with a black border color and is available in both "arena" and "mtgo" printing type?</t>
  </si>
  <si>
    <t>available in both "arena" and "mtgo" refers to availability like '%arena,mtgo%'</t>
  </si>
  <si>
    <t>ใช้ได้ทั้งใน "arena" และ "mtgo" หมายถึงความพร้อมใช้งานเช่น '%arena,mtgo%'</t>
  </si>
  <si>
    <t>SELECT COUNT(CASE WHEN availability LIKE '%arena,mtgo%' AND borderColor = 'black' THEN 1 ELSE NULL END) FROM cards</t>
  </si>
  <si>
    <t>Which card costs more converted mana, "Serra Angel" or "Shrine Keeper"?</t>
  </si>
  <si>
    <t>"Serra Angel" refers to name = 'Serra Angel'; "Shrine Keeper" refers to name = 'Shrine Keeper'; card costs more converted mana when the value of convertedManaCost is greater</t>
  </si>
  <si>
    <t>"Serra Angel" หมายถึง ชื่อ = 'Serra Angel'; "ผู้ดูแลศาลเจ้า" หมายถึง ชื่อ = 'ผู้ดูแลศาลเจ้า'; การ์ดจะใช้มานาที่แปลงแล้วมากขึ้นเมื่อมูลค่าของมานาที่แปลงแล้วมากกว่า</t>
  </si>
  <si>
    <t>SELECT name FROM cards WHERE name IN ('Serra Angel', 'Shrine Keeper') ORDER BY convertedManaCost DESC LIMIT 1</t>
  </si>
  <si>
    <t>Which artist designed the card whose promotional name is "Battra, Dark Destroyer"?</t>
  </si>
  <si>
    <t>promotional name is "Battra, Dark Destroyer" refers to flavorName = 'Battra, Dark Destroyer'</t>
  </si>
  <si>
    <t>ชื่อส่งเสริมการขายคือ "Battra, Dark Destroyer" หมายถึงflavourName = 'Battra, Dark Destroyer'</t>
  </si>
  <si>
    <t>SELECT artist FROM cards WHERE flavorName = 'Battra, Dark Destroyer'</t>
  </si>
  <si>
    <t>Please list the names of the top 3 cards with the highest converted mana cost and have a 2003 card frame style.</t>
  </si>
  <si>
    <t>name of cards refers to name; 2003 card frame style refers to frameVersion = '2003'</t>
  </si>
  <si>
    <t>ชื่อการ์ดหมายถึงชื่อ รูปแบบเฟรมการ์ดปี 2003 อ้างอิงถึง frameVersion = '2003'</t>
  </si>
  <si>
    <t>SELECT name FROM cards WHERE frameVersion = 2003 ORDER BY convertedManaCost DESC LIMIT 3</t>
  </si>
  <si>
    <t>What's the Italian name of the set of cards with "Ancestor's Chosen" is in?</t>
  </si>
  <si>
    <t>Italian is a language which refers to language = 'Italian'; with "Ancestor's Chosen" in the card set refers to name = 'Ancestor''s Chosen'</t>
  </si>
  <si>
    <t>ภาษาอิตาลีเป็นภาษาที่หมายถึงภาษา = 'ภาษาอิตาลี'; โดยมีคำว่า “ผู้ถูกเลือกของบรรพบุรุษ” ในชุดการ์ดหมายถึง ชื่อ = “ผู้ถูกเลือกของบรรพบุรุษ”</t>
  </si>
  <si>
    <t>SELECT translation FROM set_translations WHERE setCode IN ( SELECT setCode FROM cards WHERE name = 'Ancestor''s Chosen' ) AND language = 'Italian'</t>
  </si>
  <si>
    <t>How many translations are there for the set of cards with "Angel of Mercy" in it?</t>
  </si>
  <si>
    <t>set of cards with "Angel of Mercy" in it refers to name = 'Angel of Mercy'</t>
  </si>
  <si>
    <t>ชุดไพ่ที่มี "เทวดาแห่งความเมตตา" อยู่ในนั้นหมายถึงชื่อ = 'เทวดาแห่งความเมตตา'</t>
  </si>
  <si>
    <t>SELECT COUNT(DISTINCT translation) FROM set_translations WHERE setCode IN ( SELECT setCode FROM cards WHERE name = 'Angel of Mercy' ) AND translation IS NOT NULL</t>
  </si>
  <si>
    <t>Please list the names of the cards in the set "Hauptset Zehnte Edition".</t>
  </si>
  <si>
    <t>card set "Hauptset Zehnte Edition" refers to translation = 'Hauptset Zehnte Edition'</t>
  </si>
  <si>
    <t>ชุดการ์ด "Hauptset Zehnte Edition" หมายถึงการแปล = 'Hauptset Zehnte Edition'</t>
  </si>
  <si>
    <t>SELECT DISTINCT T1.name FROM cards AS T1 INNER JOIN set_translations AS T2 ON T2.setCode = T1.setCode WHERE T2.translation = 'Hauptset Zehnte Edition'</t>
  </si>
  <si>
    <t>For the set of cards with "Ancestor's Chosen" in it, is there a Korean version of it?</t>
  </si>
  <si>
    <t>set of cards with "Ancestor''s Chosen" in it refers to name = 'Ancestor''s Chosen'; Korean version refers to language = 'Korean'</t>
  </si>
  <si>
    <t>ชุดไพ่ที่มี "ผู้ถูกเลือกของบรรพบุรุษ" อยู่ในนั้นหมายถึงชื่อ = 'ผู้ถูกเลือกของบรรพบุรุษ'; เวอร์ชั่นเกาหลีหมายถึงภาษา = 'เกาหลี'</t>
  </si>
  <si>
    <t>SELECT IIF(SUM(CASE WHEN T2.language = 'Korean' AND T2.translation IS NOT NULL THEN 1 ELSE 0 END) &gt; 0, 'YES', 'NO') FROM cards AS T1 INNER JOIN set_translations AS T2 ON T2.setCode = T1.setCode WHERE T1.name = 'Ancestor''s Chosen'</t>
  </si>
  <si>
    <t>Among the cards in the set "Hauptset Zehnte Edition", how many of them are designed by Adam Rex?</t>
  </si>
  <si>
    <t>card set "Hauptset Zehnte Edition" refers to translation = 'Hauptset Zehnte Edition'; designed by Adam refers to artist = 'Adam Rex'</t>
  </si>
  <si>
    <t>ชุดการ์ด "Hauptset Zehnte Edition" หมายถึงการแปล = 'Hauptset Zehnte Edition'; ออกแบบโดย Adam หมายถึง ศิลปิน = 'Adam Rex'</t>
  </si>
  <si>
    <t>SELECT COUNT(T1.id) FROM cards AS T1 INNER JOIN set_translations AS T2 ON T2.setCode = T1.setCode WHERE T2.translation = 'Hauptset Zehnte Edition' AND T1.artist = 'Adam Rex'</t>
  </si>
  <si>
    <t>How many cards are there in the base set of "Hauptset Zehnte Edition"?</t>
  </si>
  <si>
    <t>"Hauptset Zehnte Edition" refers to translation = 'Hauptset Zehnte Edition'; number of cards refers to baseSetSize</t>
  </si>
  <si>
    <t>"Hauptset Zehnte Edition" หมายถึงการแปล = 'Hauptset Zehnte Edition'; จำนวนการ์ดอ้างอิงถึง baseSetSize</t>
  </si>
  <si>
    <t>SELECT T1.baseSetSize FROM sets AS T1 INNER JOIN set_translations AS T2 ON T2.setCode = T1.code WHERE T2.translation = 'Hauptset Zehnte Edition'</t>
  </si>
  <si>
    <t>What is the Simplified Chinese translation of the name of the set "Eighth Edition"?</t>
  </si>
  <si>
    <t>Eighth Edition is the name of card set which refers to name = 'Eighth Edition'; Simplified Chinese refers to language = 'Chinese Simplified'; translation of the name refers to translation</t>
  </si>
  <si>
    <t>Eighth Edition เป็นชื่อของชุดการ์ดซึ่งหมายถึงชื่อ = 'Eighth Edition'; จีนประยุกต์หมายถึงภาษา = 'จีนประยุกต์'; การแปลชื่อหมายถึงการแปล</t>
  </si>
  <si>
    <t>SELECT T2.translation FROM sets AS T1 INNER JOIN set_translations AS T2 ON T2.setCode = T1.code WHERE T1.name = 'Eighth Edition' AND T2.language = 'Chinese Simplified'</t>
  </si>
  <si>
    <t>Did the set of cards with "Angel of Mercy" appear on Magic: The Gathering Online?</t>
  </si>
  <si>
    <t>card set "Angel of Mercy" refers to name = 'Angel of Mercy'; appear on Magic: The Gathering Online refers to mtgoCode is NOT NULL and vice versa</t>
  </si>
  <si>
    <t>ชุดการ์ด "เทวดาแห่งความเมตตา" หมายถึง ชื่อ = 'เทวดาแห่งความเมตตา'; ปรากฏบน Magic: The Gathering Online อ้างถึง mtgoCode ไม่ใช่ NULL และในทางกลับกัน</t>
  </si>
  <si>
    <t>SELECT IIF(T2.mtgoCode IS NOT NULL, 'YES', 'NO') FROM cards AS T1 INNER JOIN sets AS T2 ON T2.code = T1.setCode WHERE T1.name = 'Angel of Mercy'</t>
  </si>
  <si>
    <t>When was the set of cards with "Ancestor's Chosen" released?</t>
  </si>
  <si>
    <t>card set "Ancestor's Chosen" refers to name = 'Ancestor''s Chosen'; when released refers to releaseDate</t>
  </si>
  <si>
    <t>ชุดการ์ด "ผู้ถูกเลือกของบรรพบุรุษ" หมายถึงชื่อ = 'ผู้ถูกเลือกของบรรพบุรุษ'; เมื่อ release หมายถึง releaseDate</t>
  </si>
  <si>
    <t>SELECT DISTINCT T2.releaseDate FROM cards AS T1 INNER JOIN sets AS T2 ON T2.code = T1.setCode WHERE T1.name = 'Ancestor''s Chosen'</t>
  </si>
  <si>
    <t>What is the expansion type of the set "Hauptset Zehnte Edition"?</t>
  </si>
  <si>
    <t>card set "Hauptset Zehnte Edition" refers to translation = ' Hauptset Zehnte Edition'; expansion type refers to type</t>
  </si>
  <si>
    <t>ชุดการ์ด "Hauptset Zehnte Edition" หมายถึงการแปล = ' Hauptset Zehnte Edition'; ประเภทการขยายหมายถึงประเภท</t>
  </si>
  <si>
    <t>SELECT T1.type FROM sets AS T1 INNER JOIN set_translations AS T2 ON T2.setCode = T1.code WHERE T2.translation = 'Hauptset Zehnte Edition'</t>
  </si>
  <si>
    <t>Among the sets in the block "Ice Age", how many of them have an Italian translation?</t>
  </si>
  <si>
    <t>sets in the block "Ice Age" refers to block = 'Ice Age'; Italian translation refers to language = 'Italian' and translation is not null</t>
  </si>
  <si>
    <t>ชุดในบล็อก "ยุคน้ำแข็ง" หมายถึงบล็อก = 'ยุคน้ำแข็ง'; การแปลภาษาอิตาลีหมายถึงภาษา = 'ภาษาอิตาลี' และการแปลไม่เป็นโมฆะ</t>
  </si>
  <si>
    <t>SELECT COUNT(DISTINCT T1.id) FROM sets AS T1 INNER JOIN set_translations AS T2 ON T2.setCode = T1.code WHERE T1.block = 'Ice Age' AND T2.language = 'Italian' AND T2.translation IS NOT NULL</t>
  </si>
  <si>
    <t>Is the set of cards with Adarkar Valkyrie only available outside the United States?</t>
  </si>
  <si>
    <t>card set Adarkar Valkyrie refers to name = 'Adarkar Valkyrie'; isForeignOnly = 1 means only available outside the United States;</t>
  </si>
  <si>
    <t>ชุดการ์ด Adarkar Valkyrie หมายถึงชื่อ = 'Adarkar Valkyrie'; isForeignOnly = 1 หมายถึงใช้ได้เฉพาะนอกสหรัฐอเมริกาเท่านั้น</t>
  </si>
  <si>
    <t>SELECT IIF(isForeignOnly = 1, 'YES', 'NO') FROM cards AS T1 INNER JOIN sets AS T2 ON T2.code = T1.setCode WHERE T1.name = 'Adarkar Valkyrie'</t>
  </si>
  <si>
    <t>Among the sets of cards that have an Italian translation, how many of them have a base set number of under 100?</t>
  </si>
  <si>
    <t>Italian translation refers to language = 'Italian'; have a translation means translation is not null; base set number of under 100 refers to baseSetSize &lt; 10</t>
  </si>
  <si>
    <t>การแปลภาษาอิตาลีหมายถึงภาษา = 'อิตาลี'; มีการแปลหมายความว่าการแปลไม่เป็นโมฆะ หมายเลขชุดฐานที่ต่ำกว่า 100 หมายถึง baseSetSize &lt; 10</t>
  </si>
  <si>
    <t>SELECT COUNT(T1.id) FROM sets AS T1 INNER JOIN set_translations AS T2 ON T2.setCode = T1.code WHERE T2.translation IS NOT NULL AND T1.baseSetSize &lt; 100 AND T2.language = 'Italian'</t>
  </si>
  <si>
    <t>How many cards in the set Coldsnap have a black border color?</t>
  </si>
  <si>
    <t>card set Coldsnap refers to name = 'Coldsnap'; black border color refers to borderColor = 'black'</t>
  </si>
  <si>
    <t>ชุดการ์ด Coldsnap หมายถึงชื่อ = 'Coldsnap'; สีขอบสีดำหมายถึง borderColor = 'สีดำ'</t>
  </si>
  <si>
    <t>SELECT SUM(CASE WHEN T1.borderColor = 'black' THEN 1 ELSE 0 END) FROM cards AS T1 INNER JOIN sets AS T2 ON T2.code = T1.setCode WHERE T2.name = 'Coldsnap'</t>
  </si>
  <si>
    <t>Please list the name of the cards in the set Coldsnap with the highest converted mana cost.</t>
  </si>
  <si>
    <t>card set Coldsnap refers to name = 'Coldsnap'</t>
  </si>
  <si>
    <t>ชุดการ์ด Coldsnap หมายถึงชื่อ = 'Coldsnap'</t>
  </si>
  <si>
    <t>SELECT T1.name FROM cards AS T1 INNER JOIN sets AS T2 ON T2.code = T1.setCode WHERE T2.name = 'Coldsnap' ORDER BY T1.convertedManaCost DESC LIMIT 1</t>
  </si>
  <si>
    <t>Which of these artists have designed a card in the set Coldsnap, Jeremy Jarvis, Aaron Miller or Chippy?</t>
  </si>
  <si>
    <t>card set Coldsnap refers to name = 'Coldsnap'; Jeremy Jarvis, Aaron Miller or Chippy are the name of artists which refers to artist IN ('Jeremy Jarvis', 'Aaron Miller','Chippy');</t>
  </si>
  <si>
    <t>ชุดการ์ด Coldsnap หมายถึงชื่อ = 'Coldsnap'; Jeremy Jarvis, Aaron Miller หรือ Chippy เป็นชื่อของศิลปินที่หมายถึงศิลปิน IN ('Jeremy Jarvis', 'Aaron Miller', 'Chippy');</t>
  </si>
  <si>
    <t>SELECT T1.artist FROM cards AS T1 INNER JOIN sets AS T2 ON T2.code = T1.setCode WHERE (T2.name = 'Coldsnap' AND T1.artist = 'Chippy') OR (T2.name = 'Coldsnap' AND T1.artist = 'Aaron Miller') OR (T2.name = 'Coldsnap' AND T1.artist = 'Jeremy Jarvis') GROUP BY T1.artist</t>
  </si>
  <si>
    <t>What is card number 4 in the set Coldsnap?</t>
  </si>
  <si>
    <t>card set Coldsnap refers to name = 'Coldsnap'; card number 4 refers to number = 4</t>
  </si>
  <si>
    <t>ชุดการ์ด Coldsnap หมายถึงชื่อ = 'Coldsnap'; ไพ่หมายเลข 4 หมายถึง หมายเลข = 4</t>
  </si>
  <si>
    <t>SELECT T1.name FROM cards AS T1 INNER JOIN sets AS T2 ON T2.code = T1.setCode WHERE T2.name = 'Coldsnap' AND T1.number = 4</t>
  </si>
  <si>
    <t>Among the cards with converted mana cost higher than 5 in the set Coldsnap, how many of them have unknown power?</t>
  </si>
  <si>
    <t>card set Coldsnap refers to name = 'Coldsnap'; converted mana cost higher than 5 refers to convertedManaCost &gt; 5; unknown power refers to power = '*' or T1.power is null</t>
  </si>
  <si>
    <t>ชุดการ์ด Coldsnap หมายถึงชื่อ = 'Coldsnap'; ต้นทุนมานาที่แปลงแล้วสูงกว่า 5 หมายถึง ต้นทุนมานาที่แปลงแล้ว &gt; 5; พลังงานที่ไม่รู้จักหมายถึง power = '*' หรือ T1.power เป็นโมฆะ</t>
  </si>
  <si>
    <t>SELECT SUM(CASE WHEN T1.power LIKE '*' OR T1.power IS NULL THEN 1 ELSE 0 END) FROM cards AS T1 INNER JOIN sets AS T2 ON T2.code = T1.setCode WHERE T2.name = 'Coldsnap' AND T1.convertedManaCost &gt; 5</t>
  </si>
  <si>
    <t>What is the Italian flavor text of the card "Ancestor's Chosen"?</t>
  </si>
  <si>
    <t>Italian refers to language = 'Italian'; flavor text refers to flavorText; "Ancestor''s Chosen" refers to name = 'Ancestor''s Chosen'</t>
  </si>
  <si>
    <t>ภาษาอิตาลีหมายถึงภาษา = 'อิตาลี'; ข้อความรสหมายถึงรสข้อความ; “ผู้ถูกเลือกของบรรพบุรุษ” หมายถึง ชื่อ = “ผู้ถูกเลือกของบรรพบุรุษ”</t>
  </si>
  <si>
    <t>SELECT T2.flavorText FROM cards AS T1 INNER JOIN foreign_data AS T2 ON T2.uuid = T1.uuid WHERE T1.name = 'Ancestor''s Chosen' AND T2.language = 'Italian'</t>
  </si>
  <si>
    <t>Please list all the foreign languages in which the card "Ancestor's Chosen" has a flavor text.</t>
  </si>
  <si>
    <t>"Ancestor''s Chosen" refers to name = 'Ancestor''s Chosen'; has a flavor text refers to flavorText is not null</t>
  </si>
  <si>
    <t>“ผู้ถูกเลือกของบรรพบุรุษ” หมายถึง ชื่อ = “ผู้ถูกเลือกของบรรพบุรุษ”; มีข้อความรสหมายถึงรสข้อความไม่เป็นโมฆะ</t>
  </si>
  <si>
    <t>SELECT T2.language FROM cards AS T1 INNER JOIN foreign_data AS T2 ON T2.uuid = T1.uuid WHERE T1.name = 'Ancestor''s Chosen' AND T2.flavorText IS NOT NULL</t>
  </si>
  <si>
    <t>What's the German type of the card "Ancestor's Chosen"?</t>
  </si>
  <si>
    <t>German refers to language = 'German'; "Ancestor's Chosen" refers to name = 'Ancestor''s Chosen'</t>
  </si>
  <si>
    <t>ภาษาเยอรมันหมายถึงภาษา = 'เยอรมัน'; “ผู้ถูกเลือกของบรรพบุรุษ” หมายถึง ชื่อ = “ผู้ถูกเลือกของบรรพบุรุษ”</t>
  </si>
  <si>
    <t>SELECT DISTINCT T1.type FROM cards AS T1 INNER JOIN foreign_data AS T2 ON T2.uuid = T1.uuid WHERE T1.name = 'Ancestor''s Chosen' AND T2.language = 'German'</t>
  </si>
  <si>
    <t>Please list the Italian text ruling of all the cards in the set Coldsnap.</t>
  </si>
  <si>
    <t>card set Coldsnap refers to name = 'Coldsnap'; Italian refers to language = 'Italian'</t>
  </si>
  <si>
    <t>ชุดการ์ด Coldsnap หมายถึงชื่อ = 'Coldsnap'; ภาษาอิตาลีหมายถึงภาษา = 'อิตาลี'</t>
  </si>
  <si>
    <t>SELECT DISTINCT T1.text FROM foreign_data AS T1 INNER JOIN cards AS T2 ON T2.uuid = T1.uuid INNER JOIN sets AS T3 ON T3.code = T2.setCode WHERE T3.name = 'Coldsnap' AND T1.language = 'Italian'</t>
  </si>
  <si>
    <t>Please list the Italian names of the cards in the set Coldsnap with the highest converted mana cost.</t>
  </si>
  <si>
    <t>card set Coldsnap refers to name = 'Coldsnap'; Italian refers to language = 'Italian'; highest converted mana cost refers to MAX(convertedManaCost)</t>
  </si>
  <si>
    <t>ชุดการ์ด Coldsnap หมายถึงชื่อ = 'Coldsnap'; ภาษาอิตาลีหมายถึงภาษา = 'อิตาลี'; ค่ามานาที่แปลงสูงสุดหมายถึง MAX (ค่ามานาที่แปลงแล้ว)</t>
  </si>
  <si>
    <t>SELECT T2.name FROM foreign_data AS T1 INNER JOIN cards AS T2 ON T2.uuid = T1.uuid INNER JOIN sets AS T3 ON T3.code = T2.setCode WHERE T3.name = 'Coldsnap' AND T1.language = 'Italian' ORDER BY T2.convertedManaCost DESC</t>
  </si>
  <si>
    <t>When was the ruling for the card 'Reminisce' created?</t>
  </si>
  <si>
    <t>Reminisce refers to name = 'Reminisce'; when created is the date</t>
  </si>
  <si>
    <t>รำลึกถึงชื่อ = 'รำลึก'; เมื่อสร้างเป็นวันที่</t>
  </si>
  <si>
    <t>SELECT T2.date FROM cards AS T1 INNER JOIN rulings AS T2 ON T2.uuid = T1.uuid WHERE T1.name = 'Reminisce'</t>
  </si>
  <si>
    <t>What is the percentage of the cards with a converted mana cost of 7 in the set Coldsnap?</t>
  </si>
  <si>
    <t>converted mana cost of 7 refers to convertedManaCost = 7; card set Coldsnap refers to name = 'Coldsnap'; percentage = DIVIDE(SUM(convertedManaCost = 7), SUM(convertedManaCost))*100</t>
  </si>
  <si>
    <t>ต้นทุนมานาที่แปลงแล้วคือ 7 หมายถึง ต้นทุนมานาที่แปลงแล้ว = 7; ชุดการ์ด Coldsnap หมายถึงชื่อ = 'Coldsnap'; เปอร์เซ็นต์ = หาร(SUM(ManaCost ที่แปลงแล้ว = 7), SUM(ManaCost ที่แปลงแล้ว))*100</t>
  </si>
  <si>
    <t>SELECT CAST(SUM(CASE WHEN T1.convertedManaCost = 7 THEN 1 ELSE 0 END) AS REAL) * 100 / COUNT(T1.id) FROM cards AS T1 INNER JOIN sets AS T2 ON T2.code = T1.setCode WHERE T2.name = 'Coldsnap'</t>
  </si>
  <si>
    <t>What is the percentage of incredibly powerful cards in the set Coldsnap?</t>
  </si>
  <si>
    <t>card set Coldsnap refers to name = 'Coldsnap'; foil is incredibly powerful refers to cardKingdomFoilId is not null AND cardKingdomId is not null; the percentage of incredibly powerful cards in the set refers to DIVIDE(SUM(incredibly powerful), SUM(name = 'Coldsnap'))*100</t>
  </si>
  <si>
    <t>ชุดการ์ด Coldsnap หมายถึงชื่อ = 'Coldsnap'; ฟอยล์มีประสิทธิภาพอย่างเหลือเชื่อหมายถึง cardKingdomFoilId ไม่เป็นโมฆะ และ cardKingdomId ไม่เป็นโมฆะ เปอร์เซ็นต์ของการ์ดที่ทรงพลังอย่างไม่น่าเชื่อในชุดหมายถึง DIVIDE(SUM(ทรงพลังอย่างไม่น่าเชื่อ), SUM(name = 'Coldsnap'))*100</t>
  </si>
  <si>
    <t>SELECT CAST(SUM(CASE WHEN T1.cardKingdomFoilId IS NOT NULL AND T1.cardKingdomId IS NOT NULL THEN 1 ELSE 0 END) AS REAL) * 100 / COUNT(T1.id) FROM cards AS T1 INNER JOIN sets AS T2 ON T2.code = T1.setCode WHERE T2.name = 'Coldsnap'</t>
  </si>
  <si>
    <t>What's the code for the set which was released on 2017/7/14?</t>
  </si>
  <si>
    <t>released on 2017/7/14 refers to releaseDate = '2017-07-14'</t>
  </si>
  <si>
    <t>เปิดตัวเมื่อ 2017/07/14 หมายถึง releaseDate = '2017-07-14'</t>
  </si>
  <si>
    <t>SELECT code FROM sets WHERE releaseDate = '2017-07-14' GROUP BY releaseDate, code</t>
  </si>
  <si>
    <t>List the keyrune code for the set whose code is 'PKHC'.</t>
  </si>
  <si>
    <t>keyrune code refers to keyruneCode</t>
  </si>
  <si>
    <t>รหัส keyrune หมายถึง keyruneCode</t>
  </si>
  <si>
    <t>SELECT keyruneCode FROM sets WHERE code = 'PKHC'</t>
  </si>
  <si>
    <t>For the set which had 'SS2' as the code, what is its magic card market id?</t>
  </si>
  <si>
    <t>magic card market id refers to mcmId</t>
  </si>
  <si>
    <t>รหัสตลาดการ์ดเวทย์มนตร์หมายถึง mcmId</t>
  </si>
  <si>
    <t>SELECT mcmId FROM sets WHERE code = 'SS2'</t>
  </si>
  <si>
    <t>What's the magic card market name for the set which was released on 2017/6/9?</t>
  </si>
  <si>
    <t>magic card market name refers to mcmName</t>
  </si>
  <si>
    <t>ชื่อตลาดการ์ดเวทย์มนตร์หมายถึง mcmName</t>
  </si>
  <si>
    <t>SELECT mcmName FROM sets WHERE releaseDate = '2017-06-09'</t>
  </si>
  <si>
    <t>For the set "From the Vault: Lore", what is its expansion type?</t>
  </si>
  <si>
    <t>set "From the Vault refers to name which contains 'From the Vault: Lore'; expansion type refers to type</t>
  </si>
  <si>
    <t>set "From the Vault หมายถึงชื่อที่มี 'From the Vault: Lore' ประเภทส่วนขยายหมายถึงประเภท</t>
  </si>
  <si>
    <t>SELECT type FROM sets WHERE name LIKE '%FROM the Vault: Lore%'</t>
  </si>
  <si>
    <t>For the set "Commander 2014 Oversized" , give its parent code.</t>
  </si>
  <si>
    <t>the set "Commander 2014 Oversized" refers to name = 'Commander 2014 Oversized';</t>
  </si>
  <si>
    <t>ชุด "Commander 2014 Oversize" อ้างอิงถึงชื่อ = 'Commander 2014 Oversize';</t>
  </si>
  <si>
    <t>SELECT parentCode FROM sets WHERE name = 'Commander 2014 Oversized'</t>
  </si>
  <si>
    <t>For all cards illustrated by Jim Pavelec. and describe the text of the ruling of these cards. Do these cards have missing or degraded properties and values.</t>
  </si>
  <si>
    <t>all cards illustrated by Jim Pavelec refers to artist = 'Jim Pavelec'; the text of the ruling refers to text; cards have missing or degraded properties and values if hasContentWarning = 1 else it doesn't have;</t>
  </si>
  <si>
    <t>การ์ดทั้งหมดที่แสดงโดย Jim Pavelec หมายถึงศิลปิน = 'Jim Pavelec'; ข้อความในการพิจารณาคดีหมายถึงข้อความ การ์ดมีคุณสมบัติและค่าที่ขาดหายไปหรือลดระดับลง หาก hasContentWarning = 1 อย่างอื่นไม่มี</t>
  </si>
  <si>
    <t>SELECT T2.text , CASE WHEN T1.hasContentWarning = 1 THEN 'YES' ELSE 'NO' END FROM cards AS T1 INNER JOIN rulings AS T2 ON T2.uuid = T1.uuid WHERE T1.artist = 'Jim Pavelec'</t>
  </si>
  <si>
    <t>What was the release date for the set which card "Evacuation" in it?</t>
  </si>
  <si>
    <t>"Evacuation" refers to name = 'Evacuation'; release date refers to releaseDate</t>
  </si>
  <si>
    <t>"การอพยพ" หมายถึง ชื่อ = 'การอพยพ'; วันที่วางจำหน่ายหมายถึง releaseDate</t>
  </si>
  <si>
    <t>SELECT T2.releaseDate FROM cards AS T1 INNER JOIN sets AS T2 ON T2.code = T1.setCode WHERE T1.name = 'Evacuation'</t>
  </si>
  <si>
    <t>What is the number of cards are there in the set of "Rinascita di Alara"?</t>
  </si>
  <si>
    <t>number of cards refers to baseSetSize; set of "Rinascita di Alara" refers to translation = 'Rinascita di Alara'</t>
  </si>
  <si>
    <t>จำนวนไพ่หมายถึง baseSetSize; ชุดของ "Rinascita di Alara" หมายถึงการแปล = 'Rinascita di Alara'</t>
  </si>
  <si>
    <t>SELECT T1.baseSetSize FROM sets AS T1 INNER JOIN set_translations AS T2 ON T2.setCode = T1.code WHERE T2.translation = 'Rinascita di Alara'</t>
  </si>
  <si>
    <t>List the expansion type of the set "Huitième édition".</t>
  </si>
  <si>
    <t>the set "Huitième édition" refers to translation = 'Huitième édition'; expansion type refers to type</t>
  </si>
  <si>
    <t>ชุด "Huitième édition" หมายถึงการแปล = 'Huitième édition'; ประเภทการขยายหมายถึงประเภท</t>
  </si>
  <si>
    <t>SELECT type FROM sets WHERE code IN ( SELECT setCode FROM set_translations WHERE translation = 'Huitième édition' )</t>
  </si>
  <si>
    <t>What's the French name of the set of cards with "Tendo Ice Bridge" is in?</t>
  </si>
  <si>
    <t>French refers to language = 'French'; "Tendo Ice Bridge" is a translated name of a card; translated name refers to translation</t>
  </si>
  <si>
    <t>ภาษาฝรั่งเศสหมายถึงภาษา = 'ฝรั่งเศส'; "Tendo Ice Bridge" เป็นชื่อที่แปลของการ์ด ชื่อที่แปลหมายถึงการแปล</t>
  </si>
  <si>
    <t>SELECT T2.translation FROM cards AS T1 INNER JOIN set_translations AS T2 ON T2.setCode = T1.setCode WHERE T1.name = 'Tendo Ice Bridge' AND T2.language = 'French' AND T2.translation IS NOT NULL</t>
  </si>
  <si>
    <t>How many translations of the name of the set "Tenth Edition"?</t>
  </si>
  <si>
    <t>translations of the name refers to translation; translation is not NULL; set "Salvat 2011" refers to name = 'Tenth Edition'</t>
  </si>
  <si>
    <t>การแปลชื่อหมายถึงการแปล การแปลไม่เป็นโมฆะ ชุด "Salvat 2011" หมายถึงชื่อ = 'รุ่นที่สิบ'</t>
  </si>
  <si>
    <t>SELECT COUNT(DISTINCT T2.translation) FROM sets AS T1 INNER JOIN set_translations AS T2 ON T2.setCode = T1.code WHERE T1.name = 'Tenth Edition' AND T2.translation IS NOT NULL</t>
  </si>
  <si>
    <t>Tell the Japanese name of the set which card "Fellwar Stone" is in it.</t>
  </si>
  <si>
    <t>Japanese name refers to language = 'Japanese'; card "Fellwar Stone" refers to name = 'Fellwar Stone'</t>
  </si>
  <si>
    <t>ชื่อภาษาญี่ปุ่นหมายถึงภาษา = 'ญี่ปุ่น'; การ์ด "Fellwar Stone" หมายถึงชื่อ = 'Fellwar Stone'</t>
  </si>
  <si>
    <t>SELECT T2.translation FROM cards AS T1 INNER JOIN set_translations AS T2 ON T2.setCode = T1.setCode WHERE T1.name = 'Fellwar Stone' AND T2.language = 'Japanese' AND T2.translation IS NOT NULL</t>
  </si>
  <si>
    <t>Which card name in the set 'Journey into Nyx Hero's Path' has the highest converted mana cost.</t>
  </si>
  <si>
    <t>set 'Journey into Nyx Hero's Path' refers to name = 'Journey into Nyx Hero''s Path'</t>
  </si>
  <si>
    <t>กำหนด 'Journey into Nyx Hero's Path' หมายถึง name = 'Journey into Nyx Hero''s Path'</t>
  </si>
  <si>
    <t>SELECT T1.name FROM cards AS T1 INNER JOIN sets AS T2 ON T2.code = T1.setCode WHERE T2.name = 'Journey into Nyx Hero''s Path' ORDER BY T1.convertedManaCost DESC LIMIT 1</t>
  </si>
  <si>
    <t>What is the release date for the set "Ola de frío"?</t>
  </si>
  <si>
    <t>release date is the date of card set being released; set "Ola de frío" refers to translation = 'Ola de frío'</t>
  </si>
  <si>
    <t>วันที่วางจำหน่ายคือวันที่ชุดการ์ดออก ตั้ง "Ola de frío" หมายถึงการแปล = 'Ola de frío'</t>
  </si>
  <si>
    <t>SELECT T1.releaseDate FROM sets AS T1 INNER JOIN set_translations AS T2 ON T2.setCode = T1.code WHERE T2.translation = 'Ola de frío'</t>
  </si>
  <si>
    <t>What was the expansion type for the set which card "Samite Pilgrim" in it?</t>
  </si>
  <si>
    <t>expansion type refers to type; card "Samite Pilgrim" refers to name = 'Samite Pilgrim'</t>
  </si>
  <si>
    <t>ประเภทการขยายหมายถึงประเภท; การ์ด "Samite Pilgrim" หมายถึง ชื่อ = 'Samite Pilgrim'</t>
  </si>
  <si>
    <t>SELECT type FROM sets WHERE code IN ( SELECT setCode FROM cards WHERE name = 'Samite Pilgrim' )</t>
  </si>
  <si>
    <t>How many cards are there in the set 'World Championship Decks 2004' with the converted mana cost as '3'.</t>
  </si>
  <si>
    <t>the set 'World Championship Decks 2004' refers to name = 'World Championship Decks 2004'</t>
  </si>
  <si>
    <t>ชุด 'World Championship Decks 2004' หมายถึงชื่อ = 'World Championship Decks 2004'</t>
  </si>
  <si>
    <t>SELECT COUNT(id) FROM cards WHERE setCode IN ( SELECT code FROM sets WHERE name = 'World Championship Decks 2004' ) AND convertedManaCost = 3</t>
  </si>
  <si>
    <t>Show the Simplified Chinese translation of the name of the set "Mirrodin"?</t>
  </si>
  <si>
    <t>Simplified Chinese translation refers to language = 'Chinese Simplified'; name of the set "Mirrodin" refers to name = 'Mirrodin'</t>
  </si>
  <si>
    <t>การแปลภาษาจีนตัวย่อหมายถึงภาษา = 'ภาษาจีนตัวย่อ'; ชื่อชุด "Mirrodin" หมายถึง ชื่อ = 'Mirrodin'</t>
  </si>
  <si>
    <t>SELECT translation FROM set_translations WHERE setCode IN ( SELECT code FROM sets WHERE name = 'Mirrodin' ) AND language = 'Chinese Simplified'</t>
  </si>
  <si>
    <t>For all the set of cards that has Japanese translation, what is the percentage of them are only available in non-foil?</t>
  </si>
  <si>
    <t>Japanese translation refers to language = 'Japanese'; in non-foil refers to isNonFoilOnly = 1; percentage of Japanese non foil in Japanese cards refers to DIVIDE(SUM(isNonFoilOnly = 1), SUM(language = 'Japanese'))*100</t>
  </si>
  <si>
    <t>แปลภาษาญี่ปุ่นหมายถึงภาษา = 'ญี่ปุ่น'; ใน non-foil หมายถึง isNonFoilOnly = 1; เปอร์เซ็นต์ของไพ่ที่ไม่ใช่ฟอยล์ภาษาญี่ปุ่นในไพ่ภาษาญี่ปุ่นหมายถึง DIVIDE(SUM(isNonFoilOnly = 1), SUM(ภาษา = 'ภาษาญี่ปุ่น'))*100</t>
  </si>
  <si>
    <t>SELECT CAST(SUM(CASE WHEN isNonFoilOnly = 1 THEN 1 ELSE 0 END) AS REAL) * 100 / COUNT(id) FROM sets WHERE code IN ( SELECT setCode FROM set_translations WHERE language = 'Japanese' )</t>
  </si>
  <si>
    <t>For all the set of cards that has Brazil Portuguese translation, what is the percentage of them are only available online?</t>
  </si>
  <si>
    <t>Brazil Portuguese translation refers to language = 'Portuguese (Brazil)'; only available online refers to isOnlineOnly = 1; percentage of online only Brazil Portuguese in all Brazil Portuguese cards refers to DIVIDE(SUM(isOnlineOnly = 1), SUM(language = 'Portuguese (Brazil)))*100</t>
  </si>
  <si>
    <t>การแปลภาษาโปรตุเกสของบราซิลหมายถึงภาษา = 'โปรตุเกส (บราซิล)'; ใช้ได้เฉพาะออนไลน์หมายถึง isOnlineOnly = 1; เปอร์เซ็นต์ของออนไลน์เท่านั้น โปรตุเกสบราซิล ในไพ่บราซิลโปรตุเกสทั้งหมดหมายถึง DIVIDE(SUM(isOnlineOnly = 1), SUM( language = 'Portuguese (Brazil)))*100</t>
  </si>
  <si>
    <t>SELECT CAST(SUM(CASE WHEN isOnlineOnly = 1 THEN 1 ELSE 0 END) AS REAL) * 100 / COUNT(id) FROM sets WHERE code IN ( SELECT setCode FROM set_translations WHERE language = 'Portuguese (Brazil)' )</t>
  </si>
  <si>
    <t>What are the available printing types of the cards that doesn't have a text box created by Aleksi Briclot?</t>
  </si>
  <si>
    <t>created by Aleksi Briclot refers to artist = 'Aleksi Briclot'; doesn't have a text box refers to isTextless = 1; available printing types refers to availability</t>
  </si>
  <si>
    <t>สร้างโดย Aleksi Briclot หมายถึงศิลปิน = 'Aleksi Briclot'; ไม่มีกล่องข้อความอ้างถึง isTextless = 1; ประเภทการพิมพ์ที่ใช้ได้ขึ้นอยู่กับความพร้อมในการให้บริการ</t>
  </si>
  <si>
    <t>SELECT DISTINCT availability FROM cards WHERE artist = 'Aleksi Briclot' AND isTextless = 1</t>
  </si>
  <si>
    <t>What is the unique id of the set that has the highest number of cards?</t>
  </si>
  <si>
    <t>the highest number of cards refers to MAX(baseSetSize); unique id refers to id</t>
  </si>
  <si>
    <t>จำนวนการ์ดสูงสุดหมายถึง MAX(baseSetSize); รหัสเฉพาะหมายถึงรหัส</t>
  </si>
  <si>
    <t>SELECT id FROM sets ORDER BY baseSetSize DESC LIMIT 1</t>
  </si>
  <si>
    <t>Among the cards that doesn't have multiple faces on the same card, who is the illustrator of the card art that has the highest cost of converted mana?</t>
  </si>
  <si>
    <t>doesn't have multiple faces refers to side IS NULL; illustrator refers to artist</t>
  </si>
  <si>
    <t>ไม่มีหลายหน้า หมายถึงด้าน IS NULL; นักวาดภาพประกอบหมายถึงศิลปิน</t>
  </si>
  <si>
    <t>SELECT artist FROM cards WHERE side IS NULL ORDER BY convertedManaCost DESC LIMIT 1</t>
  </si>
  <si>
    <t>What is the most common visual frame effects among the incredibly powerful foils?</t>
  </si>
  <si>
    <t>when both cardKingdomFoilId and cardKingdomId are not null, this foil is incredibly powerful; most common visual frame effects refers to MAX(frameEffects)</t>
  </si>
  <si>
    <t>เมื่อทั้ง cardKingdomFoilId และ cardKingdomId ไม่เป็นโมฆะ ฟอยล์นี้จะทรงพลังอย่างเหลือเชื่อ เอฟเฟกต์เฟรมภาพที่พบบ่อยที่สุดหมายถึง MAX (frameEffects)</t>
  </si>
  <si>
    <t>SELECT frameEffects FROM cards WHERE cardKingdomFoilId IS NOT NULL AND cardKingdomId IS NOT NULL GROUP BY frameEffects ORDER BY COUNT(frameEffects) DESC LIMIT 1</t>
  </si>
  <si>
    <t>How many cards with unknown power that can't be found in foil is in duel deck A?</t>
  </si>
  <si>
    <t>unknown power refers to power IS NULL or power = '*'; can't be found in foil refers to hasFoil = 0; duel deck A refers to duelDeck = 'a'</t>
  </si>
  <si>
    <t>พลังงานที่ไม่รู้จักหมายถึงพลังงานเป็นโมฆะหรือพลังงาน = '*'; ไม่พบในฟอยล์หมายถึง hasFoil = 0; ดวลเด็ค A หมายถึง ดวลเด็ค = 'a'</t>
  </si>
  <si>
    <t>SELECT SUM(CASE WHEN power = '*' OR power IS NULL THEN 1 ELSE 0 END) FROM cards WHERE hasFoil = 0 AND duelDeck = 'a'</t>
  </si>
  <si>
    <t>Among the sets whose expansion type is Commander, which set has the highest total number of cards including promotional and related supplemental products but excluding Alchemy modifications? Indicate the id of the set.</t>
  </si>
  <si>
    <t>expansion type refers to type where type = 'commander'; totalSetSize: The total number of cards in the set, including promotional and related supplemental products but excluding Alchemy modifications; highest total number of cards refers to MAX(totalSetSize)</t>
  </si>
  <si>
    <t>ประเภทการขยายหมายถึงประเภทโดยที่ type = 'commander'; TotalSetSize: จำนวนการ์ดทั้งหมดในชุด รวมถึงผลิตภัณฑ์ส่งเสริมการขายและผลิตภัณฑ์เสริมที่เกี่ยวข้อง แต่ไม่รวมการปรับเปลี่ยน Alchemy จำนวนไพ่รวมสูงสุดหมายถึง MAX(totalSetSize)</t>
  </si>
  <si>
    <t>SELECT id FROM sets WHERE type = 'commander' ORDER BY totalSetSize DESC LIMIT 1</t>
  </si>
  <si>
    <t>In duels, what are the top 10 cards with the highest uncoverted mana cost?</t>
  </si>
  <si>
    <t>duels refer to format = 'duel'; the highest uncoverted mana cost refers to MAX(manaCost)</t>
  </si>
  <si>
    <t>การดวลหมายถึงรูปแบบ = 'ดวล'; ค่ามานาที่เปิดเผยสูงสุดหมายถึง MAX (ค่ามานา)</t>
  </si>
  <si>
    <t>SELECT DISTINCT name FROM cards WHERE uuid IN ( SELECT uuid FROM legalities WHERE format = 'duel' ) ORDER BY manaCost DESC LIMIT 0, 10</t>
  </si>
  <si>
    <t>When was the oldest mythic card released and what are its legal play formats?</t>
  </si>
  <si>
    <t>the oldest card refers to MIN(originalReleaseDate); mythic card refers to rarity = 'mythic'; legal play refers to status = 'legal'; play format refers to format</t>
  </si>
  <si>
    <t>การ์ดที่เก่าแก่ที่สุดหมายถึง MIN (OriginalReleaseDate); การ์ดในตำนานหมายถึงความหายาก = 'ตำนาน'; การเล่นตามกฎหมายหมายถึงสถานะ = 'ถูกกฎหมาย'; รูปแบบการเล่นหมายถึงรูปแบบ</t>
  </si>
  <si>
    <t>SELECT T1.originalReleaseDate, T2.format FROM cards AS T1 INNER JOIN legalities AS T2 ON T1.uuid = T2.uuid WHERE T1.rarity = 'mythic' AND T1.originalReleaseDate IS NOT NULL AND T2.status = 'Legal' ORDER BY T1.originalReleaseDate LIMIT 1</t>
  </si>
  <si>
    <t>How many cards did Volkan BaÇµa illustrated whose foreign language is in French?</t>
  </si>
  <si>
    <t>Volkan BaÇµa refers to artist = 'Volkan Baǵa'; foreign language is in French refers to language = 'French'</t>
  </si>
  <si>
    <t>Volkan Baçµa หมายถึงศิลปิน = 'Volkan Baĵa'; ภาษาต่างประเทศเป็นภาษาฝรั่งเศส หมายถึง ภาษา = 'ฝรั่งเศส'</t>
  </si>
  <si>
    <t>SELECT COUNT(T3.id) FROM ( SELECT T1.id FROM cards AS T1 INNER JOIN foreign_data AS T2 ON T2.uuid = T1.uuid WHERE T1.artist = 'Volkan Baǵa' AND T2.language = 'French' GROUP BY T1.id ) AS T3</t>
  </si>
  <si>
    <t>How many rare enchantment Abundance cards are there whose play format status are all legal?</t>
  </si>
  <si>
    <t>rare refers to rarity = 'rare'; enchantment card refers to types = 'Enchantment'; Abundance cards refers to name = 'Abundance'; format status are all legal refers to status = 'Legal'</t>
  </si>
  <si>
    <t>หายากหมายถึงหายาก = 'หายาก'; การ์ดเสน่ห์หมายถึงประเภท = 'เสน่ห์'; บัตรความอุดมสมบูรณ์หมายถึงชื่อ = 'ความอุดมสมบูรณ์'; สถานะรูปแบบทั้งหมดถูกกฎหมายหมายถึงสถานะ = 'กฎหมาย'</t>
  </si>
  <si>
    <t>SELECT COUNT(T1.id) FROM cards AS T1 INNER JOIN legalities AS T2 ON T2.uuid = T1.uuid WHERE T1.rarity = 'rare' AND T1.types = 'Enchantment' AND T1.name = 'Abundance' AND T2.status = 'Legal'</t>
  </si>
  <si>
    <t>Which of the play format has the highest number of banned status? Indicate the play format and the names of all the card meet the condition.</t>
  </si>
  <si>
    <t>play format refers to format; banned status refers to status = 'Banned'; the highest number of banned status refers to MAX(COUNT(status = 'Banned'))</t>
  </si>
  <si>
    <t>รูปแบบการเล่นหมายถึงรูปแบบ สถานะที่ถูกแบนหมายถึงสถานะ = 'ถูกแบน'; จำนวนสถานะที่ถูกแบนสูงสุดหมายถึง MAX(COUNT(status = 'Banned'))</t>
  </si>
  <si>
    <t>WITH MaxBanned AS (SELECT format, COUNT(*) AS count_banned FROM legalities WHERE status = 'Banned' GROUP BY format ORDER BY COUNT(*) DESC LIMIT 1) SELECT T2.format, T1.name FROM cards AS T1 INNER JOIN legalities AS T2 ON T2.uuid = T1.uuid INNER JOIN MaxBanned MB ON MB.format = T2.format WHERE T2.status = 'Banned'</t>
  </si>
  <si>
    <t>What is the language of the "Battlebond" set?</t>
  </si>
  <si>
    <t>"Battlebond" set refers to name = 'Battlebond'</t>
  </si>
  <si>
    <t>ชุด "Battlebond" หมายถึงชื่อ = 'Battlebond'</t>
  </si>
  <si>
    <t>SELECT language FROM set_translations WHERE id IN ( SELECT id FROM sets WHERE name = 'Battlebond' )</t>
  </si>
  <si>
    <t>Who is the illustrator that illustrated the least amount of cards? List the format of play of the cards that he/she illustrated.</t>
  </si>
  <si>
    <t>format of the cards refers to format; illustrator refers to artist; the least amount of cards refers to MIN(artist)</t>
  </si>
  <si>
    <t>รูปแบบของการ์ดหมายถึงรูปแบบ นักวาดภาพประกอบหมายถึงศิลปิน จำนวนไพ่ที่น้อยที่สุดหมายถึง MIN (ศิลปิน)</t>
  </si>
  <si>
    <t>SELECT T1.artist, T2.format FROM cards AS T1 INNER JOIN legalities AS T2 ON T2.uuid = T1.uuid GROUP BY T1.artist ORDER BY COUNT(T1.id) ASC LIMIT 1</t>
  </si>
  <si>
    <t>Among the cards whose version of frame style is 1997, what is the status of the card illustrated by D. Alexander Gregory in legacy play format that has sensitive content or Wizards of the Coast?</t>
  </si>
  <si>
    <t>version of frame style is 1997 refers to frameVersion = '1997'; illustrated by D. Alexander Gregory refers to artist = 'D. Alexander Gregory'; sensitive content refers to hasContentWarning = 1; legacy play format refers to format = 'legacy'; status of the card refers to status</t>
  </si>
  <si>
    <t>เวอร์ชันของรูปแบบเฟรมคือ 1997 หมายถึง frameVersion = '1997'; ภาพประกอบโดย D. Alexander Gregory หมายถึงศิลปิน = 'D. อเล็กซานเดอร์ เกรกอรี'; เนื้อหาที่ละเอียดอ่อนอ้างถึง hasContentWarning = 1; รูปแบบการเล่นแบบเดิมหมายถึง format = 'legacy'; สถานะของบัตรหมายถึงสถานะ</t>
  </si>
  <si>
    <t>SELECT DISTINCT T2.status FROM cards AS T1 INNER JOIN legalities AS T2 ON T2.uuid = T1.uuid WHERE T1.frameVersion = 1997 AND T1.hasContentWarning = 1 AND T1.artist = 'D. Alexander Gregory' AND T2.format = 'legacy'</t>
  </si>
  <si>
    <t>Which cards are ranked 1st on EDHRec? List all of the cards name and its banned play format.</t>
  </si>
  <si>
    <t>ranked 1st on EDHRec refers to edhrecRank = 1; banned refers to status = 'Banned'; play format refers to format; cards name refers to name</t>
  </si>
  <si>
    <t>อันดับที่ 1 ใน EDHRec หมายถึง edhrecRank = 1; ห้ามหมายถึงสถานะ = 'ถูกแบน'; รูปแบบการเล่นหมายถึงรูปแบบ ชื่อการ์ดหมายถึงชื่อ</t>
  </si>
  <si>
    <t>SELECT T1.name, T2.format FROM cards AS T1 INNER JOIN legalities AS T2 ON T2.uuid = T1.uuid WHERE T1.edhrecRank = 1 AND T2.status = 'Banned' GROUP BY T1.name, T2.format</t>
  </si>
  <si>
    <t>What is the annual average number of sets that were released between 1/1/2012 to 12/31/2015? Indicate the common langugage of the card.</t>
  </si>
  <si>
    <t>AVG(id); releaseDate BETWEEN 1/1/2012 AND 12/31/2015; the common language refers to MAX(COUNT(language))</t>
  </si>
  <si>
    <t>AVG(รหัส); วันที่เผยแพร่ระหว่าง 1/1/2555 ถึง 31/12/2558; ภาษาทั่วไปหมายถึง MAX(COUNT(ภาษา))</t>
  </si>
  <si>
    <t>SELECT (CAST(SUM(T1.id) AS REAL) / COUNT(T1.id)) / 4, T2.language FROM sets AS T1 INNER JOIN set_translations AS T2 ON T1.id = T2.id WHERE T1.releaseDate BETWEEN '2012-01-01' AND '2015-12-31' GROUP BY T1.releaseDate ORDER BY COUNT(T2.language) DESC LIMIT 1</t>
  </si>
  <si>
    <t>List the artists who illustrated cards with black borders which are available only in arena.</t>
  </si>
  <si>
    <t>black borders refers to BorderColor = 'black'; available only in arena refers to availability = 'arena'</t>
  </si>
  <si>
    <t>เส้นขอบสีดำหมายถึง BorderColor = 'สีดำ'; มีเฉพาะในอารีน่าเท่านั้น หมายถึง ความพร้อมใช้งาน = 'อารีน่า'</t>
  </si>
  <si>
    <t>SELECT DISTINCT artist FROM cards WHERE availability = 'arena' AND BorderColor = 'black'</t>
  </si>
  <si>
    <t>Find the uuid of cards in which the old school format is restricted or banned.</t>
  </si>
  <si>
    <t>old school format refers to format = 'oldschool'; restricted or banned refers to status = 'banned' or 'restricted'</t>
  </si>
  <si>
    <t>รูปแบบโรงเรียนเก่าหมายถึงรูปแบบ = 'oldschool'; ถูกจำกัดหรือถูกแบน หมายถึงสถานะ = 'ถูกแบน' หรือ 'ถูกจำกัด'</t>
  </si>
  <si>
    <t>SELECT uuid FROM legalities WHERE format = 'oldschool' AND (status = 'Banned' OR status = 'Restricted')</t>
  </si>
  <si>
    <t>Among the card designed by Matthew D. Wilson, how many are available only in the paper?</t>
  </si>
  <si>
    <t>card designed by Matthew D. Wilson refers to artist = 'Matthew D. Wilson'; available only in the paper refers to availability = 'paper'</t>
  </si>
  <si>
    <t>การ์ดที่ออกแบบโดย Matthew D. Wilson หมายถึงศิลปิน = 'Matthew D. Wilson'; มีเฉพาะในกระดาษหมายถึงความพร้อม = 'กระดาษ'</t>
  </si>
  <si>
    <t>SELECT COUNT(id) FROM cards WHERE artist = 'Matthew D. Wilson' AND availability = 'paper'</t>
  </si>
  <si>
    <t>What are the rulings for the card named and designed by Kev Walker? List them in descending order of dates.</t>
  </si>
  <si>
    <t>rulings refers to text; card named and designed by Kev Walker refers to artist = 'Kev Walker'; descending order of dates refers to MAX(date);</t>
  </si>
  <si>
    <t>คำตัดสินหมายถึงข้อความ การ์ดที่ตั้งชื่อและออกแบบโดย Kev Walker หมายถึงศิลปิน = 'Kev Walker'; ลำดับวันที่จากมากไปหาน้อยหมายถึง MAX (วันที่);</t>
  </si>
  <si>
    <t>SELECT T2.text FROM cards AS T1 INNER JOIN rulings AS T2 ON T2.uuid = T1.uuid WHERE T1.artist = 'Kev Walker' ORDER BY T2.date DESC</t>
  </si>
  <si>
    <t>List the names of all the cards in the set Hour of Devastation and find the formats in which these cards are legal.</t>
  </si>
  <si>
    <t>the set Hour of Devastation refers to set.name = 'Hour of Devastation'; names of all the cards in the set refers to cards.name; legal cards refers to status = 'Legal'; the formats refers to format</t>
  </si>
  <si>
    <t>ชั่วโมงแห่งการทำลายล้างที่ตั้งไว้อ้างอิงถึง set.name = 'ชั่วโมงแห่งการทำลายล้าง'; ชื่อของไพ่ทุกใบในชุดหมายถึง cards.name; บัตรทางกฎหมายหมายถึงสถานะ = 'กฎหมาย'; รูปแบบหมายถึงรูปแบบ</t>
  </si>
  <si>
    <t>SELECT DISTINCT T2.name , CASE WHEN T1.status = 'Legal' THEN T1.format ELSE NULL END FROM legalities AS T1 INNER JOIN cards AS T2 ON T2.uuid = T1.uuid WHERE T2.setCode IN ( SELECT code FROM sets WHERE name = 'Hour of Devastation' )</t>
  </si>
  <si>
    <t>Find and list the names of sets which doesn't have Japanese translation but have Korean translation.</t>
  </si>
  <si>
    <t>names of sets refers to name; doesn't have Japanese translation refers to language not like '%Japanese%'; have Korean translation refers to language = 'Korean'</t>
  </si>
  <si>
    <t>ชื่อของชุดหมายถึงชื่อ ไม่มีคำแปลภาษาญี่ปุ่นหมายถึงภาษาที่ไม่เหมือน '%ภาษาญี่ปุ่น%'; มีคำแปลภาษาเกาหลีหมายถึงภาษา = 'เกาหลี'</t>
  </si>
  <si>
    <t>SELECT name FROM sets WHERE code IN ( SELECT setCode FROM set_translations WHERE language = 'Korean' AND language NOT LIKE '%Japanese%' )</t>
  </si>
  <si>
    <t>List all the frame styles and cards Allen Williams worked on and find any banned cards if there are any.</t>
  </si>
  <si>
    <t>frame styles refers to frameVersion; cards Allen Williams worked on refers to artist = 'Allen Williams'; banned cards refers to status = 'Banned'</t>
  </si>
  <si>
    <t>สไตล์เฟรมหมายถึง frameVersion; การ์ดที่ Allen Williams ทำงานหมายถึงศิลปิน = 'Allen Williams'; การ์ดที่ถูกแบนหมายถึงสถานะ = 'ถูกแบน'</t>
  </si>
  <si>
    <t>SELECT DISTINCT T1.frameVersion, T1.name , IIF(T2.status = 'Banned', T1.name, 'NO') FROM cards AS T1 INNER JOIN legalities AS T2 ON T1.uuid = T2.uuid WHERE T1.artist = 'Allen Williams'</t>
  </si>
  <si>
    <t>codebase_community</t>
  </si>
  <si>
    <t>Which user has a higher reputation, Harlan or Jarrod Dixon?</t>
  </si>
  <si>
    <t>"Harlan" and "Jarrod Dixon" are both DisplayName; highest reputation refers to Max(Reputation)</t>
  </si>
  <si>
    <t>"Harlan" และ "Jarrod Dixon" เป็นทั้ง DisplayName; ชื่อเสียงสูงสุดหมายถึงแม็กซ์ (ชื่อเสียง)</t>
  </si>
  <si>
    <t>SELECT DisplayName FROM users WHERE DisplayName IN ('Harlan', 'Jarrod Dixon') AND Reputation = ( SELECT MAX(Reputation) FROM users WHERE DisplayName IN ('Harlan', 'Jarrod Dixon') )</t>
  </si>
  <si>
    <t>Please list the display names of all the users whose accounts were created in the year 2011.</t>
  </si>
  <si>
    <t>account created in the year 2011 refers to year(CreationDate) = 2011</t>
  </si>
  <si>
    <t>บัญชีที่สร้างในปี 2554 หมายถึง ปี (CreationDate) = 2554</t>
  </si>
  <si>
    <t>SELECT DisplayName FROM users WHERE STRFTIME('%Y', CreationDate) = '2011'</t>
  </si>
  <si>
    <t>How many users last accessed the website after 2014/9/1?</t>
  </si>
  <si>
    <t>last accessed after 2014/9/1 refers to LastAccessDate &gt; '2014-09-01'</t>
  </si>
  <si>
    <t>เข้าถึงล่าสุดหลังจาก 1/9/2557 หมายถึง LastAccessDate &gt; '2014-09-01'</t>
  </si>
  <si>
    <t>SELECT COUNT(Id) FROM users WHERE date(LastAccessDate) &gt; '2014-09-01'</t>
  </si>
  <si>
    <t>What is the display name of the user who has the most number of views?</t>
  </si>
  <si>
    <t>user who has the most number of view refers to Max(Views)</t>
  </si>
  <si>
    <t>ผู้ใช้ที่มีจำนวนการดูมากที่สุดหมายถึง Max(Views)</t>
  </si>
  <si>
    <t>SELECT DisplayName FROM users WHERE Views = ( SELECT MAX(Views) FROM users )</t>
  </si>
  <si>
    <t>Among the users who have more than 100 upvotes, how many of them have more then 1 downvotes?</t>
  </si>
  <si>
    <t>more than 100 upvotes refers to Upvotes &gt; 100; more than 1 downvotes refers to Downvotes &gt; 1</t>
  </si>
  <si>
    <t>มากกว่า 100 upvotes หมายถึง Upvotes &gt; 100; การลงคะแนนเสียงลงมากกว่า 1 ครั้งหมายถึงการลงคะแนนเสียงลง &gt; 1</t>
  </si>
  <si>
    <t>SELECT COUNT(Id) FROM users WHERE Upvotes &gt; 100 AND Downvotes &gt; 1</t>
  </si>
  <si>
    <t>How many users with more than 10 views created their account after the year 2013?</t>
  </si>
  <si>
    <t>more than 10 views refers to Views &gt; 10; created after the year 2013 refers to year (CreationDate) &gt; 2013</t>
  </si>
  <si>
    <t>การดูมากกว่า 10 ครั้งหมายถึงการดู &gt; 10; สร้างหลังปี 2556 หมายถึง ปี (CreationDate) &gt; 2013</t>
  </si>
  <si>
    <t>SELECT COUNT(id) FROM users WHERE STRFTIME('%Y', CreationDate) &gt; '2013' AND Views &gt; 10</t>
  </si>
  <si>
    <t>How many posts does the user csgillespie own?</t>
  </si>
  <si>
    <t>"csgillespie" is the DisplayName of user</t>
  </si>
  <si>
    <t>"csgillespie" คือชื่อที่แสดงของผู้ใช้</t>
  </si>
  <si>
    <t>SELECT COUNT(T1.id) FROM posts AS T1 INNER JOIN users AS T2 ON T1.OwnerUserId = T2.Id WHERE T2.DisplayName = 'csgillespie'</t>
  </si>
  <si>
    <t>Please list the titles of the posts owned by the user csgillespie?</t>
  </si>
  <si>
    <t>SELECT T1.Title FROM posts AS T1 INNER JOIN users AS T2 ON T1.OwnerUserId = T2.Id WHERE T2.DisplayName = 'csgillespie'</t>
  </si>
  <si>
    <t>Who is the owner of the post "Eliciting priors from experts"?</t>
  </si>
  <si>
    <t>"Eliciting priors from experts" is the Title of post; owner refers to DisplayName</t>
  </si>
  <si>
    <t>"การชักชวนนักบวชจากผู้เชี่ยวชาญ" เป็นหัวข้อของตำแหน่ง; เจ้าของหมายถึง DisplayName</t>
  </si>
  <si>
    <t>SELECT T2.DisplayName FROM posts AS T1 INNER JOIN users AS T2 ON T1.OwnerUserId = T2.Id WHERE T1.Title = 'Eliciting priors from experts'</t>
  </si>
  <si>
    <t>What is the title of the post that is owned by csgillespie and has the highest popularity?</t>
  </si>
  <si>
    <t>"csgillespie" is the DisplayName of user; highest popularity refers to Max(ViewCount)</t>
  </si>
  <si>
    <t>"csgillespie" คือ DisplayName ของผู้ใช้ ความนิยมสูงสุดหมายถึง Max(ViewCount)</t>
  </si>
  <si>
    <t>SELECT T1.Title FROM posts AS T1 INNER JOIN users AS T2 ON T1.OwnerUserId = T2.Id WHERE T2.DisplayName = 'csgillespie' ORDER BY T1.ViewCount DESC LIMIT 1</t>
  </si>
  <si>
    <t>What is the display name of the user who is the owner of the most valuable post?</t>
  </si>
  <si>
    <t>most valuable post refers to Max(FavoriteCount)</t>
  </si>
  <si>
    <t>โพสต์ที่มีค่าที่สุดหมายถึง Max(FavoriteCount)</t>
  </si>
  <si>
    <t>SELECT T2.DisplayName FROM posts AS T1 INNER JOIN users AS T2 ON T1.OwnerUserId = T2.Id ORDER BY T1.FavoriteCount DESC LIMIT 1</t>
  </si>
  <si>
    <t>What is the total number of comments of all the posts owned by csgillespie?</t>
  </si>
  <si>
    <t>"csgillespie" is the DisplayName of user; total number of comments refers to Sum(CommentCount)</t>
  </si>
  <si>
    <t>"csgillespie" คือ DisplayName ของผู้ใช้ จำนวนความคิดเห็นทั้งหมดหมายถึงผลรวม (CommentCount)</t>
  </si>
  <si>
    <t>SELECT SUM(T1.CommentCount) FROM posts AS T1 INNER JOIN users AS T2 ON T1.OwnerUserId = T2.Id WHERE T2.DisplayName = 'csgillespie'</t>
  </si>
  <si>
    <t>For the post that got the most number of answers owned by csgillespie, how many answers did it get?</t>
  </si>
  <si>
    <t>"csgillespie" is the DisplayName of user; the most number of answer refers to Max(AnswerCount)</t>
  </si>
  <si>
    <t>"csgillespie" คือ DisplayName ของผู้ใช้ จำนวนคำตอบมากที่สุดหมายถึง Max(AnswerCount)</t>
  </si>
  <si>
    <t>SELECT MAX(T1.AnswerCount) FROM posts AS T1 INNER JOIN users AS T2 ON T1.OwnerUserId = T2.Id WHERE T2.DisplayName = 'csgillespie'</t>
  </si>
  <si>
    <t>What is the display name of the user who last edited the post "Examples for teaching: Correlation does not mean causation"?</t>
  </si>
  <si>
    <t>"Examples for teaching: Correlation does not mean causation" is the Title of post; user who last edited refers to LastEditorUserId</t>
  </si>
  <si>
    <t>“ตัวอย่างการสอน ความสัมพันธ์ไม่ได้หมายถึงเหตุ” เป็นหัวเรื่อง; ผู้ใช้ที่แก้ไขครั้งล่าสุดหมายถึง LastEditorUserId</t>
  </si>
  <si>
    <t>SELECT T2.DisplayName FROM posts AS T1 INNER JOIN users AS T2 ON T1.LastEditorUserId = T2.Id WHERE T1.Title = 'Examples for teaching: Correlation does not mean causation'</t>
  </si>
  <si>
    <t>Among the posts owned by csgillespie, how many of them are root posts?</t>
  </si>
  <si>
    <t>"csgillespie" is the DisplayName of user; root post refers to ParentId IS Null</t>
  </si>
  <si>
    <t>"csgillespie" คือ DisplayName ของผู้ใช้ โพสต์รูทอ้างถึง ParentId IS Null</t>
  </si>
  <si>
    <t>SELECT COUNT(T1.Id) FROM posts AS T1 INNER JOIN users AS T2 ON T1.OwnerUserId = T2.Id WHERE T2.DisplayName = 'csgillespie' AND T1.ParentId IS NULL</t>
  </si>
  <si>
    <t>Please list the display names of all the users who owns a post that is well-finished.</t>
  </si>
  <si>
    <t>the post that is well-finished refers to ClosedDate IS NOT Null</t>
  </si>
  <si>
    <t>โพสต์ที่เสร็จสิ้นอย่างดีหมายถึง ClosedDate ไม่ใช่ Null</t>
  </si>
  <si>
    <t>SELECT T2.DisplayName FROM posts AS T1 INNER JOIN users AS T2 ON T1.OwnerUserId = T2.Id WHERE T1.ClosedDate IS NOT NULL</t>
  </si>
  <si>
    <t>Among the posts owned by an elder user, how many of them have a score of over 19?</t>
  </si>
  <si>
    <t>elder users refers to Age &gt; 65; Score of over 19 refers to Score &gt; = 20</t>
  </si>
  <si>
    <t>ผู้ใช้ที่มีอายุมากกว่าหมายถึงอายุ&gt; 65; คะแนนมากกว่า 19 หมายถึง คะแนน &gt; = 20</t>
  </si>
  <si>
    <t>SELECT COUNT(T1.Id) FROM posts AS T1 INNER JOIN users AS T2 ON T1.OwnerUserId = T2.Id WHERE T1.Score &gt;= 20 AND T2.Age &gt; 65</t>
  </si>
  <si>
    <t>What is the location of the owner of the post "Eliciting priors from experts"?</t>
  </si>
  <si>
    <t>Owner refers to OwnerUserId; 'Eliciting priors from experts' is the Title of post</t>
  </si>
  <si>
    <t>เจ้าของหมายถึง OwnerUserId; 'การชักชวนนักบวชจากผู้เชี่ยวชาญ' เป็นหัวข้อของโพสต์</t>
  </si>
  <si>
    <t>SELECT T2.Location FROM posts AS T1 INNER JOIN users AS T2 ON T1.OwnerUserId = T2.Id WHERE T1.Title = 'Eliciting priors from experts'</t>
  </si>
  <si>
    <t>From which post is the tag "bayesian" excerpted from? Please give the body of the post.</t>
  </si>
  <si>
    <t>"bayesian" is the TagName; excerpt from refers to ExcerptPostId</t>
  </si>
  <si>
    <t>"bayesian" คือชื่อแท็ก ข้อความที่ตัดตอนมาจากอ้างถึง ExcerptPostId</t>
  </si>
  <si>
    <t>SELECT T2.Body FROM tags AS T1 INNER JOIN posts AS T2 ON T2.Id = T1.ExcerptPostId WHERE T1.TagName = 'bayesian'</t>
  </si>
  <si>
    <t>From which post is the most popular tag excerpted from? Please give the body of the post.</t>
  </si>
  <si>
    <t>most popular tag refers to Max(Count); excerpt from refer to ExcerptPostId</t>
  </si>
  <si>
    <t>แท็กยอดนิยมหมายถึง Max(Count); ข้อความที่ตัดตอนมาจากการอ้างอิงถึง ExcerptPostId</t>
  </si>
  <si>
    <t>SELECT Body FROM posts WHERE id = ( SELECT ExcerptPostId FROM tags ORDER BY Count DESC LIMIT 1 )</t>
  </si>
  <si>
    <t>How many badges has the user csgillespie obtained?</t>
  </si>
  <si>
    <t>SELECT COUNT(T1.Id) FROM badges AS T1 INNER JOIN users AS T2 ON T1.UserId = T2.Id WHERE T2.DisplayName = 'csgillespie'</t>
  </si>
  <si>
    <t>Please list the names of the badges obtained by csgillespie.</t>
  </si>
  <si>
    <t>SELECT T1.`Name` FROM badges AS T1 INNER JOIN users AS T2 ON T1.UserId = T2.Id WHERE T2.DisplayName = 'csgillespie'</t>
  </si>
  <si>
    <t>Among the badges obtained by csgillespie, how many of them were obtained in the year 2011?</t>
  </si>
  <si>
    <t>"csgillespie" is the DisplayName of user; obtained in 2011 refers to YEAR (Date) = 2011</t>
  </si>
  <si>
    <t>"csgillespie" คือ DisplayName ของผู้ใช้ ได้รับในปี 2554 หมายถึง ปี (วันที่) = 2554</t>
  </si>
  <si>
    <t>SELECT COUNT(T1.Id) FROM badges AS T1 INNER JOIN users AS T2 ON T1.UserId = T2.Id WHERE STRFTIME('%Y', T1.Date) = '2011' AND T2.DisplayName = 'csgillespie'</t>
  </si>
  <si>
    <t>What is the display name of the user who has obtained the most number of badges?</t>
  </si>
  <si>
    <t>who obtained the most number of badges refers to UserID with Max(Count(Id))</t>
  </si>
  <si>
    <t>ผู้ที่ได้รับตราสัญลักษณ์มากที่สุด หมายถึง UserID ที่มี Max(Count(Id))</t>
  </si>
  <si>
    <t>SELECT T2.DisplayName FROM badges AS T1 INNER JOIN users AS T2 ON T1.UserId = T2.Id GROUP BY T2.DisplayName ORDER BY COUNT(T1.Id) DESC LIMIT 1</t>
  </si>
  <si>
    <t>What is the average score of the posts owned by the user csgillespie?</t>
  </si>
  <si>
    <t>"csgillespie" is the DisplayName of user; average score refers to AVG(Score)</t>
  </si>
  <si>
    <t>"csgillespie" คือ DisplayName ของผู้ใช้ คะแนนเฉลี่ยหมายถึง AVG (คะแนน)</t>
  </si>
  <si>
    <t>SELECT AVG(T1.Score) FROM posts AS T1 INNER JOIN users AS T2 ON T1.OwnerUserId = T2.Id WHERE T2.DisplayName = 'csgillespie'</t>
  </si>
  <si>
    <t>What is the average number of badges obtained by a user with over 200 views?</t>
  </si>
  <si>
    <t>user with over 200 views refers to Views &gt; 200; average number of badges = Divide (Count(Id), Count(DisplayName))</t>
  </si>
  <si>
    <t>ผู้ใช้ที่มีการดูมากกว่า 200 ครั้งหมายถึงการดู &gt; 200; จำนวนป้ายโดยเฉลี่ย = หาร (นับ(Id), นับ(ชื่อที่แสดง))</t>
  </si>
  <si>
    <t>SELECT CAST(COUNT(T1.Id) AS REAL) / COUNT(DISTINCT T2.DisplayName) FROM badges AS T1 INNER JOIN users AS T2 ON T1.UserId = T2.Id WHERE T2.Views &gt; 200</t>
  </si>
  <si>
    <t>Among the posts with a score of over 5, what is the percentage of them being owned by an elder user?</t>
  </si>
  <si>
    <t>score of over 5 refers to Score &gt; 5; elder user refers to Age &gt; 65; percentage = Divide (Count(Id where Age&gt;65), Count(Id)) * 100</t>
  </si>
  <si>
    <t>คะแนนมากกว่า 5 หมายถึง คะแนน &gt; 5; ผู้ใช้ที่มีอายุมากกว่าหมายถึงอายุ&gt; 65; เปอร์เซ็นต์ = หาร (นับ(Id โดยที่อายุ&gt;65), นับ(Id)) * 100</t>
  </si>
  <si>
    <t>SELECT CAST(SUM(IIF(T2.Age &gt; 65, 1, 0)) AS REAL) * 100 / COUNT(T1.Id) FROM posts AS T1 INNER JOIN users AS T2 ON T1.OwnerUserId = T2.Id WHERE T1.Score &gt; 5</t>
  </si>
  <si>
    <t>How many votes did the user No.58 take on 2010/7/19?</t>
  </si>
  <si>
    <t>user no. 58 refers to UserId = 58; on 2010/7/19 refers to CreationDate = '2010-07-19'</t>
  </si>
  <si>
    <t>หมายเลขผู้ใช้ 58 หมายถึง UserId = 58; ในวันที่ 7 กันยายน 2553 หมายถึง CreationDate = '2010-07-19'</t>
  </si>
  <si>
    <t>SELECT COUNT(Id) FROM votes WHERE UserId = 58 AND CreationDate = '2010-07-19'</t>
  </si>
  <si>
    <t>Indicate the creation date of the maximum number of votes.</t>
  </si>
  <si>
    <t>the creation date of the maximum number of votes refers to CreationDate where Max(Count(Id))</t>
  </si>
  <si>
    <t>วันที่สร้างจำนวนโหวตสูงสุดหมายถึง CreationDate โดยที่ Max(Count(Id))</t>
  </si>
  <si>
    <t>SELECT CreationDate FROM votes GROUP BY CreationDate ORDER BY COUNT(Id) DESC LIMIT 1</t>
  </si>
  <si>
    <t>Give the number of "Revival" badges.</t>
  </si>
  <si>
    <t>number refers to Id; 'Revival' is the Name of badge</t>
  </si>
  <si>
    <t>หมายเลขหมายถึงรหัส; 'Revival' คือชื่อของตราสัญลักษณ์</t>
  </si>
  <si>
    <t>SELECT COUNT(Id) FROM badges WHERE Name = 'Revival'</t>
  </si>
  <si>
    <t>What is the title for the post which got the highest score comment?</t>
  </si>
  <si>
    <t>highest score comment refers to Max(comments.Score)</t>
  </si>
  <si>
    <t>ความคิดเห็นที่ได้คะแนนสูงสุดหมายถึง Max(comments.Score)</t>
  </si>
  <si>
    <t>SELECT Title FROM posts WHERE Id = ( SELECT PostId FROM comments ORDER BY Score DESC LIMIT 1 )</t>
  </si>
  <si>
    <t>For the post which got 1910 view counts, how many comments does it get?</t>
  </si>
  <si>
    <t>SELECT COUNT(T1.Id) FROM posts AS T1 INNER JOIN comments AS T2 ON T1.Id = T2.PostId WHERE T1.ViewCount = 1910</t>
  </si>
  <si>
    <t>User No.3025 gave a comment at 20:29:39 on 2014/4/23 to a post, how many favorite counts did that post get?</t>
  </si>
  <si>
    <t>user no. 3025 refers to UserId = '3025'; comment at 20:29:39 on 2014/4/23 refers to CreationDate = '2014/4/23 20:29:39.0'</t>
  </si>
  <si>
    <t>หมายเลขผู้ใช้ 3025 หมายถึง UserId = '3025'; ความคิดเห็นที่ 20:29:39 บน 23/4/2014 หมายถึง CreationDate = '23/4/2014 20:29:39.0'</t>
  </si>
  <si>
    <t>SELECT T1.FavoriteCount FROM posts AS T1 INNER JOIN comments AS T2 ON T1.Id = T2.PostId WHERE T2.CreationDate = '2014-04-23 20:29:39.0' AND T2.UserId = 3025</t>
  </si>
  <si>
    <t>Give the only one comment text of the post with parent id 107829.</t>
  </si>
  <si>
    <t>one comment refers to CommentCount = '1'</t>
  </si>
  <si>
    <t>หนึ่งความคิดเห็นอ้างถึง CommentCount = '1'</t>
  </si>
  <si>
    <t>SELECT T2.Text FROM posts AS T1 INNER JOIN comments AS T2 ON T1.Id = T2.PostId WHERE T1.ParentId = 107829 AND T1.CommentCount = 1</t>
  </si>
  <si>
    <t>User No.23853 gave a comment to a post at 9:08:18 on 2013/7/12, was that post well-finished?</t>
  </si>
  <si>
    <t>user no. 23853 refers to UserId = '23853'; at 9:08:18 on 2013/7/12 refers to CreationDate = '2013-07-12 09:08:18.0'; not well-finished refers to ClosedDate IS NULL and vice versa</t>
  </si>
  <si>
    <t>หมายเลขผู้ใช้ 23853 หมายถึง UserId = '23853'; เมื่อเวลา 9:08:18 น. วันที่ 7/7/2556 อ้างถึง CreationDate = '2013-07-12 09:08:18.0'; ไม่เสร็จเรียบร้อยหมายถึง ClosedDate IS NULL และในทางกลับกัน</t>
  </si>
  <si>
    <t>SELECT IIF(T2.ClosedDate IS NULL, 'NOT well-finished', 'well-finished') AS resylt FROM comments AS T1 INNER JOIN posts AS T2 ON T1.PostId = T2.Id WHERE T1.UserId = 23853 AND T1.CreationDate = '2013-07-12 09:08:18.0'</t>
  </si>
  <si>
    <t>For the owner user of post No. 65041, what is his/her reputation points?</t>
  </si>
  <si>
    <t>post no. 65041 refers to Id = '65041'; reputation point refers to Reputation</t>
  </si>
  <si>
    <t>หมายเลขโพสต์ 65041 หมายถึง Id = '65041'; คะแนนชื่อเสียงหมายถึงชื่อเสียง</t>
  </si>
  <si>
    <t>SELECT T1.Reputation FROM users AS T1 INNER JOIN posts AS T2 ON T1.Id = T2.OwnerUserId WHERE T2.Id = 65041</t>
  </si>
  <si>
    <t>For the user with the display name of "Tiago Pasqualini", how many posts did he/she own?</t>
  </si>
  <si>
    <t>"Tiago Pasqualini" is the DisplayName;</t>
  </si>
  <si>
    <t>"Tiago Pasqualini" คือชื่อที่แสดง;</t>
  </si>
  <si>
    <t>SELECT COUNT(T1.Id) FROM users AS T1 INNER JOIN posts AS T2 ON T1.Id = T2.OwnerUserId WHERE T1.DisplayName = 'Tiago Pasqualini'</t>
  </si>
  <si>
    <t>Provide the display name of the user who made the vote No.6347.</t>
  </si>
  <si>
    <t>vote no. 6347 refers to Id = '6347'</t>
  </si>
  <si>
    <t>โหวตหมายเลข 6347 หมายถึง Id = '6347'</t>
  </si>
  <si>
    <t>SELECT T1.DisplayName FROM users AS T1 INNER JOIN votes AS T2 ON T1.Id = T2.UserId WHERE T2.Id = 6347</t>
  </si>
  <si>
    <t>Give the number of votes for the post about data visualization.</t>
  </si>
  <si>
    <t>About data visualization is the Title that contains 'data visualization';</t>
  </si>
  <si>
    <t>เกี่ยวกับการแสดงภาพข้อมูลเป็นชื่อที่มี 'การแสดงภาพข้อมูล';</t>
  </si>
  <si>
    <t>SELECT COUNT(T1.Id) FROM posts AS T1 INNER JOIN votes AS T2 ON T1.Id = T2.PostId WHERE T1.Title LIKE '%data visualization%'</t>
  </si>
  <si>
    <t>For the user whose display name is "DatEpicCoderGuyWhoPrograms", what is his/her badge's name?</t>
  </si>
  <si>
    <t>"DatEpicCoderGuyWhoPrograms" is the DisplayName;</t>
  </si>
  <si>
    <t>"DatEpicCoderGuyWhoPrograms" คือชื่อที่แสดง</t>
  </si>
  <si>
    <t>SELECT T2.Name FROM users AS T1 INNER JOIN badges AS T2 ON T1.Id = T2.UserId WHERE T1.DisplayName = 'DatEpicCoderGuyWhoPrograms'</t>
  </si>
  <si>
    <t>For the user No.24, how many times is the number of his/her posts compared to his/her votes?</t>
  </si>
  <si>
    <t>user no. 24 refers to UserId = OwnerUserId = '24'; times of his/her post than votes = Divide (Count(post.Id), Count(votes.Id))</t>
  </si>
  <si>
    <t>หมายเลขผู้ใช้ 24 หมายถึง UserId = OwnerUserId = '24'; จำนวนครั้งที่โพสต์มากกว่าโหวต = หาร (นับ(post.Id), นับ(votes.Id))</t>
  </si>
  <si>
    <t>SELECT CAST(COUNT(T2.Id) AS REAL) / COUNT(DISTINCT T1.Id) FROM votes AS T1 INNER JOIN posts AS T2 ON T1.UserId = T2.OwnerUserId WHERE T1.UserId = 24</t>
  </si>
  <si>
    <t>How many views did the post titled 'Integration of Weka and/or RapidMiner into Informatica PowerCenter/Developer' get?</t>
  </si>
  <si>
    <t>"Integration of Weka and/or RapidMiner into Informatica PowerCenter/Developer" is the Title of post; views refers to ViewCount</t>
  </si>
  <si>
    <t>"การบูรณาการ Weka และ/หรือ RapidMiner เข้ากับ Informatica PowerCenter/Developer" เป็นหัวข้อของโพสต์ มุมมองหมายถึง ViewCount</t>
  </si>
  <si>
    <t>SELECT ViewCount FROM posts WHERE Title = 'Integration of Weka and/or RapidMiner into Informatica PowerCenter/Developer'</t>
  </si>
  <si>
    <t>Write the contents of comments with a score of 17.</t>
  </si>
  <si>
    <t>score of 17 refers to Score = 17; contents of comments refers to Text</t>
  </si>
  <si>
    <t>คะแนน 17 หมายถึง คะแนน = 17; เนื้อหาของความคิดเห็นหมายถึงข้อความ</t>
  </si>
  <si>
    <t>SELECT Text FROM comments WHERE Score = 17</t>
  </si>
  <si>
    <t>Which user has the website URL listed at 'http://stackoverflow.com'</t>
  </si>
  <si>
    <t>"http://stackoverflow.com" is the WebsiteUrl; user refers to DisplayName</t>
  </si>
  <si>
    <t>"http://stackoverflow.com" คือ URL ของเว็บไซต์ ผู้ใช้อ้างถึง DisplayName</t>
  </si>
  <si>
    <t>SELECT DisplayName FROM users WHERE WebsiteUrl = 'http://stackoverflow.com'</t>
  </si>
  <si>
    <t>What is the badge name that user 'SilentGhost' obtained?</t>
  </si>
  <si>
    <t>"SilentGhost" is the DisplayName of user;</t>
  </si>
  <si>
    <t>"SilentGhost" คือชื่อที่แสดงของผู้ใช้</t>
  </si>
  <si>
    <t>SELECT T2.Name FROM users AS T1 INNER JOIN badges AS T2 ON T1.Id = T2.UserId WHERE T1.DisplayName = 'SilentGhost'</t>
  </si>
  <si>
    <t>Name the user that commented 'thank you user93!'</t>
  </si>
  <si>
    <t>"thank you user93" is the Text of comment; user refers to DisplayName</t>
  </si>
  <si>
    <t>"ขอบคุณ user93" คือข้อความแสดงความคิดเห็น ผู้ใช้อ้างถึง DisplayName</t>
  </si>
  <si>
    <t>SELECT T1.DisplayName FROM users AS T1 INNER JOIN comments AS T2 ON T1.Id = T2.UserId WHERE T2.Text = 'thank you user93!'</t>
  </si>
  <si>
    <t>Write all comments made by user 'A Lion.'</t>
  </si>
  <si>
    <t>"A Lion" is the DisplayName of user; comment refers to Text</t>
  </si>
  <si>
    <t>"A Lion" คือชื่อที่แสดงของผู้ใช้ ความคิดเห็นหมายถึงข้อความ</t>
  </si>
  <si>
    <t>SELECT T2.Text FROM users AS T1 INNER JOIN comments AS T2 ON T1.Id = T2.UserId WHERE T1.DisplayName = 'A Lion'</t>
  </si>
  <si>
    <t>Which user made a post titled 'Understanding what Dassault iSight is doing?' and how much is the reputation of the user?</t>
  </si>
  <si>
    <t>"Understanding what Dassault iSight is doing?" is the Title of post; user refers to DisplayName;</t>
  </si>
  <si>
    <t>"ทำความเข้าใจว่า Dassault iSight กำลังทำอะไรอยู่?" คือชื่อเรื่องของโพสต์; ผู้ใช้อ้างถึง DisplayName;</t>
  </si>
  <si>
    <t>SELECT T1.DisplayName, T1.Reputation FROM users AS T1 INNER JOIN posts AS T2 ON T1.Id = T2.OwnerUserId WHERE T2.Title = 'Understanding what Dassault iSight is doing?'</t>
  </si>
  <si>
    <t>Write all comments made on the post titled 'How does gentle boosting differ from AdaBoost?'</t>
  </si>
  <si>
    <t>"How does gentle boosting differ from AdaBoost?" is the Title of post; comments refers to Text</t>
  </si>
  <si>
    <t>"การเสริมพลังอย่างอ่อนโยนแตกต่างจาก AdaBoost อย่างไร" คือชื่อเรื่องของโพสต์; ความคิดเห็นหมายถึงข้อความ</t>
  </si>
  <si>
    <t>SELECT T1.Text FROM comments AS T1 INNER JOIN posts AS T2 ON T1.PostId = T2.Id WHERE T2.Title = 'How does gentle boosting differ from AdaBoost?'</t>
  </si>
  <si>
    <t>Name 10 users with the badge name 'Necromancer.'</t>
  </si>
  <si>
    <t>"Necromancer" is the Name of badge; users refers to DisplayName</t>
  </si>
  <si>
    <t>"เนโครแมนเซอร์" คือชื่อของตรา; ผู้ใช้หมายถึง DisplayName</t>
  </si>
  <si>
    <t>SELECT T1.DisplayName FROM users AS T1 INNER JOIN badges AS T2 ON T1.Id = T2.UserId WHERE T2.Name = 'Necromancer' LIMIT 10</t>
  </si>
  <si>
    <t>Who is the editor of the post titled 'Open source tools for visualizing multi-dimensional data?'</t>
  </si>
  <si>
    <t>Open source tools for visualizing multi-dimensional data' is the Title of Post; editor refers to DisplayName;</t>
  </si>
  <si>
    <t>เครื่องมือโอเพ่นซอร์สสำหรับการแสดงภาพข้อมูลหลายมิติ' คือชื่อของโพสต์ ตัวแก้ไขอ้างถึง DisplayName;</t>
  </si>
  <si>
    <t>SELECT T2.DisplayName FROM posts AS T1 INNER JOIN users AS T2 ON T1.OwnerUserId = T2.Id WHERE T1.Title = 'Open source tools for visualizing multi-dimensional data?'</t>
  </si>
  <si>
    <t>List the title of posts which were edited by Vebjorn Ljosa.</t>
  </si>
  <si>
    <t>"Vebjorn Ljosa" is the DisplayName; last edited refers to LastEditorUserId</t>
  </si>
  <si>
    <t>"Vebjorn Ljosa" คือชื่อที่แสดง แก้ไขล่าสุดหมายถึง LastEditorUserId</t>
  </si>
  <si>
    <t>SELECT T1.Title FROM posts AS T1 INNER JOIN users AS T2 ON T1.OwnerUserId = T2.Id WHERE T2.DisplayName = 'Vebjorn Ljosa'</t>
  </si>
  <si>
    <t>What is the total score of the posts edited by Yevgeny and include the user's website URL.</t>
  </si>
  <si>
    <t>"Yevgeny" is the DisplayName; edited refers to LastEditorUserId</t>
  </si>
  <si>
    <t>"Yevgeny" คือชื่อที่แสดง แก้ไขหมายถึง LastEditorUserId</t>
  </si>
  <si>
    <t>SELECT SUM(T1.Score), T2.WebsiteUrl FROM posts AS T1 INNER JOIN users AS T2 ON T1.LastEditorUserId = T2.Id WHERE T2.DisplayName = 'Yevgeny' GROUP BY T2.WebsiteUrl</t>
  </si>
  <si>
    <t>Write all the comments left by users who edited the post titled 'Why square the difference instead of taking the absolute value in standard deviation?'</t>
  </si>
  <si>
    <t>"Why square the difference instead of taking the absolute value in standard deviation?" is the Title of post;</t>
  </si>
  <si>
    <t>"ทำไมต้องยกกำลังสองส่วนต่างแทนที่จะเอาค่าสัมบูรณ์เป็นส่วนเบี่ยงเบนมาตรฐาน" คือชื่อเรื่องของโพสต์;</t>
  </si>
  <si>
    <t>SELECT T2.Comment FROM posts AS T1 INNER JOIN postHistory AS T2 ON T1.Id = T2.PostId WHERE T1.Title = 'Why square the difference instead of taking the absolute value in standard deviation?'</t>
  </si>
  <si>
    <t>How much is the total bounty amount of the post titled about 'data'</t>
  </si>
  <si>
    <t>About data means the title contains 'data'; total bounty Amount refers to Sum(BountyAmount)</t>
  </si>
  <si>
    <t>เกี่ยวกับข้อมูล หมายถึงชื่อที่มี 'ข้อมูล'; จำนวนค่าหัวรวมหมายถึงผลรวม (จำนวนค่าหัว)</t>
  </si>
  <si>
    <t>SELECT SUM(T2.BountyAmount) FROM posts AS T1 INNER JOIN votes AS T2 ON T1.Id = T2.PostId WHERE T1.Title LIKE '%data%'</t>
  </si>
  <si>
    <t>Which user added a bounty amount of 50 to the post title mentioning variance?</t>
  </si>
  <si>
    <t>bounty amount of 50 refers to BountyAmount = 50; user refers to DisplayName; title mentioning variance refers to Title include 'variance'</t>
  </si>
  <si>
    <t>ค่าหัว 50 หมายถึง BountyAmount = 50; ผู้ใช้อ้างถึง DisplayName; ชื่อเรื่องที่กล่าวถึงความแปรปรวนหมายถึงชื่อเรื่องรวมถึง 'ความแปรปรวน'</t>
  </si>
  <si>
    <t>SELECT T3.DisplayName, T1.Title FROM posts AS T1 INNER JOIN votes AS T2 ON T1.Id = T2.PostId INNER JOIN users AS T3 ON T3.Id = T2.UserId WHERE T2.BountyAmount = 50 AND T1.Title LIKE '%variance%'</t>
  </si>
  <si>
    <t>Calculate the average view count of each post tagged as 'humor' and list the title and the comment of each post.</t>
  </si>
  <si>
    <t>tagged as  'humor' refers to tag = '&lt;humor&gt;'; comment of the post refers to Text; average view count = AVG(ViewCount)</t>
  </si>
  <si>
    <t>แท็กเป็น 'อารมณ์ขัน' หมายถึง tag = '&lt;อารมณ์ขัน&gt;'; ความคิดเห็นของโพสต์หมายถึงข้อความ จำนวนการดูเฉลี่ย = AVG(ViewCount)</t>
  </si>
  <si>
    <t xml:space="preserve">SELECT AVG(T2.ViewCount), T2.Title, T1.Text FROM comments AS T1 INNER JOIN posts AS T2 ON T2.Id = T1.PostId  WHERE T2.Tags = '&lt;humor&gt;' GROUP BY T2.Title, T1.Text </t>
  </si>
  <si>
    <t>Give the total number of comments posted by user ID 13.</t>
  </si>
  <si>
    <t>SELECT COUNT(Id) FROM comments WHERE UserId = 13</t>
  </si>
  <si>
    <t>Which user ID has the highest reputation?</t>
  </si>
  <si>
    <t>highest reputation refers to Max(Reputation)</t>
  </si>
  <si>
    <t>ชื่อเสียงสูงสุดหมายถึงแม็กซ์ (ชื่อเสียง)</t>
  </si>
  <si>
    <t>SELECT Id FROM users WHERE Reputation = ( SELECT MAX(Reputation) FROM users )</t>
  </si>
  <si>
    <t>Which user ID has the lowest view?</t>
  </si>
  <si>
    <t>lowest views refers to Min(Views)</t>
  </si>
  <si>
    <t>มุมมองต่ำสุดหมายถึงขั้นต่ำ (การดู)</t>
  </si>
  <si>
    <t>SELECT Id FROM users WHERE Views = ( SELECT MIN(Views) FROM users )</t>
  </si>
  <si>
    <t>How many users are awarded with supporter badge during year 2011?</t>
  </si>
  <si>
    <t>"Supporter" is the Name of badge; in year 2011 refers to year(Date) = 2011</t>
  </si>
  <si>
    <t>"ผู้สนับสนุน" คือชื่อของตรา; ในปี 2554 หมายถึง ปี (วันที่) = 2554</t>
  </si>
  <si>
    <t>SELECT COUNT(Id) FROM badges WHERE STRFTIME('%Y', Date) = '2011' AND Name = 'Supporter'</t>
  </si>
  <si>
    <t>How many users are awarded with more than 5 badges?</t>
  </si>
  <si>
    <t>more than 5 badges refers to Count (Name) &gt; 5; user refers to UserId</t>
  </si>
  <si>
    <t>มากกว่า 5 ป้าย หมายถึง จำนวน (ชื่อ) &gt; 5; ผู้ใช้หมายถึง UserId</t>
  </si>
  <si>
    <t>SELECT COUNT(UserId) FROM ( SELECT UserId, COUNT(Name) AS num FROM badges GROUP BY UserId ) T WHERE T.num &gt; 5</t>
  </si>
  <si>
    <t>How many users from New York have a teacher and supporter badge?</t>
  </si>
  <si>
    <t>"Supporter" and "Teachers" are both Name of badge; 'New York' is the Location; user refers to UserId</t>
  </si>
  <si>
    <t>"ผู้สนับสนุน" และ "ครู" เป็นชื่อตราสัญลักษณ์ทั้งคู่ 'นิวยอร์ก' คือที่ตั้ง; ผู้ใช้หมายถึง UserId</t>
  </si>
  <si>
    <t>SELECT COUNT(DISTINCT T1.Id) FROM badges AS T1 INNER JOIN users AS T2 ON T1.UserId = T2.Id WHERE T1.Name IN ('Supporter', 'Teacher') AND T2.Location = 'New York'</t>
  </si>
  <si>
    <t>Which user created post ID 1 and what is the reputation of this user?</t>
  </si>
  <si>
    <t>SELECT T2.Id, T2.Reputation FROM comments AS T1 INNER JOIN users AS T2 ON T1.UserId = T2.Id WHERE T1.PostId = 1</t>
  </si>
  <si>
    <t>Which user have only one post history per post and having at least 1000 views?</t>
  </si>
  <si>
    <t>having at least 1000 view refers to Views &gt; = 1000; user refers to UserId</t>
  </si>
  <si>
    <t>การดูอย่างน้อย 1,000 ครั้งหมายถึงการดู &gt; = 1,000; ผู้ใช้หมายถึง UserId</t>
  </si>
  <si>
    <t>SELECT T2.UserId FROM users AS T1 INNER JOIN postHistory AS T2 ON T1.Id = T2.UserId INNER JOIN posts AS T3 ON T2.PostId = T3.Id WHERE T3.ViewCount &gt;= 1000 GROUP BY T2.UserId HAVING COUNT(DISTINCT T2.PostHistoryTypeId) = 1</t>
  </si>
  <si>
    <t>Which users have posted the most comments. List out the user's badge?</t>
  </si>
  <si>
    <t>user with the most comments refers to UserId where Max(Count(Id)</t>
  </si>
  <si>
    <t>ผู้ใช้ที่มีความคิดเห็นมากที่สุดหมายถึง UserId โดยที่ Max(Count(Id)</t>
  </si>
  <si>
    <t>SELECT Name FROM badges AS T1 INNER JOIN comments AS T2 ON T1.UserId = t2.UserId GROUP BY T2.UserId ORDER BY COUNT(T2.UserId) DESC LIMIT 1</t>
  </si>
  <si>
    <t>How many users from India have the teacher badges?</t>
  </si>
  <si>
    <t>"India" is the Location; "Teacher" is the Name of badge</t>
  </si>
  <si>
    <t>"อินเดีย" คือที่ตั้ง “ครู” คือชื่อตราสัญลักษณ์</t>
  </si>
  <si>
    <t>SELECT COUNT(T1.Id) FROM badges AS T1 INNER JOIN users AS T2 ON T1.UserId = T2.Id WHERE T2.Location = 'India' AND T1.Name = 'Teacher'</t>
  </si>
  <si>
    <t>What is the percentage difference of student badges given during 2010 and 2011?</t>
  </si>
  <si>
    <t>student badges refers to badge's name = 'Student'; during 2010 refers to Year(Date) = 2010; during 2011 refers to Year(Date) = 2011; percentage difference = Subtract (Divide(Count(Name where Year(Date) = 2010), Count (Name)) *100, Divide(Count(Name where Year(Date) = 2011), Count(Name)) * 100)</t>
  </si>
  <si>
    <t>ป้ายชื่อนักเรียน หมายถึง ชื่อป้าย = 'นักเรียน'; ในระหว่างปี 2553 หมายถึง ปี(วันที่) = 2553; ในระหว่างปี 2554 หมายถึง ปี(วันที่) = 2554; เปอร์เซ็นต์ผลต่าง = ลบ (หาร(นับ(ชื่อโดยที่ปี(วันที่) = 2010), นับ (ชื่อ)) *100, หาร(นับ(ชื่อโดยที่ปี(วันที่) = 2011), นับ(ชื่อ)) * 100)</t>
  </si>
  <si>
    <t>SELECT CAST(SUM(IIF(STRFTIME('%Y', Date) = '2010', 1, 0)) AS REAL) * 100 / COUNT(Id) - CAST(SUM(IIF(STRFTIME('%Y', Date) = '2011', 1, 0)) AS REAL) * 100 / COUNT(Id) FROM badges WHERE Name = 'Student'</t>
  </si>
  <si>
    <t>What are the post history type IDs for post ID 3720 and how many unique users have commented on the post?</t>
  </si>
  <si>
    <t>SELECT T1.PostHistoryTypeId, (SELECT COUNT(DISTINCT UserId) FROM comments WHERE PostId = 3720) AS NumberOfUsers FROM postHistory AS T1 WHERE T1.PostId = 3720</t>
  </si>
  <si>
    <t>List out all post that are related to post ID 61217 and what is the popularity of this post?</t>
  </si>
  <si>
    <t>post related refers to RelatedPostId; popularity refers to ViewCount</t>
  </si>
  <si>
    <t>โพสต์ที่เกี่ยวข้องหมายถึง RelatedPostId; ความนิยมหมายถึง ViewCount</t>
  </si>
  <si>
    <t>SELECT T1.ViewCount FROM posts AS T1 INNER JOIN postLinks AS T2 ON T1.Id = T2.PostId WHERE T2.PostId = 61217</t>
  </si>
  <si>
    <t>What is the score and the link type ID for post ID 395?</t>
  </si>
  <si>
    <t>SELECT T1.Score, T2.LinkTypeId FROM posts AS T1 INNER JOIN postLinks AS T2 ON T1.Id = T2.PostId WHERE T2.PostId = 395</t>
  </si>
  <si>
    <t>List out all post ID with score more than 60 and list out all the user ID that created these post.</t>
  </si>
  <si>
    <t>score more than 60 refers to Score &gt; 60</t>
  </si>
  <si>
    <t>คะแนนมากกว่า 60 หมายถึง คะแนน &gt; 60</t>
  </si>
  <si>
    <t>SELECT PostId, UserId FROM postHistory WHERE PostId IN ( SELECT Id FROM posts WHERE Score &gt; 60 )</t>
  </si>
  <si>
    <t>What is the sum of favourite count gained by user ID 686 in 2011?</t>
  </si>
  <si>
    <t>in 2011 refers to year (CreatinDate) = 2011</t>
  </si>
  <si>
    <t>ในปี 2554 หมายถึง ปี (CreatinDate) = 2554</t>
  </si>
  <si>
    <t>SELECT SUM(DISTINCT FavoriteCount) FROM posts WHERE Id IN ( SELECT PostId FROM postHistory WHERE UserId = 686 AND STRFTIME('%Y', CreationDate) = '2011' )</t>
  </si>
  <si>
    <t>What is the average of the up votes and the average user age for users creating more than 10 posts?</t>
  </si>
  <si>
    <t>creating more than 10 post refers to Count (UserId) &gt; 10; average of the up votes = Divide (Sum(UpVotes), Count (UserId)); average age = Divide (Sum(Age), Count(UserId))</t>
  </si>
  <si>
    <t>การสร้างมากกว่า 10 โพสต์หมายถึงการนับ (UserId) &gt; 10; ค่าเฉลี่ยของคะแนนโหวตสูงสุด = หาร (ผลรวม (โหวตเพิ่ม), จำนวน (รหัสผู้ใช้)); อายุเฉลี่ย = หาร (ผลรวม (อายุ), จำนวน (รหัสผู้ใช้))</t>
  </si>
  <si>
    <t>SELECT AVG(T1.UpVotes), AVG(T1.Age) FROM users AS T1 INNER JOIN ( SELECT OwnerUserId, COUNT(*) AS post_count FROM posts GROUP BY OwnerUserId HAVING post_count &gt; 10) AS T2 ON T1.Id = T2.OwnerUserId</t>
  </si>
  <si>
    <t>How many users obtained the "Announcer" badge?</t>
  </si>
  <si>
    <t>"Announcer" is the Name of badge; user refers to UserId</t>
  </si>
  <si>
    <t>"ผู้ประกาศ" คือชื่อของตราสัญลักษณ์ ผู้ใช้หมายถึง UserId</t>
  </si>
  <si>
    <t>SELECT COUNT(id) FROM badges WHERE Name = 'Announcer'</t>
  </si>
  <si>
    <t>List out the name of badges that users obtained on 7/19/2010 7:39:08 PM.</t>
  </si>
  <si>
    <t>on 7/19/2010 7:39:08 PM refers to Date = '2010-07-19 19:39:08.0'</t>
  </si>
  <si>
    <t>วันที่ 19/7/2553 19:39:08 น. อ้างถึง วันที่ = '2010-07-19 19:39:08.0'</t>
  </si>
  <si>
    <t>SELECT Name FROM badges WHERE Date = '2010-07-19 19:39:08.0'</t>
  </si>
  <si>
    <t>How many positive comments are there on the list?</t>
  </si>
  <si>
    <t>Positive comment refers to score &gt; 60</t>
  </si>
  <si>
    <t>ความคิดเห็นเชิงบวกหมายถึงคะแนน &gt; 60</t>
  </si>
  <si>
    <t>SELECT COUNT(id) FROM comments WHERE score &gt; 60</t>
  </si>
  <si>
    <t>State the detailed content of the comment which was created on 7/19/2010 7:25:47 PM.</t>
  </si>
  <si>
    <t>detailed content of the comment refers to Text; created on 7/19/2010 7:16:14 PM refers to CreationDate = '2010-07-19 19:16:14.0'</t>
  </si>
  <si>
    <t>เนื้อหาโดยละเอียดของความคิดเห็นอ้างถึงข้อความ สร้างเมื่อ 19/7/2553 19:16:14 น. หมายถึง CreationDate = '2010-07-19 19:16:14.0'</t>
  </si>
  <si>
    <t>SELECT Text FROM comments WHERE CreationDate = '2010-07-19 19:16:14.0'</t>
  </si>
  <si>
    <t>How many posts have a score of 10 on the list?</t>
  </si>
  <si>
    <t>score of 10 refers to Score = 10; post refers to Id</t>
  </si>
  <si>
    <t>คะแนน 10 หมายถึง คะแนน = 10; โพสต์อ้างถึงรหัส</t>
  </si>
  <si>
    <t>SELECT COUNT(id) FROM posts WHERE Score = 10</t>
  </si>
  <si>
    <t>What are the name of badge that users who have the highest reputation obtained?</t>
  </si>
  <si>
    <t>highest reputation refers to Max(Reputation); user refers to UserId</t>
  </si>
  <si>
    <t>ชื่อเสียงสูงสุดหมายถึง Max (ชื่อเสียง); ผู้ใช้หมายถึง UserId</t>
  </si>
  <si>
    <t>SELECT T2.name FROM users AS T1 INNER JOIN badges AS T2 ON T1.Id = T2.UserId ORDER BY T1.Reputation DESC LIMIT 1</t>
  </si>
  <si>
    <t>Mention the reputation of users who had obtained the badge on 7/19/2010 7:39:08 PM.</t>
  </si>
  <si>
    <t>SELECT T1.Reputation FROM users AS T1 INNER JOIN badges AS T2 ON T1.Id = T2.UserId WHERE T2.Date = '2010-07-19 19:39:08.0'</t>
  </si>
  <si>
    <t>What is the name of badge that the user whose display name is "Pierre" obtained?</t>
  </si>
  <si>
    <t>SELECT T2.Name FROM users AS T1 INNER JOIN badges AS T2 ON T1.Id = T2.UserId WHERE T1.DisplayName = 'Pierre'</t>
  </si>
  <si>
    <t>List out the dates that users who are located in Rochester, NY obtained their badges?</t>
  </si>
  <si>
    <t>"Rochester, NY" is the Location of user; user refers to UserId</t>
  </si>
  <si>
    <t>"Rochester, NY" คือสถานที่ตั้งของผู้ใช้ ผู้ใช้หมายถึง UserId</t>
  </si>
  <si>
    <t>SELECT T2.Date FROM users AS T1 INNER JOIN badges AS T2 ON T1.Id = T2.UserId WHERE T1.Location = 'Rochester, NY'</t>
  </si>
  <si>
    <t>Among the users who obtained the "Teacher" badge, calculate their percentage of users</t>
  </si>
  <si>
    <t>"Teacher" is the Name of badge;  percentage = Divide (Count(UserId where it's "Teacher"), Count(UserId)) * 100</t>
  </si>
  <si>
    <t>“อาจารย์” เป็นชื่อตราสัญลักษณ์  เปอร์เซ็นต์ = หาร (นับ (UserId โดยที่ "ครู"), นับ (UserId)) * 100</t>
  </si>
  <si>
    <t>SELECT CAST(COUNT(T1.Id) AS REAL) * 100 / (SELECT COUNT(Id) FROM users) FROM users AS T1 INNER JOIN badges AS T2 ON T1.Id = T2.UserId WHERE T2.Name = 'Teacher'</t>
  </si>
  <si>
    <t>Among the users who obtained the "Organizer" badges, calculate the percentage of users who are teenagers.</t>
  </si>
  <si>
    <t>"Organizer" is the Name of badge; teenager refers to Age BETWEEN 13 AND 18; percentage = Divide (Count(UserId where Age BETWEEN 13 AND 18), Count(UserId)) *100</t>
  </si>
  <si>
    <t>"ผู้จัดงาน" คือชื่อของตราสัญลักษณ์ วัยรุ่น หมายถึงอายุระหว่าง 13 ถึง 18 ปี เปอร์เซ็นต์ = หาร (นับ(UserId โดยที่อายุระหว่าง 13 และ 18), จำนวน (UserId)) *100</t>
  </si>
  <si>
    <t>SELECT CAST(SUM(IIF(T2.Age BETWEEN 13 AND 18, 1, 0)) AS REAL) * 100 / COUNT(T1.Id) FROM badges AS T1 INNER JOIN users AS T2 ON T1.UserId = T2.Id WHERE T1.`Name` = 'Organizer'</t>
  </si>
  <si>
    <t>What is the comment's rating score of the post which was created on 7/19/2010 7:19:56 PM</t>
  </si>
  <si>
    <t>created on 7/19/2010 7:19:56 PM refers to CreationDate = '2010-07-19 19:19:56.0'</t>
  </si>
  <si>
    <t>สร้างเมื่อ 19/7/2553 19:19:56 น. อ้างถึง CreationDate = '2010-07-19 19:19:56.0'</t>
  </si>
  <si>
    <t>SELECT T1.Score FROM comments AS T1 INNER JOIN posts AS T2 ON T1.PostId = T2.Id WHERE T1.CreationDate = '2010-07-19 19:19:56.0'</t>
  </si>
  <si>
    <t>What is the detailed content of the comment of the post which was created on 7/19/2010 7:37:33 PM?</t>
  </si>
  <si>
    <t>detailed content of the comment refers to Text; created on 7/19/2010 7:37:33 PM CreationDate = 2010-07-19 19:37:33.0'</t>
  </si>
  <si>
    <t>เนื้อหาโดยละเอียดของความคิดเห็นอ้างถึงข้อความ สร้างเมื่อ 19/7/2553 19:37:33 น. CreationDate = 2010-07-19 19:37:33.0'</t>
  </si>
  <si>
    <t>SELECT T1.Text FROM comments AS T1 INNER JOIN posts AS T2 ON T1.PostId = T2.Id WHERE T1.CreationDate = '2010-07-19 19:37:33.0'</t>
  </si>
  <si>
    <t>List out the age of users who located in Vienna, Austria obtained the badge?</t>
  </si>
  <si>
    <t>"Vienna, Austria" is the Location</t>
  </si>
  <si>
    <t>“เวียนนา ออสเตรีย” คือที่ตั้ง</t>
  </si>
  <si>
    <t>SELECT T1.Age FROM users AS T1 INNER JOIN badges AS T2 ON T1.Id = T2.UserId WHERE T1.Location = 'Vienna, Austria'</t>
  </si>
  <si>
    <t>How many adults who obtained the badge Supporter?</t>
  </si>
  <si>
    <t>Supporter is the Name of badge; adult refers to Age BETWEEN 19 AND 65</t>
  </si>
  <si>
    <t>ผู้สนับสนุนคือชื่อของตรา; ผู้ใหญ่หมายถึงอายุระหว่าง 19 ถึง 65 ปี</t>
  </si>
  <si>
    <t>SELECT COUNT(T1.Id) FROM users AS T1 INNER JOIN badges AS T2 ON T1.Id = T2.UserId WHERE T2.Name = 'Supporter' AND T1.Age BETWEEN 19 AND 65</t>
  </si>
  <si>
    <t>State the number of views of users who obtained the badge on 7/19/2010 7:39:08 PM.</t>
  </si>
  <si>
    <t>SELECT T1.Views FROM users AS T1 INNER JOIN badges AS T2 ON T1.Id = T2.UserId WHERE T2.Date = '2010-07-19 19:39:08.0'</t>
  </si>
  <si>
    <t>What are the name of badges that users who have the lowest reputation obtained?</t>
  </si>
  <si>
    <t>lowest reputation refers to Min(Reputation); user refers to UserId</t>
  </si>
  <si>
    <t>ชื่อเสียงที่ต่ำที่สุดหมายถึงขั้นต่ำ (ชื่อเสียง); ผู้ใช้หมายถึง UserId</t>
  </si>
  <si>
    <t>SELECT T2.Name FROM users AS T1 INNER JOIN badges AS T2 ON T1.Id = T2.UserId WHERE T1.Reputation = (SELECT MIN(Reputation) FROM users)</t>
  </si>
  <si>
    <t>State the name of badge that the user whose display name is "Sharpie" obtained.</t>
  </si>
  <si>
    <t>"Sharpie" is the DisplayName of user; user refers to UserId</t>
  </si>
  <si>
    <t>"Sharpie" คือชื่อที่แสดงของผู้ใช้ ผู้ใช้หมายถึง UserId</t>
  </si>
  <si>
    <t>SELECT T2.Name FROM users AS T1 INNER JOIN badges AS T2 ON T1.Id = T2.UserId WHERE T1.DisplayName = 'Sharpie'</t>
  </si>
  <si>
    <t>How many elders obtained the "Supporter" badge?</t>
  </si>
  <si>
    <t>"Supporter" is the Name of badge;  elders refers to Age &gt; 65</t>
  </si>
  <si>
    <t>"ผู้สนับสนุน" คือชื่อของตรา;  ผู้สูงอายุ หมายถึง อายุ &gt; 65 ปี</t>
  </si>
  <si>
    <t>SELECT COUNT(T1.Id) FROM users AS T1 INNER JOIN badges AS T2 ON T1.Id = T2.UserId WHERE T1.Age &gt; 65 AND T2.Name = 'Supporter'</t>
  </si>
  <si>
    <t>What is the name of user with the ID of 30?</t>
  </si>
  <si>
    <t>name of user refers to DisplayName;</t>
  </si>
  <si>
    <t>ชื่อผู้ใช้หมายถึง DisplayName;</t>
  </si>
  <si>
    <t>SELECT DisplayName FROM users WHERE Id = 30</t>
  </si>
  <si>
    <t>How many users were from New York?</t>
  </si>
  <si>
    <t>New York refers to Location;</t>
  </si>
  <si>
    <t>นิวยอร์กหมายถึงที่ตั้ง</t>
  </si>
  <si>
    <t>SELECT COUNT(Id) FROM users WHERE Location = 'New York'</t>
  </si>
  <si>
    <t>How many votes were made in 2010?</t>
  </si>
  <si>
    <t>YEAR(CreationDate) = 2010;</t>
  </si>
  <si>
    <t>ปี(วันที่สร้าง) = 2010;</t>
  </si>
  <si>
    <t>SELECT COUNT(id) FROM votes WHERE STRFTIME('%Y', CreationDate) = '2010'</t>
  </si>
  <si>
    <t>How many users were adult?</t>
  </si>
  <si>
    <t>adult refers to user where Age BETWEEN 19 and 65;</t>
  </si>
  <si>
    <t>ผู้ใหญ่หมายถึงผู้ใช้ที่มีอายุระหว่าง 19 ถึง 65 ปี</t>
  </si>
  <si>
    <t>SELECT COUNT(id) FROM users WHERE Age BETWEEN 19 AND 65</t>
  </si>
  <si>
    <t>Which users have the highest number of views?</t>
  </si>
  <si>
    <t>users have the highest number of views refer to DisplayName where MAX(Views);</t>
  </si>
  <si>
    <t>ผู้ใช้ที่มีจำนวนการดูสูงสุดหมายถึง DisplayName โดยที่ MAX(Views);</t>
  </si>
  <si>
    <t>SELECT Id, DisplayName FROM users WHERE Views = ( SELECT MAX(Views) FROM users )</t>
  </si>
  <si>
    <t>Calculate the ratio of votes in 2010 and 2011.</t>
  </si>
  <si>
    <t>DIVIDE(COUNT(Id where YEAR(CreationDate) = 2010), COUNT(Id where YEAR(CreationDate) = 2011)) FROM votes;</t>
  </si>
  <si>
    <t>DIVIDE(COUNT(Id โดยที่ YEAR(CreationDate) = 2010), COUNT(Id โดยที่ YEAR(CreationDate) = 2011)) FROM โหวต;</t>
  </si>
  <si>
    <t>SELECT CAST(SUM(IIF(STRFTIME('%Y', CreationDate) = '2010', 1, 0)) AS REAL) / SUM(IIF(STRFTIME('%Y', CreationDate) = '2011', 1, 0)) FROM votes</t>
  </si>
  <si>
    <t>What is the name of tags used by John Salvatier's?</t>
  </si>
  <si>
    <t>DisplayName = 'John Salvatier';</t>
  </si>
  <si>
    <t>DisplayName = 'จอห์น ซัลวาเทียร์';</t>
  </si>
  <si>
    <t>SELECT T3.Tags FROM users AS T1 INNER JOIN postHistory AS T2 ON T1.Id = T2.UserId INNER JOIN posts AS T3 ON T2.PostId = T3.Id WHERE T1.DisplayName = 'John Salvatier'</t>
  </si>
  <si>
    <t>How many posts were created by Daniel Vassallo?</t>
  </si>
  <si>
    <t>DisplayName = 'Daniel Vassallo';</t>
  </si>
  <si>
    <t>DisplayName = 'ดาเนียล วาสซัลโล';</t>
  </si>
  <si>
    <t>SELECT COUNT(T1.Id) FROM users AS T1 INNER JOIN postHistory AS T2 ON T1.Id = T2.UserId WHERE T1.DisplayName = 'Daniel Vassallo'</t>
  </si>
  <si>
    <t>How many votes were made by Harlan?</t>
  </si>
  <si>
    <t>DisplayName = 'Harlan';</t>
  </si>
  <si>
    <t>DisplayName = 'ฮาร์ลาน';</t>
  </si>
  <si>
    <t>SELECT COUNT(T1.Id) FROM users AS T1 INNER JOIN postHistory AS T2 ON T1.Id = T2.UserId INNER JOIN votes AS T3 ON T3.PostId = T2.PostId WHERE T1.DisplayName = 'Harlan'</t>
  </si>
  <si>
    <t>Which post by slashnick has the most answers count? State the post ID.</t>
  </si>
  <si>
    <t>most answers count refers to MAX(AnswerCount); post by slashnick refers to DisplayName = 'slashnick';</t>
  </si>
  <si>
    <t>จำนวนคำตอบส่วนใหญ่หมายถึง MAX(AnswerCount); โพสต์โดย slashnick อ้างถึง DisplayName = 'slashnick';</t>
  </si>
  <si>
    <t>SELECT T2.PostId FROM users AS T1 INNER JOIN postHistory AS T2 ON T1.Id = T2.UserId INNER JOIN posts AS T3 ON T2.PostId = T3.Id WHERE T1.DisplayName = 'slashnick' ORDER BY T3.AnswerCount DESC LIMIT 1</t>
  </si>
  <si>
    <t>Among posts by Harvey Motulsky and Noah Snyder, which one has higher popularity?</t>
  </si>
  <si>
    <t>Has higher popularity means the post has higher view count ; calculation = MAX(SUM(ViewCount)) where DisplayName = 'Harvey Motulsky' OR DisplayName = 'Noah Snyder';</t>
  </si>
  <si>
    <t>มีความนิยมสูงหมายถึงโพสต์มีจำนวนการดูสูงกว่า การคำนวณ = MAX(SUM(ViewCount)) โดยที่ DisplayName = 'Harvey Motulsky' หรือ DisplayName = 'Noah Snyder';</t>
  </si>
  <si>
    <t>SELECT T1.DisplayName FROM users AS T1 INNER JOIN postHistory AS T2 ON T1.Id = T2.UserId INNER JOIN posts AS T3 ON T2.PostId = T3.Id WHERE T1.DisplayName = 'Harvey Motulsky' OR T1.DisplayName = 'Noah Snyder' GROUP BY T1.DisplayName ORDER BY SUM(T3.ViewCount) DESC LIMIT 1</t>
  </si>
  <si>
    <t>How many posts by Matt Parker have more than 4 votes?</t>
  </si>
  <si>
    <t>more than 4 votes refer to PostId &gt; 4; DisplayName = 'Matt Parker';</t>
  </si>
  <si>
    <t>มากกว่า 4 โหวตอ้างถึง PostId &gt; 4; DisplayName = 'แมตต์ ปาร์คเกอร์';</t>
  </si>
  <si>
    <t>SELECT COUNT(T1.Id) FROM users AS T1 INNER JOIN postHistory AS T2 ON T1.Id = T2.UserId INNER JOIN posts AS T3 ON T2.PostId = T3.Id INNER JOIN votes AS T4 ON T4.PostId = T3.Id WHERE T1.DisplayName = 'Matt Parker' GROUP BY T2.PostId, T4.Id HAVING COUNT(T4.Id) &gt; 4</t>
  </si>
  <si>
    <t>How many negative comments did Neil McGuigan get in his posts?</t>
  </si>
  <si>
    <t>Negative comment refers to score &lt; 60; DisplayName = 'Neil McGuigan';</t>
  </si>
  <si>
    <t>ความคิดเห็นเชิงลบหมายถึงคะแนน &lt; 60; DisplayName = 'นีล แมคกิวแกน';</t>
  </si>
  <si>
    <t>SELECT COUNT(T3.Id) FROM users AS T1 INNER JOIN posts AS T2 ON T1.Id = T2.OwnerUserId INNER JOIN comments AS T3 ON T2.Id = T3.PostId WHERE T1.DisplayName = 'Neil McGuigan' AND T3.Score &lt; 60</t>
  </si>
  <si>
    <t>State all the tags used by Mark Meckes in his posts that doesn't have comments.</t>
  </si>
  <si>
    <t>used by Mark Meckes refers to DisplayName = 'Mark Meckes'; Doen't have comments refers to CommentCount = 0;</t>
  </si>
  <si>
    <t>ใช้โดย Mark Meckes หมายถึง DisplayName = 'Mark Meckes'; ไม่มีความคิดเห็นอ้างถึง CommentCount = 0;</t>
  </si>
  <si>
    <t>SELECT T3.Tags FROM users AS T1 INNER JOIN postHistory AS T2 ON T1.Id = T2.UserId INNER JOIN posts AS T3 ON T3.Id = T2.PostId WHERE T1.DisplayName = 'Mark Meckes' AND T3.CommentCount = 0</t>
  </si>
  <si>
    <t>List all the name of users that obtained the Organizer Badges.</t>
  </si>
  <si>
    <t>name of users refers to DisplayName; the Organizer Badges refer to badges where Name = 'Organizer';</t>
  </si>
  <si>
    <t>ชื่อของผู้ใช้หมายถึง DisplayName; ป้ายออแกไนเซอร์หมายถึงป้ายโดยที่ Name = 'Organizer';</t>
  </si>
  <si>
    <t>SELECT T1.DisplayName FROM users AS T1 INNER JOIN badges AS T2 ON T1.Id = T2.UserId WHERE T2.`Name` = 'Organizer'</t>
  </si>
  <si>
    <t>Based on posts posted by Community, calculate the percentage of posts that use the R language.</t>
  </si>
  <si>
    <t>DIVIDE(COUNT(PostId WHERE TagName = 'r')), (COUNT(PostId WHERE DisplayName = 'Community')) as percentage; R language refers to tagname = 'r'</t>
  </si>
  <si>
    <t>DIVIDE(COUNT(PostId WHERE TagName = 'r')), (COUNT(PostId WHERE DisplayName = 'Community')) เป็นเปอร์เซ็นต์; ภาษา R หมายถึง tagname = 'r'</t>
  </si>
  <si>
    <t>SELECT CAST(SUM(IIF(T3.TagName = 'r', 1, 0)) AS REAL) * 100 / COUNT(T1.Id) FROM users AS T1 INNER JOIN postHistory AS T2 ON T1.Id = T2.UserId INNER JOIN tags AS T3 ON T3.ExcerptPostId = T2.PostId WHERE T1.DisplayName = 'Community'</t>
  </si>
  <si>
    <t>Calculate the difference in view count from post posted by Mornington and view count from posts posted by Amos.</t>
  </si>
  <si>
    <t>calculation = SUBTRACT(SUM(ViewCount where DisplayName = 'Mornington'), SUM(ViewCount where DisplayName = 'Amos'));</t>
  </si>
  <si>
    <t>การคำนวณ = SUBTRACT(SUM(ViewCount โดยที่ DisplayName = 'Mornington'), SUM(ViewCount โดยที่ DisplayName = 'Amos'));</t>
  </si>
  <si>
    <t>SELECT SUM(IIF(T1.DisplayName = 'Mornington', T3.ViewCount, 0)) - SUM(IIF(T1.DisplayName = 'Amos', T3.ViewCount, 0)) AS diff FROM users AS T1 INNER JOIN postHistory AS T2 ON T1.Id = T2.UserId INNER JOIN posts AS T3 ON T3.Id = T2.PostId</t>
  </si>
  <si>
    <t>How many users received commentator badges in 2014?</t>
  </si>
  <si>
    <t>Commentator is the name of the badge; year(Date) = 2014;</t>
  </si>
  <si>
    <t>ผู้วิจารณ์คือชื่อของตรา; ปี(วันที่) = 2014;</t>
  </si>
  <si>
    <t>SELECT COUNT(Id) FROM badges WHERE Name = 'Commentator' AND STRFTIME('%Y', Date) = '2014'</t>
  </si>
  <si>
    <t>How many posts were created on 21st July, 2010?</t>
  </si>
  <si>
    <t>created on 21st July, 2010 refers to CreationDate BETWEEN '2010-07-21 00:00:00' and '2012-07-21 23:59:59';</t>
  </si>
  <si>
    <t>สร้างเมื่อวันที่ 21 กรกฎาคม 2010 หมายถึง CreationDate BETWEEN '2010-07-21 00:00:00' และ '2012-07-21 23:59:59';</t>
  </si>
  <si>
    <t>SELECT COUNT(id) FROM postHistory WHERE date(CreationDate) = '2010-07-21'</t>
  </si>
  <si>
    <t>What are the display names and ages of user who got the highest in views?</t>
  </si>
  <si>
    <t>the highest in views refers to MAX(Views);</t>
  </si>
  <si>
    <t>จำนวนการดูสูงสุดหมายถึง MAX(การดู)</t>
  </si>
  <si>
    <t>SELECT DisplayName, Age FROM users WHERE Views = ( SELECT MAX(Views) FROM users )</t>
  </si>
  <si>
    <t>Provide the last edit date and last edit user ID for the post "Detecting a given face in a database of facial images".</t>
  </si>
  <si>
    <t>Title = 'Detecting a given face in a database of facial images';</t>
  </si>
  <si>
    <t>Title = 'การตรวจจับใบหน้าที่กำหนดในฐานข้อมูลภาพใบหน้า';</t>
  </si>
  <si>
    <t>SELECT LastEditDate, LastEditorUserId FROM posts WHERE Title = 'Detecting a given face in a database of facial images'</t>
  </si>
  <si>
    <t>How many negative comments were given by user ID 13?</t>
  </si>
  <si>
    <t>negative comments refer to Score &lt; 60;</t>
  </si>
  <si>
    <t>ความคิดเห็นเชิงลบอ้างถึงคะแนน &lt; 60;</t>
  </si>
  <si>
    <t>SELECT COUNT(Id) FROM comments WHERE UserId = 13 AND Score &lt; 60</t>
  </si>
  <si>
    <t>Describe the post title which got positive comments and display names of the users who posted those comments.</t>
  </si>
  <si>
    <t>positive comments refer to Score &gt; 60;</t>
  </si>
  <si>
    <t>ความคิดเห็นเชิงบวกอ้างถึงคะแนน &gt; 60;</t>
  </si>
  <si>
    <t>SELECT T1.Title, T2.UserDisplayName FROM posts AS T1 INNER JOIN comments AS T2 ON T2.PostId = T2.Id WHERE T1.Score &gt; 60</t>
  </si>
  <si>
    <t>Provide the badge names received in 2011 for the user whose location is in the North Pole.</t>
  </si>
  <si>
    <t>received in 2011 refers to year(Date) = 2011;</t>
  </si>
  <si>
    <t>ได้รับในปี 2554 หมายถึง ปี(วันที่) = 2554;</t>
  </si>
  <si>
    <t>SELECT T2.Name FROM users AS T1 INNER JOIN badges AS T2 ON T1.Id = T2.UserId WHERE STRFTIME('%Y', T2.Date) = '2011' AND T1.Location = 'North Pole'</t>
  </si>
  <si>
    <t>Provide the users' display names and available website URLs of the post with favorite count of more than 150.</t>
  </si>
  <si>
    <t>favorite count of more than 150 refers to FavoriteCount &gt; 150;</t>
  </si>
  <si>
    <t>จำนวนรายการโปรดที่มากกว่า 150 หมายถึง FavoriteCount &gt; 150;</t>
  </si>
  <si>
    <t>SELECT T1.DisplayName, T1.WebsiteUrl FROM users AS T1 INNER JOIN posts AS T2 ON T1.Id = T2.OwnerUserId WHERE T2.FavoriteCount &gt; 150</t>
  </si>
  <si>
    <t>Describe the post history counts and last edit date of the post title "What is the best introductory Bayesian statistics textbook?"</t>
  </si>
  <si>
    <t>SELECT T1.Id, T2.LastEditDate FROM postHistory AS T1 INNER JOIN posts AS T2 ON T1.PostId = T2.Id WHERE T2.Title = 'What is the best introductory Bayesian statistics textbook?'</t>
  </si>
  <si>
    <t>Describe the last accessed date and location of the users who received the outliers badge.</t>
  </si>
  <si>
    <t>Outliers is the name of the badge;</t>
  </si>
  <si>
    <t>Outliers คือชื่อของตราสัญลักษณ์</t>
  </si>
  <si>
    <t>SELECT T1.LastAccessDate, T1.Location FROM users AS T1 INNER JOIN badges AS T2 ON T1.Id = T2.UserId WHERE T2.Name = 'outliers'</t>
  </si>
  <si>
    <t>Provide the related post title of "How to tell if something happened in a data set which monitors a value over time".</t>
  </si>
  <si>
    <t>SELECT T3.Title FROM postLinks AS T1 INNER JOIN posts AS T2 ON T1.PostId = T2.Id INNER JOIN posts AS T3 ON T1.RelatedPostId = T3.Id WHERE T2.Title = 'How to tell if something happened in a data set which monitors a value over time'</t>
  </si>
  <si>
    <t>List the post IDs and badge names of the user Samuel in 2013.</t>
  </si>
  <si>
    <t>Samuel refers to UserDisplayName; YEAR(CreationDate) = 2013 relates to PostId; YEAR(Date) = 2013 relates to the badge;</t>
  </si>
  <si>
    <t>ซามูเอลหมายถึง UserDisplayName; YEAR(CreationDate) = 2013 เกี่ยวข้องกับ PostId; YEAR(Date) = 2013 เกี่ยวข้องกับตรา;</t>
  </si>
  <si>
    <t>SELECT T1.PostId, T2.Name FROM postHistory AS T1 INNER JOIN badges AS T2 ON T1.UserId = T2.UserId WHERE T1.UserDisplayName = 'Samuel' AND STRFTIME('%Y', T1.CreationDate) = '2013' AND STRFTIME('%Y', T2.Date) = '2013'</t>
  </si>
  <si>
    <t>What is the owner's display name of the most popular post?</t>
  </si>
  <si>
    <t>Higher view count means the post has higher popularity; the most popular post refers to MAX(ViewCount);</t>
  </si>
  <si>
    <t>จำนวนการดูที่สูงขึ้นหมายถึงโพสต์นั้นได้รับความนิยมมากขึ้น โพสต์ยอดนิยมหมายถึง MAX(ViewCount);</t>
  </si>
  <si>
    <t>SELECT DisplayName FROM users WHERE Id = ( SELECT OwnerUserId FROM posts ORDER BY ViewCount DESC LIMIT 1 )</t>
  </si>
  <si>
    <t>Mention the display name and location of the user who owned the excerpt post with hypothesis-testing tag.</t>
  </si>
  <si>
    <t>user who owned the excerpt post with hypothesis-testing tag refers to OwnerUserId WHERE TagName = 'hypothesis-testing';</t>
  </si>
  <si>
    <t>ผู้ใช้ที่เป็นเจ้าของโพสต์ที่ตัดตอนมาซึ่งมีแท็กการทดสอบสมมติฐานอ้างอิงถึง OwnerUserId WHERE TagName = 'การทดสอบสมมติฐาน';</t>
  </si>
  <si>
    <t>SELECT T3.DisplayName, T3.Location FROM tags AS T1 INNER JOIN posts AS T2 ON T1.ExcerptPostId = T2.Id INNER JOIN users AS T3 ON T3.Id = T2.OwnerUserId WHERE T1.TagName = 'hypothesis-testing'</t>
  </si>
  <si>
    <t>Write down the related posts titles and link type IDs of the post "What are principal component scores?".</t>
  </si>
  <si>
    <t>Title = 'What are principal component scores?';</t>
  </si>
  <si>
    <t>Title = 'คะแนนองค์ประกอบหลักคืออะไร';</t>
  </si>
  <si>
    <t>SELECT T3.Title, T2.LinkTypeId FROM posts AS T1 INNER JOIN postLinks AS T2 ON T1.Id = T2.PostId INNER JOIN posts AS T3 ON T2.RelatedPostId = T3.Id WHERE T1.Title = 'What are principal component scores?'</t>
  </si>
  <si>
    <t>Describe the display name of the parent ID for child post with the highest score.</t>
  </si>
  <si>
    <t>If the parent id is not null, the post is the child post; the highest score refers to MAX(Score);</t>
  </si>
  <si>
    <t>หากรหัสพาเรนต์ไม่เป็นโมฆะ โพสต์จะเป็นโพสต์ย่อย คะแนนสูงสุดหมายถึง MAX (คะแนน);</t>
  </si>
  <si>
    <t>SELECT DisplayName FROM users WHERE Id = ( SELECT OwnerUserId FROM posts WHERE ParentId IS NOT NULL ORDER BY Score DESC LIMIT 1 )</t>
  </si>
  <si>
    <t>Under the vote type of 8, provide the display names and websites URLs of the user who got the highest bounty amount.</t>
  </si>
  <si>
    <t>vote type of 8 refers to VoteTypeId = 8; the highest bounty amount refers to MAX(BountyAmount);</t>
  </si>
  <si>
    <t>ประเภทการลงคะแนนเสียง 8 หมายถึง VoteTypeId = 8; ค่าหัวสูงสุดหมายถึง MAX(BountyAmount);</t>
  </si>
  <si>
    <t>SELECT DisplayName, WebsiteUrl FROM users WHERE Id = ( SELECT UserId FROM votes WHERE VoteTypeId = 8 ORDER BY BountyAmount DESC LIMIT 1 )</t>
  </si>
  <si>
    <t>What are the titles of the top 5 posts with the highest popularity?</t>
  </si>
  <si>
    <t>Higher view count means the post has higher popularity; the highest popularity refers to MAX(ViewCount);</t>
  </si>
  <si>
    <t>จำนวนการดูที่สูงขึ้นหมายถึงโพสต์นั้นได้รับความนิยมมากขึ้น ความนิยมสูงสุดหมายถึง MAX(ViewCount);</t>
  </si>
  <si>
    <t>SELECT Title FROM posts ORDER BY ViewCount DESC LIMIT 5</t>
  </si>
  <si>
    <t>How many tags have post count between 5,000 to 7,000?</t>
  </si>
  <si>
    <t>post count between 5,000 to 7,000 refers to Count BETWEEN 5000 and 7000;</t>
  </si>
  <si>
    <t>จำนวนโพสต์ระหว่าง 5,000 ถึง 7,000 หมายถึงจำนวนระหว่าง 5,000 ถึง 7,000</t>
  </si>
  <si>
    <t>SELECT COUNT(Id) FROM tags WHERE Count BETWEEN 5000 AND 7000</t>
  </si>
  <si>
    <t>What is the owner user id of the most valuable post?</t>
  </si>
  <si>
    <t>the most valuable post refers to MAX(FavoriteCount);</t>
  </si>
  <si>
    <t>โพสต์ที่มีค่าที่สุดหมายถึง MAX(FavoriteCount);</t>
  </si>
  <si>
    <t>SELECT OwnerUserId FROM posts WHERE FavoriteCount = ( SELECT MAX(FavoriteCount) FROM posts )</t>
  </si>
  <si>
    <t>How old is the most influential user?</t>
  </si>
  <si>
    <t>How old describes age; the most influential refers to user where MAX(Reputation);</t>
  </si>
  <si>
    <t>อายุเท่าไหร่บ่งบอกถึงอายุ ผู้ที่มีอิทธิพลมากที่สุดหมายถึงผู้ใช้โดยที่ MAX (ชื่อเสียง);</t>
  </si>
  <si>
    <t>SELECT Age FROM users WHERE Reputation = ( SELECT MAX(Reputation) FROM users )</t>
  </si>
  <si>
    <t>How many posts with votes that were created in 2011 have a bounty of 50?</t>
  </si>
  <si>
    <t>created in 2012 refers YEAR(CreationDate) = 2011; BountyAmount = 50;</t>
  </si>
  <si>
    <t>สร้างในปี 2555 หมายถึง YEAR (CreationDate) = 2011; จำนวนค่าหัว = 50;</t>
  </si>
  <si>
    <t>SELECT COUNT(T1.Id) FROM posts AS T1 INNER JOIN votes AS T2 ON T1.Id = T2.PostId WHERE T2.BountyAmount = 50 AND STRFTIME('%Y', T2.CreationDate) = '2011'</t>
  </si>
  <si>
    <t>What is the id of the youngest user?</t>
  </si>
  <si>
    <t>the youngest user refers to MIN(Age);</t>
  </si>
  <si>
    <t>ผู้ใช้ที่อายุน้อยที่สุดหมายถึง MIN(อายุ);</t>
  </si>
  <si>
    <t>SELECT Id FROM users WHERE Age = ( SELECT MIN(Age) FROM users )</t>
  </si>
  <si>
    <t>What is the sum of score of the post on 2010-07-19?</t>
  </si>
  <si>
    <t>on 2010-07-19 refers to LasActivityDate LIKE '2010-07-19%';</t>
  </si>
  <si>
    <t>บน 2010-07-19 หมายถึง LasActivityDate LIKE '2010-07-19%';</t>
  </si>
  <si>
    <t>SELECT SUM(Score) FROM posts WHERE LasActivityDate LIKE '2010-07-19%'</t>
  </si>
  <si>
    <t>What is the average monthly number of links created in 2010 for posts that have no more than 2 answers?</t>
  </si>
  <si>
    <t>calculation = DIVIDE(COUNT(Id where YEAR(CreationDate) = 2010 and AnswerCount &lt; = 2), 12)</t>
  </si>
  <si>
    <t>การคำนวณ = DIVIDE(COUNT(Id โดยที่ YEAR(CreationDate) = 2010 และ AnswerCount &lt; = 2), 12)</t>
  </si>
  <si>
    <t>SELECT CAST(COUNT(T1.Id) AS REAL) / 12 FROM postLinks AS T1 INNER JOIN posts AS T2 ON T1.PostId = T2.Id WHERE T2.AnswerCount &lt;= 2 AND STRFTIME('%Y', T1.CreationDate) = '2010'</t>
  </si>
  <si>
    <t>Among the posts that were voted by user 1465, what is the id of the most valuable post?</t>
  </si>
  <si>
    <t>user 1465 refers to UserId = 1465; the most valuable post refers to MAX(FavoriteCount);</t>
  </si>
  <si>
    <t>ผู้ใช้ 1465 หมายถึง UserId = 1465; โพสต์ที่มีค่าที่สุดหมายถึง MAX(FavoriteCount);</t>
  </si>
  <si>
    <t>SELECT T2.Id FROM votes AS T1 INNER JOIN posts AS T2 ON T1.PostId = T2.Id WHERE T1.UserId = 1465 ORDER BY T2.FavoriteCount DESC LIMIT 1</t>
  </si>
  <si>
    <t>What is the title of the post with the oldest post link?</t>
  </si>
  <si>
    <t>the oldest post link refers to MIN(CreaionDate);</t>
  </si>
  <si>
    <t>ลิงก์โพสต์ที่เก่าที่สุดหมายถึง MIN(CreaionDate);</t>
  </si>
  <si>
    <t>SELECT T1.Title FROM posts AS T1 INNER JOIN postLinks AS T2 ON T2.PostId = T1.Id ORDER BY T1.CreaionDate LIMIT 1</t>
  </si>
  <si>
    <t>What is the display name of the user who acquired the highest amount of badges?</t>
  </si>
  <si>
    <t>highest amount of badges refers to MAX(COUNT(Name));</t>
  </si>
  <si>
    <t>จำนวนป้ายสูงสุดหมายถึง MAX(COUNT(Name));</t>
  </si>
  <si>
    <t>SELECT T1.DisplayName FROM users AS T1 INNER JOIN badges AS T2 ON T1.Id = T2.UserId GROUP BY T1.DisplayName ORDER BY COUNT(T1.Id) DESC LIMIT 1</t>
  </si>
  <si>
    <t>When did 'chl' cast its first vote in a post?</t>
  </si>
  <si>
    <t>DisplayName = 'chl'; cast its first vote refers to MIN(CreationDate);</t>
  </si>
  <si>
    <t>DisplayName = 'chl'; ลงคะแนนครั้งแรกหมายถึง MIN (CreationDate);</t>
  </si>
  <si>
    <t>SELECT T2.CreationDate FROM users AS T1 INNER JOIN votes AS T2 ON T1.Id = T2.UserId WHERE T1.DisplayName = 'chl' ORDER BY T2.CreationDate LIMIT 1</t>
  </si>
  <si>
    <t>What is the date when the youngest user made his or her first post?</t>
  </si>
  <si>
    <t>the youngest user refers to MIN(Age); first post refers to MIN(CreaionDate);</t>
  </si>
  <si>
    <t>ผู้ใช้ที่อายุน้อยที่สุดหมายถึง MIN(อายุ); โพสต์แรกอ้างถึง MIN(CreaionDate);</t>
  </si>
  <si>
    <t>SELECT T2.CreaionDate FROM users AS T1 INNER JOIN posts AS T2 ON T1.Id = T2.OwnerUserId WHERE T1.Age IS NOT NULL ORDER BY T1.Age, T2.CreaionDate LIMIT 1</t>
  </si>
  <si>
    <t>What is the display name of the user who acquired the first Autobiographer badge?</t>
  </si>
  <si>
    <t>Autobiographer is the name of the badge; acquired the first refers to MIN(Date);</t>
  </si>
  <si>
    <t>ผู้เขียนอัตชีวประวัติคือชื่อของตรา; ได้มาครั้งแรกหมายถึง MIN(Date);</t>
  </si>
  <si>
    <t>SELECT T1.DisplayName FROM users AS T1 INNER JOIN badges AS T2 ON T1.Id = T2.UserId WHERE T2.`Name` = 'Autobiographer' ORDER BY T2.Date LIMIT 1</t>
  </si>
  <si>
    <t>Among the users located in United Kingdom, how many users whose post have a total favorite amount of 4 or more?</t>
  </si>
  <si>
    <t>favorite amount of 4 or more refers to FavoriteCount &gt; = 4; Location = 'United Kingdom';</t>
  </si>
  <si>
    <t>จำนวนที่ชื่นชอบตั้งแต่ 4 ขึ้นไปหมายถึง FavoriteCount &gt; = 4; ที่ตั้ง = 'สหราชอาณาจักร';</t>
  </si>
  <si>
    <t>SELECT COUNT(T1.Id) FROM users AS T1 INNER JOIN posts AS T2 ON T1.Id = T2.OwnerUserId WHERE T1.Location = 'United Kingdom' AND T2.FavoriteCount &gt;= 4</t>
  </si>
  <si>
    <t>What is the average number of posts voted by the oldest users?</t>
  </si>
  <si>
    <t>average number of posts voted refers to AVG(PostId) FROM votes; the oldest users refer to MAX(Age);</t>
  </si>
  <si>
    <t>จำนวนโพสต์โดยเฉลี่ยที่โหวตหมายถึง AVG (PostId) จากคะแนนโหวต; ผู้ใช้ที่อายุมากที่สุดหมายถึง MAX (อายุ);</t>
  </si>
  <si>
    <t>SELECT AVG(PostId) FROM votes WHERE UserId IN ( SELECT Id FROM users WHERE Age = ( SELECT MAX(Age) FROM users ) )</t>
  </si>
  <si>
    <t>Who has the highest reputation? Please give the display name.</t>
  </si>
  <si>
    <t>the highest reputation refers to MAX(Reputation);</t>
  </si>
  <si>
    <t>ชื่อเสียงสูงสุดหมายถึง MAX (ชื่อเสียง);</t>
  </si>
  <si>
    <t>SELECT DisplayName FROM users WHERE Reputation = ( SELECT MAX(Reputation) FROM users )</t>
  </si>
  <si>
    <t>How many users whose reputations are higher than 2000 and the number of views is higher than 1000?</t>
  </si>
  <si>
    <t>reputations are higher than 2000 refer to Reputation &gt; 2000; number of views is higher than 1000 refers to Views &gt; 1000;</t>
  </si>
  <si>
    <t>ชื่อเสียงที่สูงกว่า 2000 หมายถึงชื่อเสียง &gt; 2000; จำนวนการดูสูงกว่า 1,000 หมายถึงการดู &gt; 1,000</t>
  </si>
  <si>
    <t>SELECT COUNT(id) FROM users WHERE Reputation &gt; 2000 AND Views &gt; 1000</t>
  </si>
  <si>
    <t>Please list all display names of users who are adults.</t>
  </si>
  <si>
    <t>adults refer to users where Age BETWEEN 19 and 65;</t>
  </si>
  <si>
    <t>SELECT DisplayName FROM users WHERE Age BETWEEN 19 AND 65</t>
  </si>
  <si>
    <t>How many posts did Jay Stevens have in 2010?</t>
  </si>
  <si>
    <t>DisplayName = 'Jay Stevens'; in 2010 refers to YEAR(CreationDate) = 2010;</t>
  </si>
  <si>
    <t>DisplayName = 'เจย์ สตีเวนส์'; ในปี 2010 หมายถึง YEAR(CreationDate) = 2010;</t>
  </si>
  <si>
    <t>SELECT COUNT(T1.Id) FROM users AS T1 INNER JOIN posts AS T2 ON T1.Id = T2.OwnerUserId WHERE STRFTIME('%Y', T2.CreaionDate) = '2010' AND T1.DisplayName = 'Jay Stevens'</t>
  </si>
  <si>
    <t>Which post by Harvey Motulsky has the most views? Please give the id and title of this post.</t>
  </si>
  <si>
    <t>DisplayName = 'Harvey Motulsky'; the most views refer to MAX(ViewCount);</t>
  </si>
  <si>
    <t>DisplayName = 'ฮาร์วีย์ โมตุลสกี'; ยอดดูสูงสุดหมายถึง MAX(ViewCount);</t>
  </si>
  <si>
    <t>SELECT T2.Id, T2.Title FROM users AS T1 INNER JOIN posts AS T2 ON T1.Id = T2.OwnerUserId WHERE T1.DisplayName = 'Harvey Motulsky' ORDER BY T2.ViewCount DESC LIMIT 1</t>
  </si>
  <si>
    <t>Which post has the highest score? Please give its id and title's name.</t>
  </si>
  <si>
    <t>the highest score refers to MAX(Score); owner's name refers to DisplayName;</t>
  </si>
  <si>
    <t>คะแนนสูงสุดหมายถึง MAX (คะแนน); ชื่อเจ้าของหมายถึง DisplayName;</t>
  </si>
  <si>
    <t>SELECT T1.Id, T2.Title FROM users AS T1 INNER JOIN posts AS T2 ON T1.Id = T2.OwnerUserId ORDER BY T2.Score DESC LIMIT 1</t>
  </si>
  <si>
    <t>What is the average score of Stephen Turner's posts?</t>
  </si>
  <si>
    <t>DisplayName = 'Stephen Turner'; average score refers to AVG(Score);</t>
  </si>
  <si>
    <t>DisplayName = 'สตีเฟ่น เทิร์นเนอร์'; คะแนนเฉลี่ยหมายถึง AVG (คะแนน);</t>
  </si>
  <si>
    <t>SELECT AVG(T2.Score) FROM users AS T1 INNER JOIN posts AS T2 ON T1.Id = T2.OwnerUserId WHERE T1.DisplayName = 'Stephen Turner'</t>
  </si>
  <si>
    <t>Please list the users' display names whose posts had over 20000 views in 2011.</t>
  </si>
  <si>
    <t>had over 20000 views in 2011 refers to ViewCount &gt; 20000 where YEAR(CreationDate) = 2011;</t>
  </si>
  <si>
    <t>มีการดูมากกว่า 20,000 ครั้งในปี 2554 หมายถึง ViewCount &gt; 20,000 โดยที่ YEAR(CreationDate) = 2011;</t>
  </si>
  <si>
    <t>SELECT T1.DisplayName FROM users AS T1 INNER JOIN posts AS T2 ON T1.Id = T2.OwnerUserId WHERE STRFTIME('%Y', T2.CreaionDate) = '2011' AND T2.ViewCount &gt; 20000</t>
  </si>
  <si>
    <t>Which is the most valuable post in 2010? Please give its id and the owner's display name.</t>
  </si>
  <si>
    <t>the most valuable post in 2015 refers to MAX(FavoriteCount) where year(CreationDate) = 2010;</t>
  </si>
  <si>
    <t>โพสต์ที่มีค่าที่สุดในปี 2558 หมายถึง MAX(FavoriteCount) โดยที่ year(CreationDate) = 2010;</t>
  </si>
  <si>
    <t>SELECT T2.OwnerUserId, T1.DisplayName FROM users AS T1 INNER JOIN posts AS T2 ON T1.Id = T2.OwnerUserId WHERE STRFTIME('%Y', T1.CreationDate) = '2010' ORDER BY T2.FavoriteCount DESC LIMIT 1</t>
  </si>
  <si>
    <t>What is the percentage of posts whose owners had a reputation of over 1000 in 2011?</t>
  </si>
  <si>
    <t>percentage = DIVIDE(COUNT(Id where YEAR(CreationDate) = 2011 and Reputation &gt; 1000), COUNT(Id) ) * 100;</t>
  </si>
  <si>
    <t>เปอร์เซ็นต์ = DIVIDE(COUNT(Id โดยที่ YEAR(CreationDate) = 2011 และชื่อเสียง &gt; 1,000), COUNT(Id) ) * 100;</t>
  </si>
  <si>
    <t>SELECT CAST(SUM(IIF(STRFTIME('%Y', T2.CreaionDate) = '2011' AND T1.Reputation &gt; 1000, 1, 0)) AS REAL) * 100 / COUNT(T1.Id) FROM users AS T1 INNER JOIN posts AS T2 ON T1.Id = T2.OwnerUserId</t>
  </si>
  <si>
    <t>Identify the percentage of teenage users.</t>
  </si>
  <si>
    <t>DIVIDE(COUNT(Id where Age BETWEEN 13 and 18), COUNT(Id)) as percentage;</t>
  </si>
  <si>
    <t>DIVIDE(COUNT(Id โดยที่อายุระหว่าง 13 และ 18), COUNT(Id)) เป็นเปอร์เซ็นต์;</t>
  </si>
  <si>
    <t>SELECT CAST(SUM(IIF(Age BETWEEN 13 AND 18, 1, 0)) AS REAL) * 100 / COUNT(Id) FROM users</t>
  </si>
  <si>
    <t>Identify the total views on the post 'Computer Game Datasets'. Name the user who posted it last time.</t>
  </si>
  <si>
    <t>total views refer to ViewCount; Name the user refers to DisplayName; post 'Computer Game Datasets' refers to Text = 'Computer Game Datasets';</t>
  </si>
  <si>
    <t>จำนวนการดูทั้งหมดหมายถึง ViewCount; ตั้งชื่อที่ผู้ใช้อ้างถึง DisplayName; โพสต์ 'ชุดข้อมูลเกมคอมพิวเตอร์' หมายถึงข้อความ = 'ชุดข้อมูลเกมคอมพิวเตอร์';</t>
  </si>
  <si>
    <t>SELECT T2.ViewCount, T3.DisplayName FROM postHistory AS T1 INNER JOIN posts AS T2 ON T1.PostId = T2.Id INNER JOIN users AS T3 ON T2.LastEditorUserId = T3.Id WHERE T1.Text = 'Computer Game Datasets'</t>
  </si>
  <si>
    <t>Identify the total number of posts with views above average.</t>
  </si>
  <si>
    <t>views above average refer to ViewCount &gt; AVG(ViewCount);</t>
  </si>
  <si>
    <t>ยอดดูสูงกว่าค่าเฉลี่ยหมายถึง ViewCount &gt; AVG(ViewCount);</t>
  </si>
  <si>
    <t>SELECT Id FROM posts WHERE ViewCount &gt; ( SELECT AVG(ViewCount) FROM posts )</t>
  </si>
  <si>
    <t>How many comments were added to the post with the highest score?</t>
  </si>
  <si>
    <t>the highest score refers to MAX(Score);</t>
  </si>
  <si>
    <t>คะแนนสูงสุดหมายถึง MAX (คะแนน);</t>
  </si>
  <si>
    <t>SELECT COUNT(T2.Id) FROM posts AS T1 INNER JOIN comments AS T2 ON T1.Id = T2.PostId GROUP BY T1.Id ORDER BY SUM(T1.Score) DESC LIMIT 1</t>
  </si>
  <si>
    <t>Identify the number of posts that have been viewed over 35000 times but have received no comments from other users.</t>
  </si>
  <si>
    <t>have been viewed over 35000 times refers to ViewCount &gt; 35000; received no comments refers to CommentCount = 0;</t>
  </si>
  <si>
    <t>มีการดูมากกว่า 35,000 ครั้ง หมายถึง ViewCount &gt; 35000; ไม่ได้รับความคิดเห็นหมายถึง CommentCount = 0;</t>
  </si>
  <si>
    <t>SELECT COUNT(Id) FROM posts WHERE ViewCount &gt; 35000 AND CommentCount = 0</t>
  </si>
  <si>
    <t>Identify the display name and location of the user, who was the last to edit the post with ID 183.</t>
  </si>
  <si>
    <t>last to edit refers to MAX(LastEditDate);</t>
  </si>
  <si>
    <t>สุดท้ายที่จะแก้ไขหมายถึง MAX (LastEditDate);</t>
  </si>
  <si>
    <t>SELECT T2.DisplayName, T2.Location FROM posts AS T1 INNER JOIN users AS T2 ON T1.OwnerUserId = T2.Id WHERE T1.Id = 183 ORDER BY T1.LastEditDate DESC LIMIT 1</t>
  </si>
  <si>
    <t>Identify the latest badge awarded to the user with the display name Emmett.</t>
  </si>
  <si>
    <t>the latest badge refers to Name FROM badges where MAX(Date);</t>
  </si>
  <si>
    <t>ป้ายล่าสุดหมายถึงป้ายชื่อจากโดยที่ MAX (วันที่);</t>
  </si>
  <si>
    <t>SELECT T1.Name FROM badges AS T1 INNER JOIN users AS T2 ON T1.UserId = T2.Id WHERE T2.DisplayName = 'Emmett' ORDER BY T1.Date DESC LIMIT 1</t>
  </si>
  <si>
    <t>Identify the number of adult users who have cast over 5000 upvotes.</t>
  </si>
  <si>
    <t>adult users refer to Age BETWEEN 19 and 65; over 5000 upvotes refer to UpVotes &gt; 5000;</t>
  </si>
  <si>
    <t>ผู้ใช้ที่เป็นผู้ใหญ่หมายถึงอายุระหว่าง 19 ถึง 65 ปี การโหวตมากกว่า 5,000 ครั้งหมายถึง UpVotes &gt; 5,000;</t>
  </si>
  <si>
    <t>SELECT COUNT(Id) FROM users WHERE Age BETWEEN 19 AND 65 AND UpVotes &gt; 5000</t>
  </si>
  <si>
    <t>How long did it take the user, known by his or her display name 'Zolomon' to get the badge? Count from the date the user's account was created.</t>
  </si>
  <si>
    <t>SUBTRACT(Date from stats_badges, CreationDate) where DisplayName = 'Zolomon';</t>
  </si>
  <si>
    <t>SUBTRACT(วันที่จาก stats_badges, CreationDate) โดยที่ DisplayName = 'Zolomon';</t>
  </si>
  <si>
    <t>SELECT T1.Date - T2.CreationDate FROM badges AS T1 INNER JOIN users AS T2 ON T1.UserId = T2.Id WHERE T2.DisplayName = 'Zolomon'</t>
  </si>
  <si>
    <t>Identify the number of posts and comments left by the user, who has the latest created user account.</t>
  </si>
  <si>
    <t>the latest created user account refers to MAX(CreationDate);</t>
  </si>
  <si>
    <t>บัญชีผู้ใช้ที่สร้างขึ้นล่าสุดหมายถึง MAX (CreationDate);</t>
  </si>
  <si>
    <t>SELECT COUNT(T2.Id) FROM users AS T1 INNER JOIN posts AS T2 ON T1.Id = T2.OwnerUserId INNER JOIN comments AS T3 ON T3.PostId = T2.Id ORDER BY T1.CreationDate DESC LIMIT 1</t>
  </si>
  <si>
    <t>Provide the text of the latest 10 comments to the post with the title 'Analysing wind data with R' and the display name of the user who left it.</t>
  </si>
  <si>
    <t>the latest comment refers to MAX(CreationDate);</t>
  </si>
  <si>
    <t>ความคิดเห็นล่าสุดอ้างถึง MAX (CreationDate);</t>
  </si>
  <si>
    <t>SELECT T3.Text, T1.DisplayName FROM users AS T1 INNER JOIN posts AS T2 ON T1.Id = T2.OwnerUserId INNER JOIN comments AS T3 ON T2.Id = T3.PostId WHERE T2.Title = 'Analysing wind data with R' ORDER BY T1.CreationDate DESC LIMIT 10</t>
  </si>
  <si>
    <t>How many users were awarded with 'Citizen Patrol' badge?</t>
  </si>
  <si>
    <t>Citizen Patrol' is the name of the badge;</t>
  </si>
  <si>
    <t>Citizen Patrol' เป็นชื่อของตรา;</t>
  </si>
  <si>
    <t>SELECT COUNT(id) FROM badges WHERE `Name` = 'Citizen Patrol'</t>
  </si>
  <si>
    <t>Count the number of posts with a tag specified as 'careers'.</t>
  </si>
  <si>
    <t>tag specified as 'careers' refers to TagName = 'careers';</t>
  </si>
  <si>
    <t>แท็กที่ระบุเป็น 'อาชีพ' หมายถึง TagName = 'อาชีพ';</t>
  </si>
  <si>
    <t>SELECT COUNT(Id) FROM tags WHERE TagName = 'careers'</t>
  </si>
  <si>
    <t>What is the reputation and view count of the user, who is known by his or her display name 'Jarrod Dixon'?</t>
  </si>
  <si>
    <t>SELECT Reputation, Views FROM users WHERE DisplayName = 'Jarrod Dixon'</t>
  </si>
  <si>
    <t>How many comments and answers were left by the users on the post with the title 'Clustering 1D data'?</t>
  </si>
  <si>
    <t>SELECT CommentCount, AnswerCount FROM posts WHERE Title = 'Clustering 1D data'</t>
  </si>
  <si>
    <t>When did the user known as 'IrishStat' create his or her account?</t>
  </si>
  <si>
    <t>DisplayName = 'IrishStat'; when create his or her account refers to CreationDate;</t>
  </si>
  <si>
    <t>DisplayName = 'ไอริชสแตท'; เมื่อสร้างบัญชีของเขาหรือเธอหมายถึง CreationDate;</t>
  </si>
  <si>
    <t>SELECT CreationDate FROM users WHERE DisplayName = 'IrishStat'</t>
  </si>
  <si>
    <t>Identify the number of posts that offer a bounty amount over 30.</t>
  </si>
  <si>
    <t>bounty amount over 30 refers to BountyAmount &gt; = 30;</t>
  </si>
  <si>
    <t>ค่าหัวที่มากกว่า 30 หมายถึง BountyAmount &gt; = 30;</t>
  </si>
  <si>
    <t>SELECT COUNT(id) FROM votes WHERE BountyAmount &gt;= 30</t>
  </si>
  <si>
    <t>Among all the posts posted by the most influential user, identify the percentage with a score above 50.</t>
  </si>
  <si>
    <t>The higher reputation the user has the more influence; percentage = DIVIDE(COUNT(stats_posts.Id where Score &gt; 50 and MAX(Reputation))), COUNT(stats_posts.Id where MAX(Reputation));</t>
  </si>
  <si>
    <t>ยิ่งชื่อเสียงสูงเท่าใดผู้ใช้ก็จะมีอิทธิพลมากขึ้นเท่านั้น เปอร์เซ็นต์ = DIVIDE(COUNT(stats_posts.Id โดยที่คะแนน &gt; 50 และ MAX(ชื่อเสียง))), COUNT(stats_posts.Id โดยที่ MAX(ชื่อเสียง));</t>
  </si>
  <si>
    <t>SELECT CAST(SUM(CASE WHEN T2.Score &gt; 50 THEN 1 ELSE 0 END) AS REAL) * 100 / COUNT(T1.Id) FROM users T1 INNER JOIN posts T2 ON T1.Id = T2.OwnerUserId INNER JOIN ( SELECT MAX(Reputation) AS max_reputation FROM users ) T3 ON T1.Reputation = T3.max_reputation</t>
  </si>
  <si>
    <t>How many posts have a score less than 20?</t>
  </si>
  <si>
    <t>score less than 20 refers to Score &lt; 20;</t>
  </si>
  <si>
    <t>คะแนนน้อยกว่า 20 หมายถึง คะแนน &lt; 20;</t>
  </si>
  <si>
    <t>SELECT COUNT(id) FROM posts WHERE Score &lt; 20</t>
  </si>
  <si>
    <t>Among the tags with tag ID below 15, how many of them have 20 count of posts and below?</t>
  </si>
  <si>
    <t>ID below 15 refers to Id &lt; 15; have 20 count of posts and below refers to Count &lt; = 20;</t>
  </si>
  <si>
    <t>ID ต่ำกว่า 15 หมายถึง Id &lt; 15; มี 20 จำนวนโพสต์ และด้านล่างหมายถึง Count &lt; = 20;</t>
  </si>
  <si>
    <t>SELECT COUNT(id) FROM tags WHERE Count &lt;= 20 AND Id &lt; 15</t>
  </si>
  <si>
    <t>What is the excerpt post ID and wiki post ID of the tag named sample?</t>
  </si>
  <si>
    <t>tag named sample refers to TagName = 'sample';</t>
  </si>
  <si>
    <t>แท็กชื่อตัวอย่างหมายถึง TagName = 'sample';</t>
  </si>
  <si>
    <t>SELECT ExcerptPostId, WikiPostId FROM tags WHERE TagName = 'sample'</t>
  </si>
  <si>
    <t>Give the user's reputation and up vote number of the user that commented "fine, you win :)".</t>
  </si>
  <si>
    <t>Text = 'fine, you win :)';</t>
  </si>
  <si>
    <t>Text = 'เอาล่ะ คุณชนะ :)';</t>
  </si>
  <si>
    <t>SELECT T2.Reputation, T2.UpVotes FROM comments AS T1 INNER JOIN users AS T2 ON T1.UserId = T2.Id WHERE T1.Text = 'fine, you win :)'</t>
  </si>
  <si>
    <t>Give the texts commented on the post about linear regression.</t>
  </si>
  <si>
    <t>about linear regression refers to Title contains 'linear regression'</t>
  </si>
  <si>
    <t>เกี่ยวกับการถดถอยเชิงเส้น อ้างถึง หัวข้อมี 'การถดถอยเชิงเส้น'</t>
  </si>
  <si>
    <t>SELECT T1.Text FROM comments AS T1 INNER JOIN posts AS T2 ON T1.PostId = T2.Id WHERE T2.Title LIKE '%linear regression%'</t>
  </si>
  <si>
    <t>Among the posts with views ranging from 100 to 150, what is the comment with the highest score?</t>
  </si>
  <si>
    <t>views ranging from 100 to 150 refers to ViewCount BETWEEN 100 and 150; comment with the highest score refers to Text where MAX(Score);</t>
  </si>
  <si>
    <t>การดูตั้งแต่ 100 ถึง 150 หมายถึงจำนวนการดูระหว่าง 100 ถึง 150 ความคิดเห็นที่มีคะแนนสูงสุดหมายถึงข้อความ โดยที่ MAX(Score);</t>
  </si>
  <si>
    <t>SELECT Text FROM comments WHERE PostId IN ( SELECT Id FROM posts WHERE ViewCount BETWEEN 100 AND 150 ) ORDER BY Score DESC LIMIT 1</t>
  </si>
  <si>
    <t>List the creation date and age of the user that commented with webiste.</t>
  </si>
  <si>
    <t>commented with webiste refers to the value contains 'http://'</t>
  </si>
  <si>
    <t>แสดงความคิดเห็นด้วย webiste อ้างถึงค่าที่มี 'http://'</t>
  </si>
  <si>
    <t>SELECT T2.CreationDate, T2.Age FROM comments AS T1 INNER JOIN users AS T2 ON T1.UserId = T2.Id WHERE T1.text LIKE '%http://%'</t>
  </si>
  <si>
    <t>In comments with 0 score, how many of the posts have view count lower than 5?</t>
  </si>
  <si>
    <t>view count lower than 5 refers to ViewCount &lt; 5;</t>
  </si>
  <si>
    <t>จำนวนการดูต่ำกว่า 5 หมายถึง ViewCount &lt; 5;</t>
  </si>
  <si>
    <t>SELECT COUNT(T1.Id) FROM comments AS T1 INNER JOIN posts AS T2 ON T1.PostId = T2.Id WHERE T2.ViewCount &lt; 5 AND T2.Score = 0</t>
  </si>
  <si>
    <t>In posts with 1 comment, how many of the comments have 0 score?</t>
  </si>
  <si>
    <t>in posts with 1 comment refers to CommentCount = 1;</t>
  </si>
  <si>
    <t>ในโพสต์ที่มี 1 ความคิดเห็นหมายถึง CommentCount = 1;</t>
  </si>
  <si>
    <t>SELECT COUNT(T1.id) FROM comments AS T1 INNER JOIN posts AS T2 ON T1.PostId = T2.Id WHERE T2.CommentCount = 1 AND T2.Score = 0</t>
  </si>
  <si>
    <t>Among products comments with 0 score, what is the total number of users ages 40 years old?</t>
  </si>
  <si>
    <t>SELECT COUNT(DISTINCT T1.id) FROM comments AS T1 INNER JOIN users AS T2 ON T1.UserId = T2.Id WHERE T1.Score = 0 AND T2.Age = 40</t>
  </si>
  <si>
    <t>What is the post ID and the comments commented in the post titled by "Group differences on a five point Likert item"?</t>
  </si>
  <si>
    <t>Title = 'Group differences on a five point Likert item';</t>
  </si>
  <si>
    <t>Title = 'ความแตกต่างของกลุ่มในรายการ Likert ห้าจุด';</t>
  </si>
  <si>
    <t>SELECT T2.Id, T1.Text FROM comments AS T1 INNER JOIN posts AS T2 ON T1.PostId = T2.Id WHERE T2.Title = 'Group differences on a five point Likert item'</t>
  </si>
  <si>
    <t>What is the up vote number of the user that commented "R is also lazy evaluated."?</t>
  </si>
  <si>
    <t>commented "R is also lazy evaluated." refers to Text of the comment;</t>
  </si>
  <si>
    <t>แสดงความคิดเห็นว่า "R ก็ประเมินขี้เกียจเช่นกัน" หมายถึงข้อความของความคิดเห็น;</t>
  </si>
  <si>
    <t>SELECT T2.UpVotes FROM comments AS T1 INNER JOIN users AS T2 ON T1.UserId = T2.Id WHERE T1.Text = 'R is also lazy evaluated.'</t>
  </si>
  <si>
    <t>List the comments commented by the user with a username of Harvey Motulsky.</t>
  </si>
  <si>
    <t>comments refer to Text; username of Harvey Motulsky refers to DisplayName = 'Harvey Motulsky';</t>
  </si>
  <si>
    <t>ความคิดเห็นอ้างถึงข้อความ; ชื่อผู้ใช้ของ Harvey Motulsky หมายถึง DisplayName = 'Harvey Motulsky';</t>
  </si>
  <si>
    <t>SELECT T1.Text FROM comments AS T1 INNER JOIN users AS T2 ON T1.UserId = T2.Id WHERE T2.DisplayName = 'Harvey Motulsky'</t>
  </si>
  <si>
    <t>In comments with score between 1 to 5, list down the display names of the users with 0 down votes.</t>
  </si>
  <si>
    <t>DownVotes = 0; Score BETWEEN 1 and 5</t>
  </si>
  <si>
    <t>โหวตลง = 0; คะแนนระหว่าง 1 และ 5</t>
  </si>
  <si>
    <t>SELECT T2.DisplayName FROM comments AS T1 INNER JOIN users AS T2 ON T1.UserId = T2.Id WHERE T1.Score BETWEEN 1 AND 5 AND T2.DownVotes = 0</t>
  </si>
  <si>
    <t>Among the comments with scores between 5 to 10, what is the percentage of the users with 0 up votes?</t>
  </si>
  <si>
    <t>percentage = DIVIDE(COUNT(UserId where UpVotes = 0 and Score BETWEEN 5 and 10))*100, (COUNT(UserId where Score BETWEEN 5 and 10));</t>
  </si>
  <si>
    <t>เปอร์เซ็นต์ = DIVIDE(COUNT(รหัสผู้ใช้ โดยที่ UpVotes = 0 และคะแนนระหว่าง 5 และ 10))*100, (COUNT(รหัสผู้ใช้ โดยที่คะแนนระหว่าง 5 และ 10));</t>
  </si>
  <si>
    <t>SELECT CAST(SUM(IIF(T1.UpVotes = 0, 1, 0)) AS REAL) * 100/ COUNT(T1.Id) AS per FROM users AS T1 INNER JOIN comments AS T2 ON T1.Id = T2.UserId WHERE T2.Score BETWEEN 5 AND 10</t>
  </si>
  <si>
    <t>superhero</t>
  </si>
  <si>
    <t>Please list all the superpowers of 3-D Man.</t>
  </si>
  <si>
    <t>3-D Man refers to superhero_name = '3-D Man'; superpowers refers to power_name</t>
  </si>
  <si>
    <t>มนุษย์ 3 มิติ หมายถึง superhero_name = 'มนุษย์ 3 มิติ'; มหาอำนาจหมายถึง power_name</t>
  </si>
  <si>
    <t>SELECT T3.power_name FROM superhero AS T1 INNER JOIN hero_power AS T2 ON T1.id = T2.hero_id INNER JOIN superpower AS T3 ON T2.power_id = T3.id WHERE T1.superhero_name = '3-D Man'</t>
  </si>
  <si>
    <t>How many superheroes have the super power of "Super Strength"?</t>
  </si>
  <si>
    <t>super power of "Super Strength" refers to power_name = 'Super Strength'</t>
  </si>
  <si>
    <t>พลังพิเศษของ "Super Strength" หมายถึง power_name = 'Super Strength'</t>
  </si>
  <si>
    <t>SELECT COUNT(T1.hero_id) FROM hero_power AS T1 INNER JOIN superpower AS T2 ON T1.power_id = T2.id WHERE T2.power_name = 'Super Strength'</t>
  </si>
  <si>
    <t>Among the superheroes with the super power of "Super Strength", how many of them have a height of over 200cm?</t>
  </si>
  <si>
    <t>super power of "Super Strength" refers to power_name = 'Super Strength'; a height of over 200cm refers to height_cm &gt; 200</t>
  </si>
  <si>
    <t>พลังพิเศษของ "Super Strength" หมายถึง power_name = 'Super Strength'; ความสูงมากกว่า 200 ซม. หมายถึง height_cm &gt; 200</t>
  </si>
  <si>
    <t>SELECT COUNT(T1.id) FROM superhero AS T1 INNER JOIN hero_power AS T2 ON T1.id = T2.hero_id INNER JOIN superpower AS T3 ON T2.power_id = T3.id WHERE T3.power_name = 'Super Strength' AND T1.height_cm &gt; 200</t>
  </si>
  <si>
    <t>Please list the full names of all the superheroes with over 15 super powers.</t>
  </si>
  <si>
    <t>15 super powers refers to COUNT(full_name) &gt; 15</t>
  </si>
  <si>
    <t>พลังพิเศษ 15 อันหมายถึง COUNT(full_name) &gt; 15</t>
  </si>
  <si>
    <t>SELECT DISTINCT T1.full_name FROM superhero AS T1 INNER JOIN hero_power AS T2 ON T1.id = T2.hero_id GROUP BY T1.full_name HAVING COUNT(T2.power_id) &gt; 15</t>
  </si>
  <si>
    <t>How many superheroes have blue eyes?</t>
  </si>
  <si>
    <t>blue eyes refers to colour = 'Blue' and eye_colour_id = colour.id;</t>
  </si>
  <si>
    <t>ดวงตาสีฟ้าหมายถึงสี = 'สีน้ำเงิน' และ eye_color_id = colour.id;</t>
  </si>
  <si>
    <t>SELECT COUNT(T1.id) FROM superhero AS T1 INNER JOIN colour AS T2 ON T1.eye_colour_id = T2.id WHERE T2.colour = 'Blue'</t>
  </si>
  <si>
    <t>What is the colour of Apocalypse's skin?</t>
  </si>
  <si>
    <t>Apocalypse refers to superhero_name = 'Apocalypse'; colour of skin refers to colour where skin_colour_id = colour.id</t>
  </si>
  <si>
    <t>Apocalypse หมายถึง Superhero_name = 'Apocalypse'; สีผิวหมายถึงสีโดยที่ skin_color_id = colour.id</t>
  </si>
  <si>
    <t>SELECT T2.colour FROM superhero AS T1 INNER JOIN colour AS T2 ON T1.skin_colour_id = T2.id WHERE T1.superhero_name = 'Apocalypse'</t>
  </si>
  <si>
    <t>Among the superheroes with blue eyes, how many of them have the super power of "Agility"?</t>
  </si>
  <si>
    <t>blue eyes refers to colour = 'Blue' and eye_colour_id = colour.id; super power of "Agility" refers to power_name = 'Agility'</t>
  </si>
  <si>
    <t>ดวงตาสีฟ้าหมายถึงสี = 'สีน้ำเงิน' และ eye_color_id = colour.id; พลังวิเศษของ "ความคล่องตัว" หมายถึง power_name = 'ความคล่องตัว'</t>
  </si>
  <si>
    <t>SELECT COUNT(T1.id) FROM superhero AS T1 INNER JOIN hero_power AS T2 ON T1.id = T2.hero_id INNER JOIN superpower AS T3 ON T2.power_id = T3.id INNER JOIN colour AS T4 ON T1.eye_colour_id = T4.id WHERE T3.power_name = 'Agility' AND T4.colour = 'Blue'</t>
  </si>
  <si>
    <t>Please list the superhero names of all the superheroes that have blue eyes and blond hair.</t>
  </si>
  <si>
    <t>blue eyes refers to colour = 'Blue' and eye_colour_id = colour.id; blond hair refers to colour = 'Blond' and hair_colour_id = colour.id; super power of "Agility" refers to power_name = 'Agility'</t>
  </si>
  <si>
    <t>ดวงตาสีฟ้าหมายถึงสี = 'สีน้ำเงิน' และ eye_color_id = colour.id; ผมบลอนด์หมายถึงสี = 'สีบลอนด์' และ hair_color_id = colour.id; พลังวิเศษของ "ความคล่องตัว" หมายถึง power_name = 'ความคล่องตัว'</t>
  </si>
  <si>
    <t>SELECT T1.superhero_name FROM superhero AS T1 INNER JOIN colour AS T2 ON T1.eye_colour_id = T2.id INNER JOIN colour AS T3 ON T1.hair_colour_id = T3.id WHERE T2.colour = 'Blue' AND T3.colour = 'Blond'</t>
  </si>
  <si>
    <t>How many superheroes are published by Marvel Comics?</t>
  </si>
  <si>
    <t>published by Marvel Comics refers to publisher_name = 'Marvel Comics'</t>
  </si>
  <si>
    <t>เผยแพร่โดย Marvel Comics อ้างถึงสำนักพิมพ์_ชื่อ = 'Marvel Comics'</t>
  </si>
  <si>
    <t>SELECT COUNT(T1.id) FROM superhero AS T1 INNER JOIN publisher AS T2 ON T1.publisher_id = T2.id WHERE T2.publisher_name = 'Marvel Comics'</t>
  </si>
  <si>
    <t>Rank heroes published by Marvel Comics by their height in descending order.</t>
  </si>
  <si>
    <t>name refers to superhero_name; the tallest hero refers to MAX(height_cm); published by Marvel Comics refers to publisher_name = 'Marvel Comics'</t>
  </si>
  <si>
    <t>ชื่อหมายถึง superhero_name; ฮีโร่ที่สูงที่สุดหมายถึง MAX(height_cm); เผยแพร่โดย Marvel Comics อ้างถึงสำนักพิมพ์_ชื่อ = 'Marvel Comics'</t>
  </si>
  <si>
    <t>SELECT superhero_name, height_cm, RANK() OVER (ORDER BY height_cm DESC) AS HeightRank FROM superhero INNER JOIN publisher ON superhero.publisher_id = publisher.id WHERE publisher.publisher_name = 'Marvel Comics'</t>
  </si>
  <si>
    <t>Who is the publisher of Sauron?</t>
  </si>
  <si>
    <t>the publisher refers to publisher_name; Sauron refers to superhero_name = 'Sauron'</t>
  </si>
  <si>
    <t>ผู้จัดพิมพ์อ้างถึงผู้จัดพิมพ์_ชื่อ; เซารอนหมายถึงsuperhero_name = 'เซารอน'</t>
  </si>
  <si>
    <t>SELECT T2.publisher_name FROM superhero AS T1 INNER JOIN publisher AS T2 ON T1.publisher_id = T2.id WHERE T1.superhero_name = 'Sauron'</t>
  </si>
  <si>
    <t>Rank superheroes from Marvel Comics by their eye color popularity, starting with the most common color.</t>
  </si>
  <si>
    <t>the superheroes from Marvel Comics refers to publisher_name = 'Marvel Comics'; most common color refers to COUNT(superhero.id) DESC;</t>
  </si>
  <si>
    <t>ฮีโร่จาก Marvel Comics อ้างถึงสำนักพิมพ์_ชื่อ = 'Marvel Comics'; สีที่พบบ่อยที่สุดหมายถึง COUNT(superhero.id) DESC;</t>
  </si>
  <si>
    <t>SELECT colour.colour AS EyeColor, COUNT(superhero.id) AS Count, RANK() OVER (ORDER BY COUNT(superhero.id) DESC) AS PopularityRank FROM superhero INNER JOIN colour ON superhero.eye_colour_id = colour.id INNER JOIN publisher ON superhero.publisher_id = publisher.id WHERE publisher.publisher_name = 'Marvel Comics' GROUP BY colour.colour</t>
  </si>
  <si>
    <t>What is the average height of the superheroes from Marvel Comics?</t>
  </si>
  <si>
    <t>superheroes from Marvel Comics refers to publisher_name = 'Marvel Comics'; average height of the superheroes refers to AVG(height_cm)</t>
  </si>
  <si>
    <t>ฮีโร่จาก Marvel Comics หมายถึง vendor_name = 'Marvel Comics'; ความสูงเฉลี่ยของฮีโร่คือ AVG(height_cm)</t>
  </si>
  <si>
    <t>SELECT AVG(T1.height_cm) FROM superhero AS T1 INNER JOIN publisher AS T2 ON T1.publisher_id = T2.id WHERE T2.publisher_name = 'Marvel Comics'</t>
  </si>
  <si>
    <t>List the superheroes from Marvel Comics who have the super power of 'Super Strength'.</t>
  </si>
  <si>
    <t>the superheroes from Marvel Comics refers to publisher_name = 'Marvel Comics'; super power of "Super Strength" refers to power_name = 'Super Strength';</t>
  </si>
  <si>
    <t>ฮีโร่จาก Marvel Comics อ้างถึงสำนักพิมพ์_ชื่อ = 'Marvel Comics'; พลังพิเศษของ "Super Strength" หมายถึง power_name = 'Super Strength';</t>
  </si>
  <si>
    <t>SELECT superhero_name FROM superhero AS T1 WHERE EXISTS (SELECT 1 FROM hero_power AS T2 INNER JOIN superpower AS T3 ON T2.power_id = T3.id WHERE T3.power_name = 'Super Strength' AND T1.id = T2.hero_id)AND EXISTS (SELECT 1 FROM publisher AS T4 WHERE T4.publisher_name = 'Marvel Comics' AND T1.publisher_id = T4.id)</t>
  </si>
  <si>
    <t>How many superheroes did DC Comics publish?</t>
  </si>
  <si>
    <t>superheroes that DC Comics published refers to publisher_name = 'DC Comics'</t>
  </si>
  <si>
    <t>ฮีโร่ที่ DC Comics ตีพิมพ์หมายถึง vendor_name = 'DC Comics'</t>
  </si>
  <si>
    <t>SELECT COUNT(T1.id) FROM superhero AS T1 INNER JOIN publisher AS T2 ON T1.publisher_id = T2.id WHERE T2.publisher_name = 'DC Comics'</t>
  </si>
  <si>
    <t>Which publisher published the slowest superhero?</t>
  </si>
  <si>
    <t>the slowest superhero refers to attribute_name = 'Speed' where MIN(attribute_value); publisher refers to publisher_name</t>
  </si>
  <si>
    <t>ซูเปอร์ฮีโร่ที่ช้าที่สุดหมายถึงattribute_name = 'Speed' โดยที่ MIN(attribute_value); ผู้เผยแพร่หมายถึงผู้เผยแพร่_ชื่อ</t>
  </si>
  <si>
    <t>SELECT T2.publisher_name FROM superhero AS T1 INNER JOIN publisher AS T2 ON T1.publisher_id = T2.id INNER JOIN hero_attribute AS T3 ON T1.id = T3.hero_id INNER JOIN attribute AS T4 ON T3.attribute_id = T4.id WHERE T4.attribute_name = 'Speed' ORDER BY T3.attribute_value LIMIT 1</t>
  </si>
  <si>
    <t>How many gold-eyed superheroes did Marvel Comics publish?</t>
  </si>
  <si>
    <t>gold-eyed refers to colour = 'Gold' where eye_colour_id = colour.id; superheroes that Marvel Comics published refers to publisher_name = 'Marvel Comics'</t>
  </si>
  <si>
    <t>gold-eyed หมายถึง color = 'Gold' โดยที่ eye_color_id = colour.id; ฮีโร่ที่ Marvel Comics ตีพิมพ์หมายถึงสำนักพิมพ์ = 'Marvel Comics'</t>
  </si>
  <si>
    <t>SELECT COUNT(T1.id) FROM superhero AS T1 INNER JOIN publisher AS T2 ON T1.publisher_id = T2.id INNER JOIN colour AS T3 ON T1.eye_colour_id = T3.id WHERE T2.publisher_name = 'Marvel Comics' AND T3.colour = 'Gold'</t>
  </si>
  <si>
    <t>What is the publisher's name of Blue Beetle II?</t>
  </si>
  <si>
    <t>Blue Beetle II refers to superhero_name = 'Blue Beetle II'</t>
  </si>
  <si>
    <t>Blue Beetle II หมายถึง superhero_name = 'Blue Beetle II'</t>
  </si>
  <si>
    <t>SELECT T2.publisher_name FROM superhero AS T1 INNER JOIN publisher AS T2 ON T1.publisher_id = T2.id WHERE T1.superhero_name = 'Blue Beetle II'</t>
  </si>
  <si>
    <t>How many superheroes with blonde hair are there?</t>
  </si>
  <si>
    <t>superheroes with blonde hair refers to colour = 'Blond' where hair_colour_id = colour.id</t>
  </si>
  <si>
    <t>ฮีโร่ที่มีผมสีบลอนด์หมายถึง color = 'Blond' โดยที่ hair_color_id = colour.id</t>
  </si>
  <si>
    <t>SELECT COUNT(T1.id) FROM superhero AS T1 INNER JOIN colour AS T2 ON T1.hair_colour_id = T2.id WHERE T2.colour = 'Blond'</t>
  </si>
  <si>
    <t>Who is the dumbest superhero?</t>
  </si>
  <si>
    <t>the dumbest superhero refers to MIN(attribute_value) where attribute_name = 'Intelligence'</t>
  </si>
  <si>
    <t>ซูเปอร์ฮีโร่ที่โง่ที่สุดหมายถึง MIN(attribute_value) โดยที่attribute_name = 'Intelligence'</t>
  </si>
  <si>
    <t>SELECT T1.superhero_name FROM superhero AS T1 INNER JOIN hero_attribute AS T2 ON T1.id = T2.hero_id INNER JOIN attribute AS T3 ON T2.attribute_id = T3.id WHERE T3.attribute_name = 'Intelligence' ORDER BY T2.attribute_value LIMIT 1</t>
  </si>
  <si>
    <t>What is Copycat's race?</t>
  </si>
  <si>
    <t>Copycat is the superhero_name;</t>
  </si>
  <si>
    <t>Copycat คือชื่อซูเปอร์ฮีโร่;</t>
  </si>
  <si>
    <t>SELECT T2.race FROM superhero AS T1 INNER JOIN race AS T2 ON T1.race_id = T2.id WHERE T1.superhero_name = 'Copycat'</t>
  </si>
  <si>
    <t>Which superheroes have a durability attribute value of less than 50?</t>
  </si>
  <si>
    <t>durability of less than 50 refers to attribute_name = 'Durability' AND attribute_value &lt; 50</t>
  </si>
  <si>
    <t>ความทนทานน้อยกว่า 50 หมายถึงแอตทริบิวต์_ชื่อ = 'ความทนทาน' และแอตทริบิวต์_ค่า &lt; 50</t>
  </si>
  <si>
    <t>SELECT superhero_name FROM superhero AS T1 WHERE EXISTS (SELECT 1 FROM hero_attribute AS T2 INNER JOIN attribute AS T3 ON T2.attribute_id = T3.id WHERE T3.attribute_name = 'Durability' AND T2.attribute_value &lt; 50 AND T1.id = T2.hero_id)</t>
  </si>
  <si>
    <t>What are the names of the superheroes with the power of death touch?</t>
  </si>
  <si>
    <t>name of superheroes refers to refers to superhero_name; the power of death touch refers to power_name = 'Death Touch'</t>
  </si>
  <si>
    <t>ชื่อของฮีโร่หมายถึงหมายถึงsuperhero_name; พลังแห่งความตายสัมผัสหมายถึง power_name = 'ความตายสัมผัส'</t>
  </si>
  <si>
    <t>SELECT T1.superhero_name FROM superhero AS T1 INNER JOIN hero_power AS T2 ON T1.id = T2.hero_id INNER JOIN superpower AS T3 ON T2.power_id = T3.id WHERE T3.power_name = 'Death Touch'</t>
  </si>
  <si>
    <t>How many female superheroes have a strength value of 100?</t>
  </si>
  <si>
    <t>female refers to gender = 'Female'; strength value of 100 refers to attribute_name = 'Strength' AND attribute_value = 100</t>
  </si>
  <si>
    <t>หญิงหมายถึงเพศ = 'หญิง'; ค่าความแข็งแกร่ง 100 หมายถึงattribute_name = 'Strength' และattribute_value = 100</t>
  </si>
  <si>
    <t>SELECT COUNT(T1.id) FROM superhero AS T1 INNER JOIN hero_attribute AS T2 ON T1.id = T2.hero_id INNER JOIN attribute AS T3 ON T2.attribute_id = T3.id INNER JOIN gender AS T4 ON T1.gender_id = T4.id WHERE T3.attribute_name = 'Strength' AND T2.attribute_value = 100 AND T4.gender = 'Female'</t>
  </si>
  <si>
    <t>What is the name of the superhero that has the most powers?</t>
  </si>
  <si>
    <t>name of the superhero refers to superhero_name; superhero that has the most powers refers to MAX(COUNT(superhero_name))</t>
  </si>
  <si>
    <t>ชื่อของซูเปอร์ฮีโร่หมายถึง Superhero_name; ซูเปอร์ฮีโร่ที่มีพลังมากที่สุดหมายถึง MAX(COUNT(superhero_name))</t>
  </si>
  <si>
    <t>SELECT T1.superhero_name FROM superhero AS T1 INNER JOIN hero_power AS T2 ON T1.id = T2.hero_id GROUP BY T1.superhero_name ORDER BY COUNT(T2.hero_id) DESC LIMIT 1</t>
  </si>
  <si>
    <t>How many vampire superheroes are there?</t>
  </si>
  <si>
    <t>vampire superheroes refers to race = 'Vampire'</t>
  </si>
  <si>
    <t>ฮีโร่แวมไพร์ หมายถึง เชื้อชาติ = 'แวมไพร์'</t>
  </si>
  <si>
    <t>SELECT COUNT(T1.superhero_name) FROM superhero AS T1 INNER JOIN race AS T2 ON T1.race_id = T2.id WHERE T2.race = 'Vampire'</t>
  </si>
  <si>
    <t>What is the percentage of superheroes who act in their own self-interest or make decisions based on their own moral code? Indicate how many of the said superheroes were published by Marvel Comics.</t>
  </si>
  <si>
    <t>published by Marvel Comics refers to publisher_name = 'Marvel Comics'; superheroes who act in their own self-interest or make decisions based on their own moral code refers to alignment = 'Bad'; calculation = MULTIPLY(DIVIDE(SUM(alignment = 'Bad); count(id)), 100)</t>
  </si>
  <si>
    <t>เผยแพร่โดย Marvel Comics อ้างถึงสำนักพิมพ์_ชื่อ = 'Marvel Comics'; ฮีโร่ที่กระทำการเพื่อผลประโยชน์ของตนเองหรือตัดสินใจตามหลักศีลธรรมของตนเองหมายถึงการจัดตำแหน่ง = 'ไม่ดี'; การคำนวณ = คูณ (หาร (SUM (การจัดตำแหน่ง = 'ไม่ดี); นับ (id)), 100)</t>
  </si>
  <si>
    <t>SELECT (CAST(COUNT(*) AS REAL) * 100 / (SELECT COUNT(*) FROM superhero)), CAST(SUM(CASE WHEN T2.publisher_name = 'Marvel Comics' THEN 1 ELSE 0 END) AS REAL) FROM superhero AS T1 INNER JOIN publisher AS T2 ON T1.publisher_id = T2.id INNER JOIN alignment AS T3 ON T3.id = T1.alignment_id WHERE T3.alignment = 'Bad'</t>
  </si>
  <si>
    <t>Between DC and Marvel Comics, which publisher has published more superheroes? Find the difference in the number of superheroes they have published.</t>
  </si>
  <si>
    <t>DC refers to publisher_name = 'DC Comics'; Marvel Comics refers to publisher_name = 'Marvel Comics'; calculation = SUBTRACT(SUM(publisher_name = 'Marvel Comics'), SUM(publisher_name = 'DC Comics'))</t>
  </si>
  <si>
    <t>DC อ้างถึงสำนักพิมพ์_ชื่อ = 'การ์ตูนดีซี'; Marvel Comics อ้างอิงถึง vendor_name = 'Marvel Comics'; การคำนวณ = SUBTRACT(SUM(publisher_name = 'Marvel Comics'), SUM(publisher_name = 'DC Comics'))</t>
  </si>
  <si>
    <t>SELECT SUM(CASE WHEN T2.publisher_name = 'Marvel Comics' THEN 1 ELSE 0 END) - SUM(CASE WHEN T2.publisher_name = 'DC Comics' THEN 1 ELSE 0 END) FROM superhero AS T1 INNER JOIN publisher AS T2 ON T1.publisher_id = T2.id</t>
  </si>
  <si>
    <t>Give the publisher ID of Star Trek.</t>
  </si>
  <si>
    <t>Star Trek is the publisher_name;</t>
  </si>
  <si>
    <t>Star Trek คือผู้จัดพิมพ์_ชื่อ;</t>
  </si>
  <si>
    <t>SELECT id FROM publisher WHERE publisher_name = 'Star Trek'</t>
  </si>
  <si>
    <t>Calculate the average attribute value of all superheroes.</t>
  </si>
  <si>
    <t>average attribute value of all superheroes refers to AVG(attribute_value)</t>
  </si>
  <si>
    <t>ค่าแอตทริบิวต์เฉลี่ยของฮีโร่ทั้งหมดอ้างอิงถึง AVG (attribute_value)</t>
  </si>
  <si>
    <t>SELECT AVG(attribute_value) FROM hero_attribute</t>
  </si>
  <si>
    <t>What is the total number of superheroes without full name?</t>
  </si>
  <si>
    <t>superheroes without full name refers to full_name IS NULL</t>
  </si>
  <si>
    <t>ฮีโร่ที่ไม่มีชื่อเต็มหมายถึงชื่อเต็มเป็นโมฆะ</t>
  </si>
  <si>
    <t>SELECT COUNT(id) FROM superhero WHERE full_name IS NULL</t>
  </si>
  <si>
    <t>What is the eye colour of superhero with superhero ID 75?</t>
  </si>
  <si>
    <t>eye colour refers to colour where eye_colour_id = colour.id;</t>
  </si>
  <si>
    <t>สีตาหมายถึงสีโดยที่ eye_color_id = colour.id;</t>
  </si>
  <si>
    <t>SELECT T2.colour FROM superhero AS T1 INNER JOIN colour AS T2 ON T1.eye_colour_id = T2.id WHERE T1.id = 75</t>
  </si>
  <si>
    <t>Provide the superpowers of the superhero called Deathlok.</t>
  </si>
  <si>
    <t>superpowers refers to power_name; Deathlok refers to superhero_name = 'Deathlok'</t>
  </si>
  <si>
    <t>มหาอำนาจหมายถึง power_name; Deathlok หมายถึง Superhero_name = 'Deathlok'</t>
  </si>
  <si>
    <t>SELECT T3.power_name FROM superhero AS T1 INNER JOIN hero_power AS T2 ON T1.id = T2.hero_id INNER JOIN superpower AS T3 ON T2.power_id = T3.id WHERE T1.superhero_name = 'Deathlok'</t>
  </si>
  <si>
    <t>What is the average weight of all female superheroes?</t>
  </si>
  <si>
    <t>female refers to gender = 'Female'; average weight refers to AVG(weight_kg)</t>
  </si>
  <si>
    <t>หญิงหมายถึงเพศ = 'หญิง'; น้ำหนักเฉลี่ยหมายถึง AVG(weight_kg)</t>
  </si>
  <si>
    <t>SELECT AVG(T1.weight_kg) FROM superhero AS T1 INNER JOIN gender AS T2 ON T1.gender_id = T2.id WHERE T2.gender = 'Female'</t>
  </si>
  <si>
    <t>List down at least five superpowers of male superheroes.</t>
  </si>
  <si>
    <t>male refers to gender = 'Male'; superpowers refers to power_name;</t>
  </si>
  <si>
    <t>ชายหมายถึงเพศ = 'ชาย'; มหาอำนาจหมายถึง power_name;</t>
  </si>
  <si>
    <t>SELECT T3.power_name FROM superhero AS T1 INNER JOIN hero_power AS T2 ON T1.id = T2.hero_id INNER JOIN superpower AS T3 ON T3.id = T2.power_id INNER JOIN gender AS T4 ON T4.id = T1.gender_id WHERE T4.gender = 'Male' LIMIT 5</t>
  </si>
  <si>
    <t>Give the name of the alien superheroes.</t>
  </si>
  <si>
    <t>alien superheroes refers to race = 'Alien'; name of superhero refers to superhero_name;</t>
  </si>
  <si>
    <t>ฮีโร่คนต่างด้าวหมายถึงเชื้อชาติ = 'เอเลี่ยน'; ชื่อของซูเปอร์ฮีโร่หมายถึงsuperhero_name;</t>
  </si>
  <si>
    <t>SELECT T1.superhero_name FROM superhero AS T1 INNER JOIN race AS T2 ON T1.race_id = T2.id WHERE T2.race = 'Alien'</t>
  </si>
  <si>
    <t>Among the superheroes with height from 170 to 190, list the names of the superheroes with no eye color.</t>
  </si>
  <si>
    <t>height from 170 to 190 refers to height_cm BETWEEN 170 AND 190; no eye color refers to colour = 'No Colour'</t>
  </si>
  <si>
    <t>ความสูงตั้งแต่ 170 ถึง 190 หมายถึงความสูง _ ซม. ระหว่าง 170 ถึง 190 ไม่มีสีตาหมายถึงสี = 'ไม่มีสี'</t>
  </si>
  <si>
    <t>SELECT DISTINCT T1.superhero_name FROM superhero AS T1 INNER JOIN colour AS T2 ON T1.eye_colour_id = T2.id WHERE T1.height_cm BETWEEN 170 AND 190 AND T2.colour = 'No Colour'</t>
  </si>
  <si>
    <t>What is the superpower of hero ID 56?</t>
  </si>
  <si>
    <t>superpower refers to hero_power</t>
  </si>
  <si>
    <t>มหาอำนาจหมายถึง hero_power</t>
  </si>
  <si>
    <t>SELECT T2.power_name FROM hero_power AS T1 INNER JOIN superpower AS T2 ON T1.power_id = T2.id WHERE T1.hero_id = 56</t>
  </si>
  <si>
    <t>List down at least five full name of Demi-God superheroes.</t>
  </si>
  <si>
    <t>Demi-God superheroes refers to race = 'Demi-God'</t>
  </si>
  <si>
    <t>ฮีโร่ Demi-God หมายถึงเชื้อชาติ = 'Demi-God'</t>
  </si>
  <si>
    <t>SELECT T1.full_name FROM superhero AS T1 INNER JOIN race AS T2 ON T1.race_id = T2.id WHERE T2.race = 'Demi-God'</t>
  </si>
  <si>
    <t>How many bad superheroes are there?</t>
  </si>
  <si>
    <t>bad superheroes refers to alignment_id = Bad</t>
  </si>
  <si>
    <t>ฮีโร่ที่ไม่ดีหมายถึง Alignment_id = Bad</t>
  </si>
  <si>
    <t>SELECT COUNT(T1.id) FROM superhero AS T1 INNER JOIN alignment AS T2 ON T1.alignment_id = T2.id WHERE T2.alignment = 'Bad'</t>
  </si>
  <si>
    <t>Identify the race of the superhero who weighed 169 kg.</t>
  </si>
  <si>
    <t>weighed 169 kg refers to weight_kg = 169</t>
  </si>
  <si>
    <t>หนัก 169 กก. หมายถึง Weight_kg = 169</t>
  </si>
  <si>
    <t>SELECT T2.race FROM superhero AS T1 INNER JOIN race AS T2 ON T1.race_id = T2.id WHERE T1.weight_kg = 169</t>
  </si>
  <si>
    <t>Provide the hair colour of the human superhero who is 185 cm tall.</t>
  </si>
  <si>
    <t>185 cm tall refers to height_cm = 185; human superhero refers to race = 'human'; hair colour refers to colour where hair_colour_id = colour.id;</t>
  </si>
  <si>
    <t>ส่วนสูง 185 ซม. หมายถึง height_cm = 185; ซูเปอร์ฮีโร่ของมนุษย์หมายถึงเชื้อชาติ = 'มนุษย์'; สีผมหมายถึงสีโดยที่ hair_color_id = colour.id;</t>
  </si>
  <si>
    <t>SELECT DISTINCT T3.colour FROM superhero AS T1 INNER JOIN race AS T2 ON T1.race_id = T2.id INNER JOIN colour AS T3 ON T1.hair_colour_id = T3.id WHERE T1.height_cm = 185 AND T2.race = 'Human'</t>
  </si>
  <si>
    <t>What is the eye clolour of the heaviest superhero?</t>
  </si>
  <si>
    <t>the heaviest superhero refers to MAX(weight_kg); eye colour refers to colour where eye_colour_id = colour.id;</t>
  </si>
  <si>
    <t>ซูเปอร์ฮีโร่ที่หนักที่สุดหมายถึง MAX (weight_kg); สีตาหมายถึงสีโดยที่ eye_color_id = colour.id;</t>
  </si>
  <si>
    <t>SELECT T2.colour FROM superhero AS T1 INNER JOIN colour AS T2 ON T1.eye_colour_id = T2.id ORDER BY T1.weight_kg DESC LIMIT 1</t>
  </si>
  <si>
    <t>In superheroes with height between 150 to 180, what is the percentage of heroes published by Marvel Comics?</t>
  </si>
  <si>
    <t>height between 150 to 180 refers to height_cm BETWEEN 150 AND 180; heroes published by Marvel Comics refers to publisher_name = 'Marvel Comics'; calculation = MULTIPLY(DIVIDE(SUM(publisher.id = 13)), COUNT(publisher.id), 100)</t>
  </si>
  <si>
    <t>ความสูงระหว่าง 150 ถึง 180 หมายถึงความสูง _ ซม. ระหว่าง 150 ถึง 180; ฮีโร่ที่เผยแพร่โดย Marvel Comics หมายถึง vendor_name = 'Marvel Comics'; การคำนวณ = คูณ(หาร(SUM(publisher.id = 13)), COUNT(publisher.id), 100)</t>
  </si>
  <si>
    <t>SELECT CAST(COUNT(CASE WHEN T2.publisher_name = 'Marvel Comics' THEN 1 ELSE NULL END) AS REAL) * 100 / COUNT(T1.id) FROM superhero AS T1 INNER JOIN publisher AS T2 ON T1.publisher_id = T2.id WHERE T1.height_cm BETWEEN 150 AND 180</t>
  </si>
  <si>
    <t>Among the male superheroes, list the super hero names of superheroes with weight greater than the 79% average weight of all superheroes.</t>
  </si>
  <si>
    <t>super hero names refers to superhero_name;male superheros refers to gender = 'Male';Calculation = weight_kg &gt; MULTIPLY(AVG(weight_kg), 0.79)</t>
  </si>
  <si>
    <t>ชื่อซูเปอร์ฮีโร่หมายถึงชื่อซูเปอร์ฮีโร่; ซูเปอร์ฮีโร่ชายหมายถึงเพศ = 'ชาย'; การคำนวณ = น้ำหนัก_กก &gt; ทวีคูณ(AVG(น้ำหนัก_กก), 0.79)</t>
  </si>
  <si>
    <t>SELECT T1.superhero_name FROM superhero AS T1 INNER JOIN gender AS T2 ON T1.gender_id = T2.id WHERE T2.gender = 'Male' AND T1.weight_kg * 100 &gt; ( SELECT AVG(weight_kg) FROM superhero ) * 79</t>
  </si>
  <si>
    <t>Which power do superheroes have the most of?</t>
  </si>
  <si>
    <t>power that superheroes have the most refers to MAX(COUNT(power_name))</t>
  </si>
  <si>
    <t>พลังที่ฮีโร่มีมากที่สุดอ้างอิงถึง MAX(COUNT(power_name))</t>
  </si>
  <si>
    <t>SELECT T2.power_name FROM hero_power AS T1 INNER JOIN superpower AS T2 ON T1.power_id = T2.id GROUP BY T2.power_name ORDER BY COUNT(T1.hero_id) DESC LIMIT 1</t>
  </si>
  <si>
    <t>Indicate the attribute value of superhero Abomination.</t>
  </si>
  <si>
    <t>Abomination refers to superhero_name = 'Abomination';</t>
  </si>
  <si>
    <t>Abomination หมายถึง superhero_name = 'Abomination';</t>
  </si>
  <si>
    <t>SELECT T2.attribute_value FROM superhero AS T1 INNER JOIN hero_attribute AS T2 ON T1.id = T2.hero_id WHERE T1.superhero_name = 'Abomination'</t>
  </si>
  <si>
    <t>What are the superpowers of heroes with ID 1?</t>
  </si>
  <si>
    <t>superpowers refers to power_name; heroes with ID 1 refers to hero_id = 1;</t>
  </si>
  <si>
    <t>มหาอำนาจหมายถึง power_name; ฮีโร่ที่มี ID 1 หมายถึง hero_id = 1;</t>
  </si>
  <si>
    <t>SELECT DISTINCT T2.power_name FROM hero_power AS T1 INNER JOIN superpower AS T2 ON T1.power_id = T2.id WHERE T1.hero_id = 1</t>
  </si>
  <si>
    <t>How many heroes have stealth power?</t>
  </si>
  <si>
    <t>stealth power refers to power_name = 'stealth';</t>
  </si>
  <si>
    <t>พลังการลักลอบหมายถึง power_name = 'stealth';</t>
  </si>
  <si>
    <t>SELECT COUNT(T1.hero_id) FROM hero_power AS T1 INNER JOIN superpower AS T2 ON T1.power_id = T2.id WHERE T2.power_name = 'Stealth'</t>
  </si>
  <si>
    <t>What is the hero's full name with the highest attribute in strength?</t>
  </si>
  <si>
    <t>highest attribute in strength refers to MAX(attribute_value) WHERE attribute_name = 'strength';</t>
  </si>
  <si>
    <t>คุณลักษณะสูงสุดในด้านความแข็งแกร่งหมายถึง MAX (attribute_value) โดยที่attribute_name = 'strength';</t>
  </si>
  <si>
    <t>SELECT T1.full_name FROM superhero AS T1 INNER JOIN hero_attribute AS T2 ON T1.id = T2.hero_id INNER JOIN attribute AS T3 ON T2.attribute_id = T3.id WHERE T3.attribute_name = 'Strength' ORDER BY T2.attribute_value DESC LIMIT 1</t>
  </si>
  <si>
    <t>What is the average of superheroes with no skin colour?</t>
  </si>
  <si>
    <t>average = DIVIDE(COUNT(superhero.id), SUM(skin_colour_id = 1)); no skin colour refers to skin_colour_id WHERE colour.id = 1;</t>
  </si>
  <si>
    <t>ค่าเฉลี่ย = DIVIDE(COUNT(superhero.id), SUM(skin_color_id = 1)); ไม่มีสีผิวหมายถึง skin_color_id โดยที่ colour.id = 1;</t>
  </si>
  <si>
    <t>SELECT CAST(COUNT(*) AS REAL) / SUM(CASE WHEN T2.id = 1 THEN 1 ELSE 0 END) FROM superhero AS T1 INNER JOIN colour AS T2 ON T1.skin_colour_id = T2.id</t>
  </si>
  <si>
    <t>How many superheroes were published by Dark Horse Comics?</t>
  </si>
  <si>
    <t>published by Dark Horse Comics refers to publisher_name = 'Dark Horse Comics';</t>
  </si>
  <si>
    <t>เผยแพร่โดย Dark Horse Comics อ้างถึงสำนักพิมพ์_ชื่อ = 'Dark Horse Comics';</t>
  </si>
  <si>
    <t>SELECT COUNT(T1.id) FROM superhero AS T1 INNER JOIN publisher AS T2 ON T1.publisher_id = T2.id WHERE T2.publisher_name = 'Dark Horse Comics'</t>
  </si>
  <si>
    <t>Which superhero has the most durability published by Dark Horse Comics?</t>
  </si>
  <si>
    <t>which superhero refers to superhero_name; most durability refers to MAX(attribute_value) WHERE attribute_name = 'durability'; published by Dark Horse Comics refers to publisher_name = 'Dark Horse Comics';</t>
  </si>
  <si>
    <t>ซึ่งซูเปอร์ฮีโร่หมายถึงซูเปอร์ฮีโร่ชื่อ; ความทนทานส่วนใหญ่หมายถึง MAX(attribute_value) โดยที่attribute_name = 'durability'; เผยแพร่โดย Dark Horse Comics อ้างถึงสำนักพิมพ์_ชื่อ = 'Dark Horse Comics';</t>
  </si>
  <si>
    <t>SELECT T1.superhero_name FROM superhero AS T1 INNER JOIN hero_attribute AS T2 ON T1.id = T2.hero_id INNER JOIN attribute AS T3 ON T3.id = T2.attribute_id INNER JOIN publisher AS T4 ON T4.id = T1.publisher_id WHERE T4.publisher_name = 'Dark Horse Comics' AND T3.attribute_name = 'Durability' ORDER BY T2.attribute_value DESC LIMIT 1</t>
  </si>
  <si>
    <t>What is the eyes colour of Abraham Sapien?</t>
  </si>
  <si>
    <t>eye colour refers to colour.colour where eye_colour_id = colour.id; Abraham Sapien is the full name of superhero;</t>
  </si>
  <si>
    <t>สีตาหมายถึง colour.color โดยที่ eye_color_id = colour.id; Abraham Sapien เป็นชื่อเต็มของซูเปอร์ฮีโร่</t>
  </si>
  <si>
    <t>SELECT T2.colour FROM superhero AS T1 INNER JOIN colour AS T2 ON T1.eye_colour_id = T2.id WHERE T1.full_name = 'Abraham Sapien'</t>
  </si>
  <si>
    <t>List the name of superheroes with flight power.</t>
  </si>
  <si>
    <t>name of superheroes refers to superhero_name; flight power refers to power_name = 'Flight';</t>
  </si>
  <si>
    <t>ชื่อของฮีโร่หมายถึงsuperhero_name; กำลังการบินหมายถึง power_name = 'Flight';</t>
  </si>
  <si>
    <t>SELECT T1.superhero_name FROM superhero AS T1 INNER JOIN hero_power AS T2 ON T1.id = T2.hero_id INNER JOIN superpower AS T3 ON T2.power_id = T3.id WHERE T3.power_name = 'Flight'</t>
  </si>
  <si>
    <t>List the eyes, hair and skin colour of all female superheroes published by Dark Horse Comics.</t>
  </si>
  <si>
    <t>eyes refers to eye_colour_id; hair refers to hair_colour_id; skin colour refers to skin_colour_id; female superheroes refers to gender = 'Female'; published by Dark Horse Comics refers to publisher_name = 'Dark Horse Comics';</t>
  </si>
  <si>
    <t>ดวงตาหมายถึง eye_color_id; ผมหมายถึง hair_color_id; สีผิวหมายถึง skin_color_id; ฮีโร่หญิงหมายถึงเพศ = 'หญิง'; เผยแพร่โดย Dark Horse Comics อ้างถึงสำนักพิมพ์_ชื่อ = 'Dark Horse Comics';</t>
  </si>
  <si>
    <t>SELECT T1.eye_colour_id, T1.hair_colour_id, T1.skin_colour_id FROM superhero AS T1 INNER JOIN publisher AS T2 ON T2.id = T1.publisher_id INNER JOIN gender AS T3 ON T3.id = T1.gender_id WHERE T2.publisher_name = 'Dark Horse Comics' AND T3.gender = 'Female'</t>
  </si>
  <si>
    <t>Which superhero has the same eyes, hair and skin colour? Indicate the publisher of the superhero.</t>
  </si>
  <si>
    <t>which superhero refers to superhero_name; the same eyes, hair and skin colour refers to hair_colour_id = skin_colour_id AND hair_colour_id = eye_colour_id; publisher refers to publisher_name;</t>
  </si>
  <si>
    <t>ซึ่งซูเปอร์ฮีโร่หมายถึงซูเปอร์ฮีโร่ชื่อ; ดวงตา สีผม และสีผิวที่เหมือนกันหมายถึง hair_color_id = skin_color_id และ hair_color_id = eye_color_id; ผู้จัดพิมพ์หมายถึงผู้จัดพิมพ์_ชื่อ;</t>
  </si>
  <si>
    <t>SELECT T1.superhero_name, T2.publisher_name FROM superhero AS T1 INNER JOIN publisher AS T2 ON T1.publisher_id = T2.id WHERE T1.eye_colour_id = T1.hair_colour_id AND T1.eye_colour_id = T1.skin_colour_id</t>
  </si>
  <si>
    <t>Which group does superhero A-Bomb belong to?</t>
  </si>
  <si>
    <t>group refers to race; A-Bomb refers to superhero_name = 'A-Bomb';</t>
  </si>
  <si>
    <t>กลุ่มหมายถึงเชื้อชาติ A-Bomb หมายถึง superhero_name = 'A-Bomb';</t>
  </si>
  <si>
    <t>SELECT T2.race FROM superhero AS T1 INNER JOIN race AS T2 ON T1.race_id = T2.id WHERE T1.superhero_name = 'A-Bomb'</t>
  </si>
  <si>
    <t>What is the percentage of blue female superheroes among all female superheroes?</t>
  </si>
  <si>
    <t>percentage = MULTIPLY(DIVIDE(SUM(colour = 'Blue' WHERE gender = 'Female'), COUNT(gender = 'Female')), 100); blue refers to the color = 'Blue' WHERE skin_colour_id = colour.id; female refers to gender = 'Female';</t>
  </si>
  <si>
    <t>เปอร์เซ็นต์ = คูณ (หาร (SUM (สี = 'สีน้ำเงิน' โดยที่เพศ = 'หญิง'), COUNT (เพศ = 'หญิง')), 100); สีน้ำเงินหมายถึงสี = 'สีน้ำเงิน' โดยที่ skin_color_id = colour.id; หญิงหมายถึงเพศ = 'หญิง';</t>
  </si>
  <si>
    <t>SELECT CAST(COUNT(CASE WHEN T3.colour = 'Blue' THEN T1.id ELSE NULL END) AS REAL) * 100 / COUNT(T1.id) FROM superhero AS T1 INNER JOIN gender AS T2 ON T1.gender_id = T2.id INNER JOIN colour AS T3 ON T1.skin_colour_id = T3.id WHERE T2.gender = 'Female'</t>
  </si>
  <si>
    <t>Provide the hero name and race of Charles Chandler.</t>
  </si>
  <si>
    <t>hero name refers to superhero_name; Charles Chandler is the full name of superhero;</t>
  </si>
  <si>
    <t>ชื่อฮีโร่หมายถึง Superhero_name; Charles Chandler เป็นชื่อเต็มของซูเปอร์ฮีโร่</t>
  </si>
  <si>
    <t>SELECT T1.superhero_name, T2.race FROM superhero AS T1 INNER JOIN race AS T2 ON T1.race_id = T2.id WHERE T1.full_name = 'Charles Chandler'</t>
  </si>
  <si>
    <t>What is the gender of Agent 13 hero?</t>
  </si>
  <si>
    <t>Agent 13 hero refers to superhero_name = 'Agent 13';</t>
  </si>
  <si>
    <t>ฮีโร่ตัวแทน 13 อ้างถึง superhero_name = 'ตัวแทน 13';</t>
  </si>
  <si>
    <t>SELECT T2.gender FROM superhero AS T1 INNER JOIN gender AS T2 ON T1.gender_id = T2.id WHERE T1.superhero_name = 'Agent 13'</t>
  </si>
  <si>
    <t>Provide superheroes' names who have the adaptation power.</t>
  </si>
  <si>
    <t>adaptation power refers to power_name = 'Adaptation';</t>
  </si>
  <si>
    <t>พลังการปรับตัวหมายถึง power_name = 'การปรับตัว';</t>
  </si>
  <si>
    <t>SELECT T1.superhero_name FROM superhero AS T1 INNER JOIN hero_power AS T2 ON T1.id = T2.hero_id INNER JOIN superpower AS T3 ON T2.power_id = T3.id WHERE T3.power_name = 'Adaptation'</t>
  </si>
  <si>
    <t>How many powers does Amazo hero have?</t>
  </si>
  <si>
    <t>Amazo hero refers to superhero_name = 'Amazo';</t>
  </si>
  <si>
    <t>ฮีโร่ Amazo หมายถึง superhero_name = 'Amazo';</t>
  </si>
  <si>
    <t>SELECT COUNT(T1.power_id) FROM hero_power AS T1 INNER JOIN superhero AS T2 ON T1.hero_id = T2.id WHERE T2.superhero_name = 'Amazo'</t>
  </si>
  <si>
    <t>List the powers of Hunter Zolomon.</t>
  </si>
  <si>
    <t>Hunter Zolomon is the full name of superhero; list the powers refers to power_name;</t>
  </si>
  <si>
    <t>Hunter Zolomon เป็นชื่อเต็มของซูเปอร์ฮีโร่ รายการอำนาจที่อ้างถึง power_name;</t>
  </si>
  <si>
    <t>SELECT T3.power_name FROM superhero AS T1 INNER JOIN hero_power AS T2 ON T1.id = T2.hero_id INNER JOIN superpower AS T3 ON T2.power_id = T3.id WHERE T1.full_name = 'Hunter Zolomon'</t>
  </si>
  <si>
    <t>Provide the heights of the heroes whose eye colours are amber.</t>
  </si>
  <si>
    <t>heights of the heroes refers to height_cm; eye colours are amber refers to colour.colour = 'Amber' WHERE eye_colour_id = colour.id;</t>
  </si>
  <si>
    <t>ความสูงของฮีโร่หมายถึง height_cm; สีตาเป็นสีเหลืองอำพัน หมายถึง colour.color = 'Amber' โดยที่ eye_color_id = colour.id;</t>
  </si>
  <si>
    <t>SELECT T1.height_cm FROM superhero AS T1 INNER JOIN colour AS T2 ON T1.eye_colour_id = T2.id WHERE T2.colour = 'Amber'</t>
  </si>
  <si>
    <t>List the heroes' names whose eyes and hair colours are both black.</t>
  </si>
  <si>
    <t>heroes' names refers to superhero_name; eyes and hair colours are both black refers to eye_colour_id AND hair_colour_id WHERE colour.colour = 'Black';</t>
  </si>
  <si>
    <t>ชื่อฮีโร่หมายถึงsuperhero_name; ดวงตาและสีผมมีทั้งสีดำ หมายถึง eye_color_id และ hair_color_id โดยที่ colour.color = 'สีดำ';</t>
  </si>
  <si>
    <t>SELECT T1.superhero_name FROM superhero AS T1 INNER JOIN colour AS T2 ON T1.eye_colour_id = T2.id AND T1.hair_colour_id = T2.id WHERE T2.colour = 'Black'</t>
  </si>
  <si>
    <t>Provide the eye colours of the heroes whose skin colours are gold.</t>
  </si>
  <si>
    <t>skin colours are gold refers to colour.colour = 'Gold' WHERE skin_colour_id = colour.id;</t>
  </si>
  <si>
    <t>สีผิวเป็นสีทอง หมายถึง colour.color = 'Gold' โดยที่ skin_color_id = colour.id;</t>
  </si>
  <si>
    <t>SELECT T2.colour FROM superhero AS T1 INNER JOIN colour AS T2 ON T1.eye_colour_id = T2.id INNER JOIN colour AS T3 ON T1.skin_colour_id = T3.id WHERE T3.colour = 'Gold'</t>
  </si>
  <si>
    <t>Provide the full names of vampire heroes.</t>
  </si>
  <si>
    <t>vampire heroes refers to race = 'Vampire';</t>
  </si>
  <si>
    <t>ฮีโร่แวมไพร์หมายถึงเชื้อชาติ = 'แวมไพร์';</t>
  </si>
  <si>
    <t>SELECT T1.full_name FROM superhero AS T1 INNER JOIN race AS T2 ON T1.race_id = T2.id WHERE T2.race = 'Vampire'</t>
  </si>
  <si>
    <t>Describe the names of neutral alignment superheroes.</t>
  </si>
  <si>
    <t>names of superheroes refers to superhero_name; neutral alignment refers to alignment = 'Neutral';</t>
  </si>
  <si>
    <t>ชื่อของฮีโร่หมายถึงsuperhero_name; การจัดตำแหน่งที่เป็นกลางหมายถึงการจัดตำแหน่ง = 'เป็นกลาง';</t>
  </si>
  <si>
    <t>SELECT T1.superhero_name FROM superhero AS T1 INNER JOIN alignment AS T2 ON T1.alignment_id = T2.id WHERE T2.alignment = 'Neutral'</t>
  </si>
  <si>
    <t>How many heroes have the highest attribute value in strength?</t>
  </si>
  <si>
    <t>highest attribute value in strength refers to MAX(attribute_value) WHERE attribute_name = 'Strength';</t>
  </si>
  <si>
    <t>ค่าแอตทริบิวต์สูงสุดในด้านความแข็งแกร่งหมายถึง MAX (attribute_value) โดยที่attribute_name = 'Strength';</t>
  </si>
  <si>
    <t>SELECT COUNT(T1.hero_id) FROM hero_attribute AS T1 INNER JOIN attribute AS T2 ON T1.attribute_id = T2.id WHERE T2.attribute_name = 'Strength' AND T1.attribute_value = ( SELECT MAX(attribute_value) FROM hero_attribute )</t>
  </si>
  <si>
    <t>What are the race and alignment of Cameron Hicks?</t>
  </si>
  <si>
    <t>Cameron Hicks refers to superhero_name = 'Cameron Hicks';</t>
  </si>
  <si>
    <t>Cameron Hicks หมายถึง superhero_name = 'Cameron Hicks';</t>
  </si>
  <si>
    <t>SELECT T2.race, T3.alignment FROM superhero AS T1 INNER JOIN race AS T2 ON T1.race_id = T2.id INNER JOIN alignment AS T3 ON T1.alignment_id = T3.id WHERE T1.superhero_name = 'Cameron Hicks'</t>
  </si>
  <si>
    <t>How many percent of female heroes were published by Marvel Comics?</t>
  </si>
  <si>
    <t>percent = MULTIPLY(DIVIDE(SUM(gender = 'Female' WHERE publisher_name = 'Marvel Comics'), COUNT(publisher_name = 'Marvel Comics')), 100); female heroes refers to gender = 'Female'; Marvel Comics refers to publisher_name = 'Marvel Comics';</t>
  </si>
  <si>
    <t>เปอร์เซ็นต์ = MULTIPLY(DIVIDE(SUM(gender = 'Female' WHERE vendor_name = 'Marvel Comics'), COUNT(publisher_name = 'Marvel Comics')), 100); ฮีโร่หญิงหมายถึงเพศ = 'หญิง'; Marvel Comics อ้างอิงถึง vendor_name = 'Marvel Comics';</t>
  </si>
  <si>
    <t>SELECT CAST(COUNT(CASE WHEN T2.publisher_name = 'Marvel Comics' THEN 1 ELSE NULL END) AS REAL) * 100 / COUNT(T1.id) FROM superhero AS T1 INNER JOIN publisher AS T2 ON T1.publisher_id = T2.id INNER JOIN gender AS T3 ON T1.gender_id = T3.id WHERE T3.gender = 'Female'</t>
  </si>
  <si>
    <t>Find the average weight of the heroes who are aliens.</t>
  </si>
  <si>
    <t>average = AVG(weight_kg); aliens refers to race = 'Alien';</t>
  </si>
  <si>
    <t>ค่าเฉลี่ย = AVG(น้ำหนัก_กก.); คนต่างด้าวหมายถึงเชื้อชาติ = 'เอเลี่ยน';</t>
  </si>
  <si>
    <t>SELECT CAST(SUM(T1.weight_kg) AS REAL) / COUNT(T1.id) FROM superhero AS T1 INNER JOIN race AS T2 ON T1.race_id = T2.id WHERE T2.race = 'Alien'</t>
  </si>
  <si>
    <t>Calculate the difference between Emil Blonsky's weight and Charles Chandler's weight.</t>
  </si>
  <si>
    <t>difference = SUBTRACT(SUM(weight_kg WHERE full_name = 'Emil Blonsky'), SUM(weight_kg WHERE full_name = 'Charles Chandler')); Emil Blonsky is the full name of superhero; Charles Chandler is the full name of superhero;</t>
  </si>
  <si>
    <t>ความแตกต่าง = SUBTRACT(SUM(weight_kg WHERE full_name = 'Emil Blonsky'), SUM(weight_kg WHERE full_name = 'Charles Chandler')); Emil Blonsky เป็นชื่อเต็มของซูเปอร์ฮีโร่ Charles Chandler เป็นชื่อเต็มของซูเปอร์ฮีโร่</t>
  </si>
  <si>
    <t>SELECT ( SELECT weight_kg FROM superhero WHERE full_name LIKE 'Emil Blonsky' ) - ( SELECT weight_kg FROM superhero WHERE full_name LIKE 'Charles Chandler' ) AS CALCULATE</t>
  </si>
  <si>
    <t>Calculate the average height for each superhero.</t>
  </si>
  <si>
    <t>average = DIVIDE(SUM(height_cm), COUNT(all heros));</t>
  </si>
  <si>
    <t>ค่าเฉลี่ย = DIVIDE(SUM(height_cm), COUNT(ฮีโร่ทั้งหมด));</t>
  </si>
  <si>
    <t>SELECT CAST(SUM(height_cm) AS REAL) / COUNT(id) FROM superhero</t>
  </si>
  <si>
    <t>What is Abomination's superpower?</t>
  </si>
  <si>
    <t>Abomination refers to superhero_name = 'Abomination'; superpower refers to power_name;</t>
  </si>
  <si>
    <t>Abomination หมายถึง superhero_name = 'Abomination'; มหาอำนาจหมายถึง power_name;</t>
  </si>
  <si>
    <t>SELECT T3.power_name FROM superhero AS T1 INNER JOIN hero_power AS T2 ON T1.id = T2.hero_id INNER JOIN superpower AS T3 ON T2.power_id = T3.id WHERE T1.superhero_name = 'Abomination'</t>
  </si>
  <si>
    <t>Among the superheroes with the race of god/eternal, how many of them are male</t>
  </si>
  <si>
    <t>race "god/eternal" refers to race_id = 21; male refers to gender.id = 1</t>
  </si>
  <si>
    <t>เชื้อชาติ "พระเจ้า/นิรันดร์" หมายถึง race_id = 21; ชาย หมายถึง gender.id = 1</t>
  </si>
  <si>
    <t>SELECT COUNT(*) FROM superhero AS T1 INNER JOIN race AS T2 ON T1.race_id = T2.id INNER JOIN gender AS T3 ON T3.id = T1.gender_id WHERE T1.race_id = 21 AND T1.gender_id = 1</t>
  </si>
  <si>
    <t>Which hero was the fastest?</t>
  </si>
  <si>
    <t>which hero refers to superhero_name; fastest refers to MAX(attribute_value) WHERE attribute_name = 'Speed';</t>
  </si>
  <si>
    <t>ฮีโร่คนไหนที่อ้างถึง Superhero_name; เร็วที่สุดหมายถึง MAX (attribute_value) โดยที่attribute_name = 'ความเร็ว';</t>
  </si>
  <si>
    <t>SELECT T1.superhero_name FROM superhero AS T1 INNER JOIN hero_attribute AS T2 ON T1.id = T2.hero_id INNER JOIN attribute AS T3 ON T2.attribute_id = T3.id WHERE T3.attribute_name = 'Speed' ORDER BY T2.attribute_value DESC LIMIT 1</t>
  </si>
  <si>
    <t>How many superheroes have a neutral alignment?</t>
  </si>
  <si>
    <t>neutral alignment refers to alignment_id = 3;</t>
  </si>
  <si>
    <t>การจัดตำแหน่งที่เป็นกลางหมายถึงการจัดตำแหน่ง_id = 3;</t>
  </si>
  <si>
    <t>SELECT COUNT(T1.id) FROM superhero AS T1 INNER JOIN alignment AS T2 ON T1.alignment_id = T2.id WHERE T2.alignment = 'Neutral'</t>
  </si>
  <si>
    <t>State all of 3-D Man's attributes along with their values.</t>
  </si>
  <si>
    <t>3-D Man is the superhero_name. attributes refers to attribute_name; values refers to attribute_value;</t>
  </si>
  <si>
    <t>มนุษย์สามมิติคือชื่อซูเปอร์ฮีโร่ คุณลักษณะหมายถึงattribute_name; ค่าหมายถึงattribute_value;</t>
  </si>
  <si>
    <t>SELECT T3.attribute_name, T2.attribute_value FROM superhero AS T1 INNER JOIN hero_attribute AS T2 ON T1.id = T2.hero_id INNER JOIN attribute AS T3 ON T2.attribute_id = T3.id WHERE T1.superhero_name = '3-D Man'</t>
  </si>
  <si>
    <t>Which superheroes have blue eyes with brown hair?</t>
  </si>
  <si>
    <t>which superheroes refers to superhero_name; blue eyes refers to color = 'Blue' and color.id = eye_colour_id; brown hair refers to color = 'Brown' and color.id = hair_colour_id;</t>
  </si>
  <si>
    <t>ซึ่งฮีโร่หมายถึง superhero_name; ดวงตาสีฟ้า หมายถึง color = 'สีน้ำเงิน' และ color.id = eye_color_id; ผมสีน้ำตาลหมายถึงสี = 'สีน้ำตาล' และ color.id = hair_color_id;</t>
  </si>
  <si>
    <t>SELECT T1.superhero_name FROM superhero AS T1 INNER JOIN colour AS T2 ON T1.eye_colour_id = T2.id INNER JOIN colour AS T3 ON T1.hair_colour_id = T3.id WHERE T2.colour = 'Blue' AND T3.colour = 'Brown'</t>
  </si>
  <si>
    <t>What is the publisher for Hawkman, Karate Kid and Speedy?</t>
  </si>
  <si>
    <t>publisher refers to publisher_name; Hawkman refers to superhero_name = 'Hawkman'; Karate Kid refers to superhero_name = 'Karate Kid'; Speedy refers to superhero_name = 'Speedy';</t>
  </si>
  <si>
    <t>ผู้จัดพิมพ์หมายถึงผู้จัดพิมพ์_ชื่อ; ฮอว์กแมนหมายถึงsuperhero_name = 'ฮอว์กแมน'; คาราเต้คิดหมายถึงsuperhero_name = 'คาราเต้คิด'; Speedy หมายถึง superhero_name = 'Speedy';</t>
  </si>
  <si>
    <t>SELECT T2.publisher_name FROM superhero AS T1 INNER JOIN publisher AS T2 ON T1.publisher_id = T2.id WHERE T1.superhero_name IN ('Hawkman', 'Karate Kid', 'Speedy')</t>
  </si>
  <si>
    <t>How many superheroes didn't have any publisher?</t>
  </si>
  <si>
    <t>didn't have any publisher refers to publisher.id = 1;</t>
  </si>
  <si>
    <t>ไม่มีผู้เผยแพร่อ้างอิงถึงสำนักพิมพ์.id = 1;</t>
  </si>
  <si>
    <t>SELECT COUNT(T1.id) FROM superhero AS T1 INNER JOIN publisher AS T2 ON T1.publisher_id = T2.id WHERE T2.id = 1</t>
  </si>
  <si>
    <t>Calculate the percentage of superheroes with blue eyes.</t>
  </si>
  <si>
    <t>percentage = MULTIPLY(DIVIDE(SUM(superhero_name WHERE color = 'Blue'), COUNT(superhero_name)), 100.0); blue eyes refers to color = 'Blue' and color.id =  eye_colour_id = 7;</t>
  </si>
  <si>
    <t>เปอร์เซ็นต์ = MULTIPLY(DIVIDE(SUM(superhero_name WHERE color = 'Blue'), COUNT(superhero_name)), 100.0); ดวงตาสีฟ้า หมายถึง color = 'Blue' และ color.id = eye_color_id = 7;</t>
  </si>
  <si>
    <t>SELECT CAST(COUNT(CASE WHEN T2.colour = 'Blue' THEN 1 ELSE NULL END) AS REAL) * 100 / COUNT(T1.id) FROM superhero AS T1 INNER JOIN colour AS T2 ON T1.eye_colour_id = T2.id</t>
  </si>
  <si>
    <t>Find the ratio between male superheroes and female superheroes.</t>
  </si>
  <si>
    <t>ratio = DIVIDE(SUM(gender_id = 1) / SUM(gender_id = 2)); male superheroes refers to gender = 'Female'; female superheroes refers to gender = 'Male';</t>
  </si>
  <si>
    <t>อัตราส่วน = หาร(SUM(gender_id = 1) / SUM(gender_id = 2)); ฮีโร่ชายหมายถึงเพศ = 'หญิง'; ฮีโร่หญิงหมายถึงเพศ = 'ชาย';</t>
  </si>
  <si>
    <t>SELECT CAST(COUNT(CASE WHEN T2.gender = 'Male' THEN T1.id ELSE NULL END) AS REAL) / COUNT(CASE WHEN T2.gender = 'Female' THEN T1.id ELSE NULL END) FROM superhero AS T1 INNER JOIN gender AS T2 ON T1.gender_id = T2.id</t>
  </si>
  <si>
    <t>Who is the tallest superhero?</t>
  </si>
  <si>
    <t>who refers to superhero_name; tallest superhero refers to MAX(height_cm);</t>
  </si>
  <si>
    <t>ที่อ้างถึง Superhero_name; ซูเปอร์ฮีโร่ที่สูงที่สุดหมายถึง MAX(height_cm);</t>
  </si>
  <si>
    <t>SELECT superhero_name FROM superhero ORDER BY height_cm DESC LIMIT 1</t>
  </si>
  <si>
    <t>What is the power ID of cryokinesis?</t>
  </si>
  <si>
    <t>power ID refers to superpower.id; cryokinesis refers to power_name = 'cryokinesis';</t>
  </si>
  <si>
    <t>power ID หมายถึง superpower.id; ไครโอไคเนซิสหมายถึง power_name = 'ไครโอไคเนซิส';</t>
  </si>
  <si>
    <t>SELECT id FROM superpower WHERE power_name = 'Cryokinesis'</t>
  </si>
  <si>
    <t>Provide the name of superhero with superhero ID 294.</t>
  </si>
  <si>
    <t>name of superhero refers to superhero_name; superhero ID 294 refers to superhero.id = 294;</t>
  </si>
  <si>
    <t>ชื่อของซูเปอร์ฮีโร่หมายถึงsuperhero_name; ซูเปอร์ฮีโร่ ID 294 หมายถึง superhero.id = 294;</t>
  </si>
  <si>
    <t>SELECT superhero_name FROM superhero WHERE id = 294</t>
  </si>
  <si>
    <t>List the full names of superheroes with missing weight.</t>
  </si>
  <si>
    <t>missing weight refers to weight_kg = 0 OR weight_kg = NULL;</t>
  </si>
  <si>
    <t>น้ำหนักที่หายไปหมายถึง Weight_kg = 0 หรือ Weight_kg = NULL;</t>
  </si>
  <si>
    <t>SELECT DISTINCT full_name FROM superhero WHERE full_name IS NOT NULL AND (weight_kg IS NULL OR weight_kg = 0)</t>
  </si>
  <si>
    <t>Provide the eye colour of the superhero who has Karen Beecher-Duncan as their full name.</t>
  </si>
  <si>
    <t>eye colour refers to colour.colour where eye_colour_id = colour.id; Karen Beecher-Duncan is the full name of superhero;</t>
  </si>
  <si>
    <t>สีตาหมายถึง colour.color โดยที่ eye_color_id = colour.id; Karen Beecher-Duncan เป็นชื่อเต็มของซูเปอร์ฮีโร่</t>
  </si>
  <si>
    <t>SELECT T2.colour FROM superhero AS T1 INNER JOIN colour AS T2 ON T1.eye_colour_id = T2.id WHERE T1.full_name = 'Karen Beecher-Duncan'</t>
  </si>
  <si>
    <t>What is the superpowers of the superhero has Helen Parr as their full name?</t>
  </si>
  <si>
    <t>superpowers refers to power_name; Helen Parr is the full name of superhero;</t>
  </si>
  <si>
    <t>มหาอำนาจหมายถึง power_name; Helen Parr เป็นชื่อเต็มของซูเปอร์ฮีโร่</t>
  </si>
  <si>
    <t>SELECT T3.power_name FROM superhero AS T1 INNER JOIN hero_power AS T2 ON T1.id = T2.hero_id INNER JOIN superpower AS T3 ON T2.power_id = T3.id WHERE T1.full_name = 'Helen Parr'</t>
  </si>
  <si>
    <t>Find the race of the superhero who weighs 108kg and is 188cm tall.</t>
  </si>
  <si>
    <t>weighs 108kg refers to weight_kg = 108; 188cm tall refers to height_cm = 188;</t>
  </si>
  <si>
    <t>น้ำหนัก 108 กก. หมายถึง Weight_kg = 108; ส่วนสูง 188 ซม. หมายถึง height_cm = 188;</t>
  </si>
  <si>
    <t>SELECT DISTINCT T2.race FROM superhero AS T1 INNER JOIN race AS T2 ON T1.race_id = T2.id WHERE T1.weight_kg = 108 AND T1.height_cm = 188</t>
  </si>
  <si>
    <t>What is the publisher name of the superhero ID 38?</t>
  </si>
  <si>
    <t>superhero ID 38 refers to superhero.id = 38;</t>
  </si>
  <si>
    <t>ซูเปอร์ฮีโร่ ID 38 หมายถึง superhero.id = 38;</t>
  </si>
  <si>
    <t>SELECT T2.publisher_name FROM superhero AS T1 INNER JOIN publisher AS T2 ON T1.publisher_id = T2.id WHERE T1.id = 38</t>
  </si>
  <si>
    <t>What is the race of the superhero with maximum attribute value?</t>
  </si>
  <si>
    <t>maximum attribute value refers to MAX(attribute_value);</t>
  </si>
  <si>
    <t>ค่าแอตทริบิวต์สูงสุดหมายถึง MAX (attribute_value);</t>
  </si>
  <si>
    <t>SELECT T3.race FROM superhero AS T1 INNER JOIN hero_attribute AS T2 ON T1.id = T2.hero_id INNER JOIN race AS T3 ON T1.race_id = T3.id ORDER BY T2.attribute_value DESC LIMIT 1</t>
  </si>
  <si>
    <t>Give the alignment and superpowers of the superhero named Atom IV.</t>
  </si>
  <si>
    <t>superpowers refers to power_name;</t>
  </si>
  <si>
    <t>มหาอำนาจหมายถึง power_name;</t>
  </si>
  <si>
    <t>SELECT T4.alignment, T3.power_name FROM superhero AS T1 INNER JOIN hero_power AS T2 ON T1.id = T2.hero_id INNER JOIN superpower AS T3 ON T3.id = T2.power_id INNER JOIN alignment AS T4 ON T1.alignment_id = T4.id WHERE T1.superhero_name = 'Atom IV'</t>
  </si>
  <si>
    <t>List down at least five full names of superheroes with blue eyes.</t>
  </si>
  <si>
    <t>blue eyes refers to colour.colour = 'Blue' WHERE eye_colour_id = colour.id; Name of superheroes refers to superhero_name;</t>
  </si>
  <si>
    <t>ดวงตาสีฟ้า หมายถึง colour.color = 'สีน้ำเงิน' โดยที่ eye_color_id = colour.id; ชื่อของฮีโร่หมายถึงsuperhero_name;</t>
  </si>
  <si>
    <t>SELECT T1.superhero_name FROM superhero AS T1 INNER JOIN colour AS T2 ON T1.eye_colour_id = T2.id WHERE T2.colour = 'Blue' LIMIT 5</t>
  </si>
  <si>
    <t>Calculate the average attribute value of all neutral superheroes.</t>
  </si>
  <si>
    <t>average = AVG(attribute_value); neutral superheroes refers to alignment_id = 3;</t>
  </si>
  <si>
    <t>ค่าเฉลี่ย = AVG (แอตทริบิวต์_ค่า); ฮีโร่ที่เป็นกลางหมายถึง Alignment_id = 3;</t>
  </si>
  <si>
    <t>SELECT AVG(T1.attribute_value) FROM hero_attribute AS T1 INNER JOIN superhero AS T2 ON T1.hero_id = T2.id INNER JOIN alignment AS T3 ON T2.alignment_id = T3.id WHERE T3.alignment = 'Neutral'</t>
  </si>
  <si>
    <t>List the skin colour of the superheroes with 100 attribute value.</t>
  </si>
  <si>
    <t>skin colour refers to colour.colour where skin_colour_id = colour.id; 100 attribute value refers to attribute_value = 100;</t>
  </si>
  <si>
    <t>สีผิวหมายถึง colour.color โดยที่ skin_color_id = colour.id; ค่าแอตทริบิวต์ 100 อ้างอิงถึงattribute_value = 100;</t>
  </si>
  <si>
    <t>SELECT DISTINCT T2.colour FROM superhero AS T1 INNER JOIN colour AS T2 ON T1.skin_colour_id = T2.id INNER JOIN hero_attribute AS T3 ON T1.id = T3.hero_id WHERE T3.attribute_value = 100</t>
  </si>
  <si>
    <t>Count the good female superheroes.</t>
  </si>
  <si>
    <t>good refers to alignment.id = 1; female refers to gender.id = 2;</t>
  </si>
  <si>
    <t>ดีหมายถึงการจัดตำแหน่ง.id = 1; หญิงหมายถึงgender.id = 2;</t>
  </si>
  <si>
    <t>SELECT COUNT(T1.id) FROM superhero AS T1 INNER JOIN alignment AS T2 ON T1.alignment_id = T2.id INNER JOIN gender AS T3 ON T1.gender_id = T3.id WHERE T2.alignment = 'Good' AND T3.gender = 'Female'</t>
  </si>
  <si>
    <t>Provide the names of superheroes with attribute value between 75 to 80.</t>
  </si>
  <si>
    <t>names of superheroes refers to superhero_name; attribute value between 75 to 80 refers to attribute_value BETWEEN 75 AND 80;</t>
  </si>
  <si>
    <t>ชื่อของฮีโร่หมายถึงsuperhero_name; ค่าแอตทริบิวต์ระหว่าง 75 ถึง 80 หมายถึงแอตทริบิวต์_ค่าระหว่าง 75 และ 80</t>
  </si>
  <si>
    <t>SELECT T1.superhero_name FROM superhero AS T1 INNER JOIN hero_attribute AS T2 ON T1.id = T2.hero_id WHERE T2.attribute_value BETWEEN 75 AND 80</t>
  </si>
  <si>
    <t>Give the race of the blue-haired male superhero.</t>
  </si>
  <si>
    <t>blue-haired refers to colour.colour = 'blue' WHERE hair_colour_id = colour.id; male refers to gender = 'male';</t>
  </si>
  <si>
    <t>ผมสีฟ้า หมายถึง colour.color = 'blue' โดยที่ hair_color_id = colour.id; ชายหมายถึงเพศ = 'ชาย';</t>
  </si>
  <si>
    <t>SELECT T3.race FROM superhero AS T1 INNER JOIN colour AS T2 ON T1.hair_colour_id = T2.id INNER JOIN race AS T3 ON T1.race_id = T3.id INNER JOIN gender AS T4 ON T1.gender_id = T4.id WHERE T2.colour = 'Blue' AND T4.gender = 'Male'</t>
  </si>
  <si>
    <t>Among the bad superheroes, what is the percentage of female superheroes?</t>
  </si>
  <si>
    <t>bad superheroes refers to alignment.id = 2; percentage = MULTIPLY(DIVIDE(SUM(gender.id = 2 WHERE alignment.id = 2), COUNT(alignment.id = 2)), 100.0); female refers to gender.id = 2;</t>
  </si>
  <si>
    <t>ฮีโร่ที่ไม่ดีหมายถึง Alignment.id = 2; เปอร์เซ็นต์ = คูณ (หาร (SUM (gender.id = 2 โดยที่ Alignment.id = 2), COUNT (alignment.id = 2)), 100.0); หญิงหมายถึงgender.id = 2;</t>
  </si>
  <si>
    <t>SELECT CAST(COUNT(CASE WHEN T3.gender = 'Female' THEN T1.id ELSE NULL END) AS REAL) * 100 / COUNT(T1.id) FROM superhero AS T1 INNER JOIN alignment AS T2 ON T1.alignment_id = T2.id INNER JOIN gender AS T3 ON T1.gender_id = T3.id WHERE T2.alignment = 'Bad'</t>
  </si>
  <si>
    <t>In superheroes with missing weight data, calculate the difference between the number of superheroes with blue eyes and no eye color.</t>
  </si>
  <si>
    <t>missing weight data refers to weight_kg = 0 OR T1.weight_kg = NULL; difference = SUBTRACT(SUM(colour.id = 7), SUM(colour.id = 1)); blue eyes refers to eye_colour_id WHERE colour.id = 7; no eye color refers to eye_colour_id WHERE colour.id = 1;</t>
  </si>
  <si>
    <t>ข้อมูลน้ำหนักที่หายไปหมายถึง Weight_kg = 0 หรือ T1.weight_kg = NULL; ความแตกต่าง = SUBTRACT(SUM(color.id = 7), SUM(color.id = 1)); ดวงตาสีฟ้า หมายถึง eye_color_id โดยที่ colour.id = 7; ไม่มีสีตาหมายถึง eye_color_id โดยที่ colour.id = 1;</t>
  </si>
  <si>
    <t>SELECT SUM(CASE WHEN T2.id = 7 THEN 1 ELSE 0 END) - SUM(CASE WHEN T2.id = 1 THEN 1 ELSE 0 END) FROM superhero AS T1 INNER JOIN colour AS T2 ON T1.eye_colour_id = T2.id WHERE T1.weight_kg = 0 OR T1.weight_kg is NULL</t>
  </si>
  <si>
    <t>How strong is the Hulk?</t>
  </si>
  <si>
    <t>how strong refers to attribute_value WHERE attribute_name = 'Strength'; the Hulk refers to superhero_name = 'Hulk';</t>
  </si>
  <si>
    <t>ความแข็งแกร่งหมายถึงattribute_value WHEREattribute_name = 'Strength'; Hulk หมายถึง superhero_name = 'Hulk';</t>
  </si>
  <si>
    <t>SELECT T2.attribute_value FROM superhero AS T1 INNER JOIN hero_attribute AS T2 ON T1.id = T2.hero_id INNER JOIN attribute AS T3 ON T2.attribute_id = T3.id WHERE T1.superhero_name = 'Hulk' AND T3.attribute_name = 'Strength'</t>
  </si>
  <si>
    <t>List down Ajax's superpowers.</t>
  </si>
  <si>
    <t>Ajax refers to superhero_name = 'Ajax'; superpowers refers to power_name;</t>
  </si>
  <si>
    <t>อาแจ็กซ์หมายถึงsuperhero_name = 'อาแจ็กซ์'; มหาอำนาจหมายถึง power_name;</t>
  </si>
  <si>
    <t>SELECT T3.power_name FROM superhero AS T1 INNER JOIN hero_power AS T2 ON T1.id = T2.hero_id INNER JOIN superpower AS T3 ON T2.power_id = T3.id WHERE T1.superhero_name = 'Ajax'</t>
  </si>
  <si>
    <t>How many green-skinned villains are there in the superhero universe?</t>
  </si>
  <si>
    <t>green-skinned refers to colour.colour = 'Green' WHERE skin_colour_id = colour.id; villains refers to alignment = 'Bad';</t>
  </si>
  <si>
    <t>ผิวสีเขียวหมายถึง colour.color = 'สีเขียว' โดยที่ skin_color_id = colour.id; คนร้ายหมายถึงการจัดตำแหน่ง = 'ไม่ดี';</t>
  </si>
  <si>
    <t>SELECT COUNT(T1.id) FROM superhero AS T1 INNER JOIN alignment AS T2 ON T1.alignment_id = T2.id INNER JOIN colour AS T3 ON T1.skin_colour_id = T3.id WHERE T2.alignment = 'Bad' AND T3.colour = 'Green'</t>
  </si>
  <si>
    <t>How many female superheroes are in Marvel Comics?</t>
  </si>
  <si>
    <t>female refers to gender = 'Female'; Marvel Comics refers to publisher_name = 'Marvel Comics';</t>
  </si>
  <si>
    <t>หญิงหมายถึงเพศ = 'หญิง'; Marvel Comics อ้างอิงถึง vendor_name = 'Marvel Comics';</t>
  </si>
  <si>
    <t>SELECT COUNT(T1.id) FROM superhero AS T1 INNER JOIN publisher AS T2 ON T1.publisher_id = T2.id INNER JOIN gender AS T3 ON T1.gender_id = T3.id WHERE T2.publisher_name = 'Marvel Comics' AND T3.gender = 'Female'</t>
  </si>
  <si>
    <t>Identify superheroes who can control wind and list their names in alphabetical order.</t>
  </si>
  <si>
    <t>superheroes refers to superhero_name; can control wind refers to power_name = 'Wind Control';</t>
  </si>
  <si>
    <t>ฮีโร่หมายถึง Superhero_name; สามารถควบคุมลมหมายถึง power_name = 'Wind Control';</t>
  </si>
  <si>
    <t>SELECT T1.superhero_name FROM superhero AS T1 INNER JOIN hero_power AS T2 ON T1.id = T2.hero_id INNER JOIN superpower AS T3 ON T2.power_id = T3.id WHERE T3.power_name = 'Wind Control' ORDER BY T1.superhero_name</t>
  </si>
  <si>
    <t>Identify the gender of the superhero who has the ability of Phoenix Force.</t>
  </si>
  <si>
    <t>ability of Phoenix Force refers to power_name = 'Phoenix Force';</t>
  </si>
  <si>
    <t>ความสามารถของ Phoenix Force หมายถึง power_name = 'Phoenix Force';</t>
  </si>
  <si>
    <t>SELECT T4.gender FROM superhero AS T1 INNER JOIN hero_power AS T2 ON T1.id = T2.hero_id INNER JOIN superpower AS T3 ON T2.power_id = T3.id INNER JOIN gender AS T4 ON T1.gender_id = T4.id WHERE T3.power_name = 'Phoenix Force'</t>
  </si>
  <si>
    <t>Identify the heaviest superhero in DC Comics.</t>
  </si>
  <si>
    <t>heaviest refers to MAX(weight_kg); DC Comics refers to publisher_name = 'DC Comics'; superhero refers to superhero_name;</t>
  </si>
  <si>
    <t>หนักที่สุดหมายถึง MAX(weight_kg); การ์ตูนดีซีหมายถึงผู้จัดพิมพ์_ชื่อ = 'การ์ตูนดีซี'; ซูเปอร์ฮีโร่หมายถึง Superhero_name;</t>
  </si>
  <si>
    <t>SELECT T1.superhero_name FROM superhero AS T1 INNER JOIN publisher AS T2 ON T1.publisher_id = T2.id WHERE T2.publisher_name = 'DC Comics' ORDER BY T1.weight_kg DESC LIMIT 1</t>
  </si>
  <si>
    <t>What is the average height of a non-human superhero in Dark Horse Comics?</t>
  </si>
  <si>
    <t>average = AVG(height_cm); non-human superhero refers to race &lt;&gt; 'Human'; Dark Horse Comics refers to publisher_name = 'Dark Horse Comics';</t>
  </si>
  <si>
    <t>ค่าเฉลี่ย = AVG(height_cm); ซูเปอร์ฮีโร่ที่ไม่ใช่มนุษย์หมายถึงเชื้อชาติ &lt;&gt; 'มนุษย์'; Dark Horse Comics หมายถึง Published_name = 'Dark Horse Comics';</t>
  </si>
  <si>
    <t>SELECT AVG(T1.height_cm) FROM superhero AS T1 INNER JOIN publisher AS T2 ON T1.publisher_id = T2.id INNER JOIN race AS T3 ON T1.race_id = T3.id WHERE T2.publisher_name = 'Dark Horse Comics' AND T3.race != 'Human'</t>
  </si>
  <si>
    <t>Count the fastest superheroes.</t>
  </si>
  <si>
    <t>fastest refers to attribute_value = 100 WHERE attribute_name = 'Speed';</t>
  </si>
  <si>
    <t>เร็วที่สุดหมายถึงattribute_value = 100 โดยที่attribute_name = 'ความเร็ว';</t>
  </si>
  <si>
    <t>SELECT COUNT(T3.superhero_name) FROM hero_attribute AS T1 INNER JOIN attribute AS T2 ON T1.attribute_id = T2.id INNER JOIN superhero AS T3 ON T1.hero_id = T3.id WHERE T2.attribute_name = 'Speed' AND T1.attribute_value = 100</t>
  </si>
  <si>
    <t>Which publisher created more superheroes: DC or Marvel Comics? Find the difference in the number of superheroes.</t>
  </si>
  <si>
    <t>DC refers to publisher_name = 'DC Comics'; Marvel Comics refers to publisher_name = 'Marvel Comics'; difference = SUBTRACT(SUM(publisher_name = 'DC Comics'), SUM(publisher_name = 'Marvel Comics'));</t>
  </si>
  <si>
    <t>DC อ้างถึงสำนักพิมพ์_ชื่อ = 'การ์ตูนดีซี'; Marvel Comics อ้างอิงถึง vendor_name = 'Marvel Comics'; ความแตกต่าง = SUBTRACT(SUM(publisher_name = 'DC Comics'), SUM(publisher_name = 'Marvel Comics'));</t>
  </si>
  <si>
    <t>SELECT SUM(CASE WHEN T2.publisher_name = 'DC Comics' THEN 1 ELSE 0 END) - SUM(CASE WHEN T2.publisher_name = 'Marvel Comics' THEN 1 ELSE 0 END) FROM superhero AS T1 INNER JOIN publisher AS T2 ON T1.publisher_id = T2.id</t>
  </si>
  <si>
    <t>Identify the weakest attribute of the Black Panther.</t>
  </si>
  <si>
    <t>weakest attribute refers to attribute_name WHERE MIN(attribute_value); Black Panther refers to superhero_name = 'Black Panther';</t>
  </si>
  <si>
    <t>คุณลักษณะที่อ่อนแอที่สุดอ้างถึงattribute_name WHERE MIN(attribute_value); เสือดำ หมายถึง superhero_name = 'เสือดำ';</t>
  </si>
  <si>
    <t>SELECT T3.attribute_name FROM superhero AS T1 INNER JOIN hero_attribute AS T2 ON T1.id = T2.hero_id INNER JOIN attribute AS T3 ON T2.attribute_id = T3.id WHERE T1.superhero_name = 'Black Panther' ORDER BY T2.attribute_value ASC LIMIT 1</t>
  </si>
  <si>
    <t>What is Abomination's eye colour?</t>
  </si>
  <si>
    <t>Abomination refers to superhero_name = 'Abomination'; eye colour refers to colour.colour where eye_colour_id = colour.id;</t>
  </si>
  <si>
    <t>Abomination หมายถึง superhero_name = 'Abomination'; สีตาหมายถึง colour.color โดยที่ eye_color_id = colour.id;</t>
  </si>
  <si>
    <t>SELECT T2.colour FROM superhero AS T1 INNER JOIN colour AS T2 ON T1.eye_colour_id = T2.id WHERE T1.superhero_name = 'Abomination'</t>
  </si>
  <si>
    <t>Name the tallest superhero.</t>
  </si>
  <si>
    <t>tallest superhero refers to MAX(height_cm);</t>
  </si>
  <si>
    <t>ซูเปอร์ฮีโร่ที่สูงที่สุดหมายถึง MAX(height_cm);</t>
  </si>
  <si>
    <t>Name the superhero, otherwise known as Charles Chandler.</t>
  </si>
  <si>
    <t>name the superhero refers to superhero_name; Charles Chandler is the full name of superhero;</t>
  </si>
  <si>
    <t>ชื่อซูเปอร์ฮีโร่หมายถึง Superhero_name; Charles Chandler เป็นชื่อเต็มของซูเปอร์ฮีโร่</t>
  </si>
  <si>
    <t>SELECT superhero_name FROM superhero WHERE full_name = 'Charles Chandler'</t>
  </si>
  <si>
    <t>Among all superheroes created by George Lucas, identify the percentage of female superheroes.</t>
  </si>
  <si>
    <t>created by George Lucas refers to publisher_name = 'George Lucas'; percentage = MULTIPLY(DIVIDE(SUM(gender = 'Female' WHERE publisher_name = 'George Lucas'), COUNT(publisher_name = 'George Lucas')), 100.0); female refers to gender = 'Female';</t>
  </si>
  <si>
    <t>สร้างโดย George Lucas อ้างถึง vendor_name = 'George Lucas'; เปอร์เซ็นต์ = MULTIPLY(DIVIDE(SUM(gender = 'Female' WHERE vendor_name = 'George Lucas'), COUNT(publisher_name = 'George Lucas')), 100.0); หญิงหมายถึงเพศ = 'หญิง';</t>
  </si>
  <si>
    <t>SELECT CAST(COUNT(CASE WHEN T3.gender = 'Female' THEN 1 ELSE NULL END) AS REAL) * 100 / COUNT(T1.id) FROM superhero AS T1 INNER JOIN publisher AS T2 ON T1.publisher_id = T2.id INNER JOIN gender AS T3 ON T1.gender_id = T3.id WHERE T2.publisher_name = 'George Lucas'</t>
  </si>
  <si>
    <t>Among all superheroes in Marvel Comics, identify the percentage of 'good' superheroes.</t>
  </si>
  <si>
    <t>Marvel Comics refers to publisher_name = 'Marvel Comics'; percentage = MULTIPLY(DIVIDE(SUM(alignment = 'Good' WHERE publisher_name = 'Marvel Comics'), COUNT(publisher_name = 'Marvel Comics')), 100.0); good superheroes refers to alignment = 'Good';</t>
  </si>
  <si>
    <t>Marvel Comics อ้างอิงถึง vendor_name = 'Marvel Comics'; เปอร์เซ็นต์ = MULTIPLY(DIVIDE(SUM(การจัดแนว = 'ดี' โดยที่ vendor_name = 'Marvel Comics'), COUNT(publisher_name = 'Marvel Comics')), 100.0); ฮีโร่ที่ดีหมายถึงการจัดตำแหน่ง = 'ดี';</t>
  </si>
  <si>
    <t>SELECT CAST(COUNT(CASE WHEN T3.alignment = 'Good' THEN T1.id ELSE NULL END) AS REAL) * 100 / COUNT(T1.id) FROM superhero AS T1 INNER JOIN publisher AS T2 ON T1.publisher_id = T2.id INNER JOIN alignment AS T3 ON T1.alignment_id = T3.id WHERE T2.publisher_name = 'Marvel Comics'</t>
  </si>
  <si>
    <t>What is the total number of superheroes that have John as their first name?</t>
  </si>
  <si>
    <t>have John as their first name refers to full_name LIKE 'John%';</t>
  </si>
  <si>
    <t>ให้ John เป็นชื่อแรกหมายถึงชื่อเต็ม LIKE 'John%';</t>
  </si>
  <si>
    <t>SELECT COUNT(id) FROM superhero WHERE full_name LIKE 'John%'</t>
  </si>
  <si>
    <t>Give the hero ID of superhero with the lowest attribute value.</t>
  </si>
  <si>
    <t>lowest attribute value refers to MIN(attribute_value);</t>
  </si>
  <si>
    <t>ค่าแอตทริบิวต์ต่ำสุดหมายถึง MIN(attribute_value);</t>
  </si>
  <si>
    <t>SELECT hero_id FROM hero_attribute WHERE attribute_value = ( SELECT MIN(attribute_value) FROM hero_attribute )</t>
  </si>
  <si>
    <t>Provide the full name of the superhero named Alien.</t>
  </si>
  <si>
    <t>SELECT full_name FROM superhero WHERE superhero_name = 'Alien'</t>
  </si>
  <si>
    <t>In superheroes with weight less than 100, list the full name of the superheroes with brown eyes.</t>
  </si>
  <si>
    <t>weight less than 100 refers to weight_kg &lt; 100</t>
  </si>
  <si>
    <t>น้ำหนักน้อยกว่า 100 หมายถึง Weight_kg &lt; 100</t>
  </si>
  <si>
    <t>SELECT T1.full_name FROM superhero AS T1 INNER JOIN colour AS T2 ON T1.eye_colour_id = T2.id WHERE T1.weight_kg &lt; 100 AND T2.colour = 'Brown'</t>
  </si>
  <si>
    <t>List the attribute value of the superhero named Aquababy.</t>
  </si>
  <si>
    <t>SELECT T2.attribute_value FROM superhero AS T1 INNER JOIN hero_attribute AS T2 ON T1.id = T2.hero_id WHERE T1.superhero_name = 'Aquababy'</t>
  </si>
  <si>
    <t>Provide the weight and race of the superhero with superhero ID 40.</t>
  </si>
  <si>
    <t>weight refers to weight_kg; superhero ID 40 refers to superhero.id = 40;</t>
  </si>
  <si>
    <t>น้ำหนักหมายถึง Weight_kg; ซูเปอร์ฮีโร่ ID 40 หมายถึง superhero.id = 40;</t>
  </si>
  <si>
    <t>SELECT T1.weight_kg, T2.race FROM superhero AS T1 INNER JOIN race AS T2 ON T1.race_id = T2.id WHERE T1.id = 40</t>
  </si>
  <si>
    <t>Calculate the average height of all neutral superheroes.</t>
  </si>
  <si>
    <t>SELECT AVG(T1.height_cm) FROM superhero AS T1 INNER JOIN alignment AS T2 ON T1.alignment_id = T2.id WHERE T2.alignment = 'Neutral'</t>
  </si>
  <si>
    <t>List the hero ID of superheroes have intellegence as their power.</t>
  </si>
  <si>
    <t>hero ID refers to superhero.id; have intelligence as their power refers to power_name = 'Intelligence';</t>
  </si>
  <si>
    <t>ID ฮีโร่หมายถึง superhero.id; มีสติปัญญาเนื่องจากพลังของพวกเขาอ้างถึง power_name = 'ความฉลาด';</t>
  </si>
  <si>
    <t>SELECT T1.hero_id FROM hero_power AS T1 INNER JOIN superpower AS T2 ON T1.power_id = T2.id WHERE T2.power_name = 'Intelligence'</t>
  </si>
  <si>
    <t>Give the eye colour of Blackwulf.</t>
  </si>
  <si>
    <t>eye colour refers to colour.colour where eye_colour_id = colour.id; Blackwulf refers to superhero_name = 'Blackwulf';</t>
  </si>
  <si>
    <t>สีตาหมายถึง colour.color โดยที่ eye_color_id = colour.id; Blackwulf อ้างอิงถึง superhero_name = 'Blackwulf';</t>
  </si>
  <si>
    <t>SELECT T2.colour FROM superhero AS T1 INNER JOIN colour AS T2 ON T1.eye_colour_id = T2.id WHERE T1.superhero_name = 'Blackwulf'</t>
  </si>
  <si>
    <t>List the power of superheroes with height greater than 80% of the average height of all superheroes.</t>
  </si>
  <si>
    <t>power of superheroes refers to power_name; height greater than 80% of the average height of all superheroes = height_cm &gt; MULTIPLY(AVG(height_cm), 0.8);</t>
  </si>
  <si>
    <t>พลังของฮีโร่หมายถึง power_name; ความสูงมากกว่า 80% ของความสูงเฉลี่ยของฮีโร่ทั้งหมด = height_cm &gt; MULTIPLY(AVG(height_cm), 0.8);</t>
  </si>
  <si>
    <t>SELECT T3.power_name FROM superhero AS T1 INNER JOIN hero_power AS T2 ON T1.id = T2.hero_id INNER JOIN superpower AS T3 ON T2.power_id = T3.id WHERE T1.height_cm * 100 &gt; ( SELECT AVG(height_cm) FROM superhero ) * 80</t>
  </si>
  <si>
    <t>formula_1</t>
  </si>
  <si>
    <t>Please list the reference names of the drivers who are eliminated in the first period in race number 20.</t>
  </si>
  <si>
    <t>driver reference name refers to driverRef; first qualifying period refers to q1; drivers who are eliminated in the first qualifying period refers to 5 drivers with MAX(q1); race number refers to raceId;</t>
  </si>
  <si>
    <t>ชื่ออ้างอิงไดรเวอร์หมายถึง driverRef; ช่วงคัดเลือกรอบแรกหมายถึงไตรมาสที่ 1; นักแข่งที่ถูกคัดออกในช่วงคัดเลือกรอบแรกหมายถึงนักแข่ง 5 คนที่มีคะแนนสูงสุด (q1) หมายเลขการแข่งขันหมายถึง raceId;</t>
  </si>
  <si>
    <t>SELECT T2.driverRef FROM qualifying AS T1 INNER JOIN drivers AS T2 ON T2.driverId = T1.driverId WHERE T1.raceId = 20 ORDER BY T1.q1 DESC LIMIT 5</t>
  </si>
  <si>
    <t>What is the surname of the driver with the best lap time in race number 19 in the second qualifying period?</t>
  </si>
  <si>
    <t>race number refers to raceId; second qualifying period refers to q2; best lap time refers to MIN(q2);</t>
  </si>
  <si>
    <t>หมายเลขการแข่งขันหมายถึง raceId; ช่วงการคัดเลือกครั้งที่สองหมายถึงไตรมาสที่ 2; เวลาต่อรอบที่ดีที่สุดคือ MIN(q2);</t>
  </si>
  <si>
    <t>SELECT T2.surname FROM qualifying AS T1 INNER JOIN drivers AS T2 ON T2.driverId = T1.driverId WHERE T1.raceId = 19 ORDER BY T1.q2 ASC LIMIT 1</t>
  </si>
  <si>
    <t>Please list the year during which the race is held on circuits in Shanghai.</t>
  </si>
  <si>
    <t>Shanghai is a name of location;</t>
  </si>
  <si>
    <t>เซี่ยงไฮ้เป็นชื่อของสถานที่</t>
  </si>
  <si>
    <t>SELECT T2.year FROM circuits AS T1 INNER JOIN races AS T2 ON T2.circuitID = T1.circuitId WHERE T1.location = 'Shanghai'</t>
  </si>
  <si>
    <t>Where can the introduction of the races held on Circuit de Barcelona-Catalunya be found?</t>
  </si>
  <si>
    <t>introduction of races refers to url; Circuit de Barcelona-Catalunya is a name of circuit;</t>
  </si>
  <si>
    <t>การแนะนำเชื้อชาติหมายถึง url; Circuit de Barcelona-Catalunya เป็นชื่อของสนามแข่ง</t>
  </si>
  <si>
    <t>SELECT DISTINCT T1.url FROM circuits AS T1 INNER JOIN races AS T2 ON T2.circuitID = T1.circuitId WHERE T1.name = 'Circuit de Barcelona-Catalunya'</t>
  </si>
  <si>
    <t>Please give the name of the race held on the circuits in Germany.</t>
  </si>
  <si>
    <t>Germany is a name of country;</t>
  </si>
  <si>
    <t>เยอรมนีเป็นชื่อประเทศ</t>
  </si>
  <si>
    <t>SELECT DISTINCT T2.name FROM circuits AS T1 INNER JOIN races AS T2 ON T2.circuitID = T1.circuitId WHERE T1.country = 'Germany'</t>
  </si>
  <si>
    <t>Please list the positions of the circuits built by the constructor Renault.</t>
  </si>
  <si>
    <t>Renault is a name of constructor;</t>
  </si>
  <si>
    <t>เรโนลต์เป็นชื่อของคอนสตรัคเตอร์</t>
  </si>
  <si>
    <t>SELECT DISTINCT T1.position FROM constructorStandings AS T1 INNER JOIN constructors AS T2 ON T2.constructorId = T1.constructorId WHERE T2.name = 'Renault'</t>
  </si>
  <si>
    <t>How many races in the year 2010 are held on grand prixs outside Asia and Europe?</t>
  </si>
  <si>
    <t>SELECT COUNT(T3.raceId) FROM circuits AS T1 INNER JOIN races AS T3 ON T3.circuitID = T1.circuitId WHERE T1.country NOT IN ( 'Bahrain', 'China', 'Singapore', 'Japan', 'Korea', 'Turkey', 'UAE', 'Malaysia', 'Spain', 'Monaco', 'Azerbaijan', 'Austria', 'Belgium', 'France', 'Germany', 'Hungary', 'Italy', 'UK' ) AND T3.year = 2010</t>
  </si>
  <si>
    <t>Please give the names of the races held on the circuits in Spain.</t>
  </si>
  <si>
    <t>Spain is a name of country;</t>
  </si>
  <si>
    <t>สเปนเป็นชื่อประเทศ</t>
  </si>
  <si>
    <t>SELECT DISTINCT T2.name FROM circuits AS T1 INNER JOIN races AS T2 ON T2.circuitID = T1.circuitId WHERE T1.country = 'Spain'</t>
  </si>
  <si>
    <t>What is the coordinates location of the circuits for Australian grand prix?</t>
  </si>
  <si>
    <t>coordinate position/location refers to lat, lng; circuits for Australian grand prix refers to races.name = 'Australian Grand Prix'</t>
  </si>
  <si>
    <t>ตำแหน่งพิกัด/ตำแหน่ง หมายถึง lat, lng; สนามแข่ง Australian Grand Prix หมายถึง races.name = 'Australian Grand Prix'</t>
  </si>
  <si>
    <t>SELECT DISTINCT T1.lat, T1.lng FROM circuits AS T1 INNER JOIN races AS T2 ON T2.circuitID = T1.circuitId WHERE T2.name = 'Australian Grand Prix'</t>
  </si>
  <si>
    <t>Where can I find the information about the races held on Sepang International Circuit?</t>
  </si>
  <si>
    <t>information about races refers to url;</t>
  </si>
  <si>
    <t>ข้อมูลเกี่ยวกับเชื้อชาติอ้างอิงถึง url;</t>
  </si>
  <si>
    <t>SELECT DISTINCT T1.url FROM circuits AS T1 INNER JOIN races AS T2 ON T2.circuitID = T1.circuitId WHERE T1.name = 'Sepang International Circuit'</t>
  </si>
  <si>
    <t>Please list the time of the races held on Sepang International Circuit.</t>
  </si>
  <si>
    <t>SELECT DISTINCT T2.time FROM circuits AS T1 INNER JOIN races AS T2 ON T2.circuitID = T1.circuitId WHERE T1.name = 'Sepang International Circuit'</t>
  </si>
  <si>
    <t>Give the coordinate position for Abu Dhabi Grand Prix.</t>
  </si>
  <si>
    <t>coordinate position/location refers to lat, lng; Abu Dhabi Grand Prix refers to races.name = 'Abu Dhabi Grand Prix'</t>
  </si>
  <si>
    <t>ตำแหน่งพิกัด/ตำแหน่ง หมายถึง lat, lng; Abu Dhabi Grand Prix หมายถึง races.name = 'Abu Dhabi Grand Prix'</t>
  </si>
  <si>
    <t>SELECT DISTINCT T1.lat, T1.lng FROM circuits AS T1 INNER JOIN races AS T2 ON T2.circuitID = T1.circuitId WHERE T2.name = 'Abu Dhabi Grand Prix'</t>
  </si>
  <si>
    <t>Which country is the constructor which got 1 point in the race No. 24 from?</t>
  </si>
  <si>
    <t>race number refers to raceId;</t>
  </si>
  <si>
    <t>หมายเลขการแข่งขันหมายถึง raceId;</t>
  </si>
  <si>
    <t>SELECT T2.nationality FROM constructorResults AS T1 INNER JOIN constructors AS T2 ON T2.constructorId = T1.constructorId WHERE T1.raceId = 24 AND T1.points = 1</t>
  </si>
  <si>
    <t>What's Bruno Senna's Q1 result in the qualifying race No. 354?</t>
  </si>
  <si>
    <t>race number refers to raceId; Bruno Senna refers to the full name of the driver; Full name of the driver refers to drivers.forename and drivers.surname;</t>
  </si>
  <si>
    <t>หมายเลขการแข่งขันหมายถึง raceId; บรูโน เซนนา หมายถึงชื่อเต็มของผู้ขับขี่ ชื่อเต็มของผู้ขับขี่หมายถึง drivers.forename และ drivers.surname;</t>
  </si>
  <si>
    <t>SELECT T1.q1 FROM qualifying AS T1 INNER JOIN drivers AS T2 ON T2.driverId = T1.driverId WHERE T1.raceId = 354 AND T2.forename = 'Bruno' AND T2.surname = 'Senna'</t>
  </si>
  <si>
    <t>For the driver who had the Q2 time as 0:01:40 in the qualifying race No. 355, what is his nationality?</t>
  </si>
  <si>
    <t>SELECT DISTINCT T2.nationality FROM qualifying AS T1 INNER JOIN drivers AS T2 ON T2.driverId = T1.driverId WHERE T1.raceId = 355 AND T1.q2 LIKE '1:40%'</t>
  </si>
  <si>
    <t>What is his number of the driver who finished 0:01:54 in the Q3 of qualifying race No.903?</t>
  </si>
  <si>
    <t>race number refers to raceId; finished 0:0M:SS in the Q3 refers to q3 LIKE 'M:SS%'</t>
  </si>
  <si>
    <t>หมายเลขการแข่งขันหมายถึง raceId; เสร็จสิ้น 0:0M:SS ในไตรมาส 3 หมายถึง q3 LIKE 'M:SS%'</t>
  </si>
  <si>
    <t>SELECT T2.number FROM qualifying AS T1 INNER JOIN drivers AS T2 ON T2.driverId = T1.driverId WHERE T1.raceId = 903 AND T1.q3 LIKE '1:54%'</t>
  </si>
  <si>
    <t>For the Bahrain Grand Prix in 2007, how many drivers not finished the game?</t>
  </si>
  <si>
    <t>Bahrain Grand Prix refers to races.name = 'Bahrain Grand Prix'; drivers who finished the race refers to time is not empty (i.e. time IS NOT NULL);</t>
  </si>
  <si>
    <t>บาห์เรน กรังด์ปรีซ์ หมายถึง races.name = 'บาห์เรน กรังด์ปรีซ์'; นักแข่งที่เข้าเส้นชัยหมายถึงเวลาไม่ว่างเปล่า (เช่น เวลาไม่เป็นโมฆะ)</t>
  </si>
  <si>
    <t>SELECT COUNT(T3.driverId) FROM races AS T1 INNER JOIN results AS T2 ON T2.raceId = T1.raceId INNER JOIN drivers AS T3 ON T3.driverId = T2.driverId WHERE T1.year = 2007 AND T1.name = 'Bahrain Grand Prix' AND T2.time IS NULL</t>
  </si>
  <si>
    <t>Show me the season page of year when the race No. 901 took place.</t>
  </si>
  <si>
    <t>SELECT T2.url FROM races AS T1 INNER JOIN seasons AS T2 ON T2.year = T1.year WHERE T1.raceId = 901</t>
  </si>
  <si>
    <t>For the race happened on 2015/11/29, how many drivers finished the game?</t>
  </si>
  <si>
    <t>game and race are synonyms; drivers who finished the race should have record in time;</t>
  </si>
  <si>
    <t>เกมและการแข่งขันเป็นคำพ้องความหมาย นักแข่งที่เข้าเส้นชัยควรมีประวัติทันเวลา</t>
  </si>
  <si>
    <t>SELECT COUNT(T2.driverId) FROM races AS T1 INNER JOIN results AS T2 ON T2.raceId = T1.raceId WHERE T1.date = '2015-11-29' AND T2.time IS NOT NULL</t>
  </si>
  <si>
    <t>For all the drivers who finished the game in race No. 592, who is the oldest?</t>
  </si>
  <si>
    <t>drivers who finished the race refers to time is not empty (i.e. time IS NOT NULL); race number refers to raceId; date of birth refers to drivers.dob; The larger the birthday value, the younger the person is, and vice versa;</t>
  </si>
  <si>
    <t>นักแข่งที่เข้าเส้นชัยหมายถึงเวลาไม่ว่างเปล่า (เช่น เวลาไม่เป็นโมฆะ) หมายเลขการแข่งขันหมายถึง raceId; วันเดือนปีเกิดหมายถึง drivers.dob; ยิ่งค่าวันเกิดมีค่ามาก บุคคลนั้นจะอายุน้อยกว่า และในทางกลับกัน</t>
  </si>
  <si>
    <t>SELECT T1.forename, T1.surname FROM drivers AS T1 INNER JOIN results AS T2 ON T2.driverId = T1.driverId WHERE T2.raceId = 592 AND T2.time IS NOT NULL AND T1.dob IS NOT NULL ORDER BY T1.dob ASC LIMIT 1</t>
  </si>
  <si>
    <t>Who was the player that got the lap time of 0:01:27 in the race No. 161? Show his introduction website.</t>
  </si>
  <si>
    <t>player and driver are synonyms; the lap time of 0:0M:SS refers to lapTime.time LIKE 'M:SS%';race number refers to raceId; introduction website of the drivers refers to url;</t>
  </si>
  <si>
    <t>ผู้เล่นและไดรเวอร์เป็นคำพ้องความหมาย เวลารอบ 0:0M:SS อ้างอิงถึง lapTime.time LIKE 'M:SS%';หมายเลขการแข่งขันอ้างอิงถึง raceId; เว็บไซต์แนะนำไดรเวอร์หมายถึง url;</t>
  </si>
  <si>
    <t>SELECT DISTINCT T2.forename, T2.surname, T2.url FROM lapTimes AS T1 INNER JOIN drivers AS T2 ON T2.driverId = T1.driverId WHERE T1.raceId = 161 AND T1.time LIKE '1:27%'</t>
  </si>
  <si>
    <t>For the driver who set the fastest lap speed in race No.933, where does he come from?</t>
  </si>
  <si>
    <t>fastest lap speed refers to MAX(fastestLapSpeed);</t>
  </si>
  <si>
    <t>ความเร็วรอบที่เร็วที่สุดหมายถึง MAX (fastestLapSpeed);</t>
  </si>
  <si>
    <t>SELECT T1.nationality FROM drivers AS T1 INNER JOIN results AS T2 ON T2.driverId = T1.driverId WHERE T2.raceId = 933 AND T2.fastestLapTime IS NOT NULL ORDER BY T2.fastestLapSpeed DESC LIMIT 1</t>
  </si>
  <si>
    <t>Where is Malaysian Grand Prix held? Give the location coordinates.</t>
  </si>
  <si>
    <t>location coordinates refers to (lat, lng); Malaysian Grand Prix refers to races.name = 'Malaysian Grand Prix'</t>
  </si>
  <si>
    <t>พิกัดตำแหน่งหมายถึง (lat, lng); Malaysian Grand Prix หมายถึง races.name = 'Malaysian Grand Prix'</t>
  </si>
  <si>
    <t>SELECT DISTINCT T1.lat, T1.lng FROM circuits AS T1 INNER JOIN races AS T2 ON T2.circuitID = T1.circuitId WHERE T2.name = 'Malaysian Grand Prix'</t>
  </si>
  <si>
    <t>For the constructor which got the highest point in the race No. 9 , what is its introduction website?</t>
  </si>
  <si>
    <t>race number refers to raceId; constructor which got the highest point refers to MAX(constructorResults.points); introduction website of the constructor refers to url;</t>
  </si>
  <si>
    <t>หมายเลขการแข่งขันหมายถึง raceId; ตัวสร้างที่มีจุดสูงสุดหมายถึง MAX(constructorResults.points); เว็บไซต์แนะนำของตัวสร้างหมายถึง url;</t>
  </si>
  <si>
    <t>SELECT T2.url FROM constructorResults AS T1 INNER JOIN constructors AS T2 ON T2.constructorId = T1.constructorId WHERE T1.raceId = 9 ORDER BY T1.points DESC LIMIT 1</t>
  </si>
  <si>
    <t>What's Lucas di Grassi's Q1 result in the race No. 345?</t>
  </si>
  <si>
    <t>SELECT T1.q1 FROM qualifying AS T1 INNER JOIN drivers AS T2 ON T2.driverId = T1.driverId WHERE T1.raceId = 345 AND T2.forename = 'Lucas' AND T2.surname = 'di Grassi'</t>
  </si>
  <si>
    <t>For the driver who had the Q2 time as 0:01:15 in race No. 347, where is he from?</t>
  </si>
  <si>
    <t>SELECT DISTINCT T2.nationality FROM qualifying AS T1 INNER JOIN drivers AS T2 ON T2.driverId = T1.driverId WHERE T1.raceId = 347 AND T1.q2 LIKE '1:15%'</t>
  </si>
  <si>
    <t>In the race No. 45, for the driver who had the Q3 time as 0:01:33, what is his abbreviated code?</t>
  </si>
  <si>
    <t>race number refers to raceId; had the Q3 time as 0:0M:SS refers to q3 LIKE 'M:SS%'</t>
  </si>
  <si>
    <t>หมายเลขการแข่งขันหมายถึง raceId; มีเวลา Q3 เป็น 0:0M:SS หมายถึง q3 LIKE 'M:SS%'</t>
  </si>
  <si>
    <t>SELECT T2.code FROM qualifying AS T1 INNER JOIN drivers AS T2 ON T2.driverId = T1.driverId WHERE T1.raceId = 45 AND T1.q3 LIKE '1:33%'</t>
  </si>
  <si>
    <t>What is the actual finish time for Bruce McLaren in the race No.743?</t>
  </si>
  <si>
    <t>SELECT T2.time FROM drivers AS T1 INNER JOIN results AS T2 ON T2.driverId = T1.driverId WHERE T2.raceId = 743 AND T1.forename = 'Bruce' AND T1.surname = 'McLaren'</t>
  </si>
  <si>
    <t>Who finished second in the San Marino Grand Prix in 2006?</t>
  </si>
  <si>
    <t>finished second refers to position = 2;</t>
  </si>
  <si>
    <t>เสร็จที่สองหมายถึงตำแหน่ง = 2;</t>
  </si>
  <si>
    <t>SELECT T3.forename, T3.surname FROM races AS T1 INNER JOIN results AS T2 ON T2.raceId = T1.raceId INNER JOIN drivers AS T3 ON T3.driverId = T2.driverId WHERE T1.year = 2006 AND T1.name = 'San Marino Grand Prix' AND T2.position = 2</t>
  </si>
  <si>
    <t>the season page refers to url; race number refers to raceId;</t>
  </si>
  <si>
    <t>หน้าซีซันอ้างถึง url; หมายเลขการแข่งขันหมายถึง raceId;</t>
  </si>
  <si>
    <t>For the race happened in 2015/11/29, how many drivers did not finish the game?</t>
  </si>
  <si>
    <t>game and race are synonyms; drivers who didn't finish the race should have record in time;</t>
  </si>
  <si>
    <t>เกมและการแข่งขันเป็นคำพ้องความหมาย นักแข่งที่ไม่จบการแข่งขันควรมีสถิติทันเวลา</t>
  </si>
  <si>
    <t>SELECT COUNT(T2.driverId) FROM races AS T1 INNER JOIN results AS T2 ON T2.raceId = T1.raceId WHERE T1.date = '2015-11-29' AND T2.time IS NULL</t>
  </si>
  <si>
    <t>For all the drivers who finished the game in race No. 872, who is the youngest?</t>
  </si>
  <si>
    <t>race number refers to raceId; drivers who finished the race refers to time has value; the youngest is a driver where MAX(dob);</t>
  </si>
  <si>
    <t>หมายเลขการแข่งขันหมายถึง raceId; นักแข่งที่เข้าเส้นชัยหมายถึงเวลามีค่า น้องคนสุดท้องเป็นคนขับโดยที่ MAX(dob);</t>
  </si>
  <si>
    <t>SELECT T1.forename, T1.surname FROM drivers AS T1 INNER JOIN results AS T2 ON T2.driverId = T1.driverId WHERE T2.raceId = 872 AND T2.time IS NOT NULL ORDER BY T1.dob DESC LIMIT 1</t>
  </si>
  <si>
    <t>Who was the driver that got the best lap time in the race No. 348? Give his full name.</t>
  </si>
  <si>
    <t>race number refers to raceId; the best lap time refers to MIN(time)</t>
  </si>
  <si>
    <t>หมายเลขการแข่งขันหมายถึง raceId; เวลารอบที่ดีที่สุดหมายถึง MIN (เวลา)</t>
  </si>
  <si>
    <t>SELECT T2.forename, T2.surname FROM lapTimes AS T1 INNER JOIN drivers AS T2 ON T2.driverId = T1.driverId WHERE T1.raceId = 348 ORDER BY T1.time ASC LIMIT 1</t>
  </si>
  <si>
    <t>For the driver who set the fastest lap speed, what is his nationality?</t>
  </si>
  <si>
    <t>the fastest lap speed refers to (MAX) fastestLapSpeed;</t>
  </si>
  <si>
    <t>ความเร็วรอบที่เร็วที่สุดหมายถึง (MAX) ความเร็วรอบที่เร็วที่สุด</t>
  </si>
  <si>
    <t>SELECT T1.nationality FROM drivers AS T1 INNER JOIN results AS T2 ON T2.driverId = T1.driverId ORDER BY T2.fastestLapSpeed DESC LIMIT 1</t>
  </si>
  <si>
    <t>Paul di Resta was in the No. 853 race, what percent faster did he finish in the 853rd race than the next race for the fastest lap speed?</t>
  </si>
  <si>
    <t>Paul di Resta refers to the full name of the driver; Full name of the driver refers to drivers.forename ='Paul' and drivers.surname = 'di Resta'; race number refers to raceId; percentage = DIVIDE(SUBTRACT(fastestLapSpeed(raceId = 853), (fastestLapSpeed (raceId = 854)) * 100 , (fastestLapSpeed(raceId = 853))</t>
  </si>
  <si>
    <t>Paul di Resta หมายถึงชื่อเต็มของผู้ขับขี่ ชื่อเต็มของผู้ขับขี่หมายถึง drivers.forename = 'Paul' และ drivers.surname = 'di Resta'; หมายเลขการแข่งขันหมายถึง raceId; เปอร์เซ็นต์ = DIVIDE(SUBTRACT(fastestLapSpeed(raceId = 853), (fastestLapSpeed ​​(raceId = 854)) * 100 , (fastestLapSpeed(raceId = 853))</t>
  </si>
  <si>
    <t>SELECT (SUM(IIF(T2.raceId = 853, T2.fastestLapSpeed, 0)) - SUM(IIF(T2.raceId = 854, T2.fastestLapSpeed, 0))) * 100 / SUM(IIF(T2.raceId = 853, T2.fastestLapSpeed, 0)) FROM drivers AS T1 INNER JOIN results AS T2 ON T2.driverId = T1.driverId WHERE T1.forename = 'Paul' AND T1.surname = 'di Resta'</t>
  </si>
  <si>
    <t>For the drivers who took part in the race in 1983/7/16, what's their race completion rate?</t>
  </si>
  <si>
    <t>DIVIDE(COUNT(driverid when time has value ), (COUNT(driverid )) as percentage; in 1983/7/16 refers to when date = '1983-07-16'</t>
  </si>
  <si>
    <t>DIVIDE(COUNT(driverid เมื่อเวลามีค่า ), (COUNT(driverid )) เป็นเปอร์เซ็นต์; ในปี 1983/7/59 หมายถึงเมื่อ date = '1983-07-16'</t>
  </si>
  <si>
    <t>SELECT CAST(COUNT(CASE WHEN T2.time IS NOT NULL THEN T2.driverId END) AS REAL) * 100 / COUNT(T2.driverId) FROM races AS T1 INNER JOIN results AS T2 ON T2.raceId = T1.raceId WHERE T1.date = '1983-07-16'</t>
  </si>
  <si>
    <t>Which year was the first Singapore Grand Prix?</t>
  </si>
  <si>
    <t>the first race refers to race happened in min(year);</t>
  </si>
  <si>
    <t>การแข่งขันครั้งแรกหมายถึงการแข่งขันที่เกิดขึ้นในนาที (ปี);</t>
  </si>
  <si>
    <t>SELECT year FROM races WHERE name = 'Singapore Grand Prix' ORDER BY year ASC LIMIT 1</t>
  </si>
  <si>
    <t>How many races were there in 2005? Name all the races in descending order.</t>
  </si>
  <si>
    <t>SELECT name FROM races WHERE year = 2005 ORDER BY name DESC</t>
  </si>
  <si>
    <t>List the names of all races that occurred in the earliest recorded year and month.</t>
  </si>
  <si>
    <t>earliest recorded year and month refers to year = year(min(date)) and month = month(min(date));</t>
  </si>
  <si>
    <t>ปีและเดือนที่บันทึกเร็วที่สุดหมายถึง ปี = ปี(นาที(วันที่)) และ เดือน = เดือน(นาที(วันที่));</t>
  </si>
  <si>
    <t>SELECT name FROM races WHERE STRFTIME('%Y', date) = ( SELECT STRFTIME('%Y', date) FROM races ORDER BY date ASC LIMIT 1 ) AND STRFTIME('%m', date) = ( SELECT STRFTIME('%m', date) FROM races ORDER BY date ASC LIMIT 1 )</t>
  </si>
  <si>
    <t>State the name and date of the last round of race in year 1999.</t>
  </si>
  <si>
    <t>the last round refers to max(round);</t>
  </si>
  <si>
    <t>รอบที่แล้วหมายถึงสูงสุด(รอบ);</t>
  </si>
  <si>
    <t>SELECT name, date FROM races WHERE year = 1999 ORDER BY round DESC LIMIT 1</t>
  </si>
  <si>
    <t>Which year has the most number of races?</t>
  </si>
  <si>
    <t>the most number of races refers to max(round);</t>
  </si>
  <si>
    <t>จำนวนการแข่งขันมากที่สุดหมายถึงสูงสุด (รอบ);</t>
  </si>
  <si>
    <t>SELECT year FROM races GROUP BY year ORDER BY COUNT(round) DESC LIMIT 1</t>
  </si>
  <si>
    <t>Name the races in year 2017 that are not hosted in year 2000.</t>
  </si>
  <si>
    <t>not hosted means not in;</t>
  </si>
  <si>
    <t>ไม่โฮสต์หมายความว่าไม่อยู่ใน;</t>
  </si>
  <si>
    <t>SELECT name FROM races WHERE year = 2017 AND name NOT IN ( SELECT name FROM races WHERE year = 2000 )</t>
  </si>
  <si>
    <t>In which country was the first European Grand Prix hosted? Name the circuit and location.</t>
  </si>
  <si>
    <t>the first refers to min(year);</t>
  </si>
  <si>
    <t>อันแรกหมายถึง min(year);</t>
  </si>
  <si>
    <t>SELECT T1.country, T1.location FROM circuits AS T1 INNER JOIN races AS T2 ON T2.circuitID = T1.circuitId WHERE T2.name = 'European Grand Prix' ORDER BY T2.year ASC LIMIT 1</t>
  </si>
  <si>
    <t>When was the last f1 season whereby Brands Hatch hosted the British Grand Prix?</t>
  </si>
  <si>
    <t>the last refers to max(year);</t>
  </si>
  <si>
    <t>สุดท้ายหมายถึงสูงสุด (ปี);</t>
  </si>
  <si>
    <t>SELECT T2.date FROM circuits AS T1 INNER JOIN races AS T2 ON T2.circuitID = T1.circuitId WHERE T1.name = 'Brands Hatch' AND T2.name = 'British Grand Prix' ORDER BY T2.year DESC LIMIT 1</t>
  </si>
  <si>
    <t>How many seasons has Silverstone Circuit hosted the United Kindom grand prix?</t>
  </si>
  <si>
    <t>British Grand Prix is the name of race; British refers to the United Kindom</t>
  </si>
  <si>
    <t>British Grand Prix เป็นชื่อของการแข่งขัน อังกฤษหมายถึงสหราชอาณาจักร</t>
  </si>
  <si>
    <t>SELECT COUNT(T2.circuitid) FROM circuits AS T1 INNER JOIN races AS T2 ON T2.circuitID = T1.circuitId WHERE T1.name = 'Silverstone Circuit' AND T2.name = 'British Grand Prix'</t>
  </si>
  <si>
    <t>Name all drivers in the 2010 Singapore Grand Prix order by their position stands.</t>
  </si>
  <si>
    <t>SELECT T3.forename, T3.surname FROM races AS T1 INNER JOIN driverStandings AS T2 ON T2.raceId = T1.raceId INNER JOIN drivers AS T3 ON T3.driverId = T2.driverId WHERE T1.name = 'Singapore Grand Prix' AND T1.year = 2010 ORDER BY T2.position ASC</t>
  </si>
  <si>
    <t>State the driver with the most points scored. Find his full name with that points.</t>
  </si>
  <si>
    <t>the most points scored refers to max(points); Full name of the driver refers to drivers.forename and drivers.surname;</t>
  </si>
  <si>
    <t>คะแนนสูงสุดหมายถึงสูงสุด (คะแนน); ชื่อเต็มของผู้ขับขี่หมายถึง drivers.forename และ drivers.surname;</t>
  </si>
  <si>
    <t>SELECT T3.forename, T3.surname, T2.points FROM races AS T1 INNER JOIN driverStandings AS T2 ON T2.raceId = T1.raceId INNER JOIN drivers AS T3 ON T3.driverId = T2.driverId ORDER BY T2.points DESC LIMIT 1</t>
  </si>
  <si>
    <t>Name the top 3 drivers and the points they scored in the 2017 Chinese Grand Prix.</t>
  </si>
  <si>
    <t>SELECT T3.forename, T3.surname, T2.points FROM races AS T1 INNER JOIN driverStandings AS T2 ON T2.raceId = T1.raceId INNER JOIN drivers AS T3 ON T3.driverId = T2.driverId WHERE T1.name = 'Chinese Grand Prix' AND T1.year = 2017 ORDER BY T2.points DESC LIMIT 3</t>
  </si>
  <si>
    <t>What is the best lap time recorded? List the driver and race with such recorded lap time.</t>
  </si>
  <si>
    <t>the best lap time refers to min(milliseconds); List the driver refers to drivers.forename and drivers.surname; List the race refers to races.name</t>
  </si>
  <si>
    <t>เวลารอบที่ดีที่สุดหมายถึงนาที (มิลลิวินาที) รายชื่อคนขับหมายถึง drivers.forename และ drivers.surname; รายการการแข่งขันหมายถึง races.name</t>
  </si>
  <si>
    <t>SELECT T2.milliseconds, T1.forename, T1.surname, T3.name FROM drivers AS T1 INNER JOIN lapTimes AS T2 ON T1.driverId = T2.driverId INNER JOIN races AS T3 ON T2.raceId = T3.raceId ORDER BY T2.milliseconds ASC LIMIT 1</t>
  </si>
  <si>
    <t>What is the average lap time for Lewis Hamilton in the 2009 Malaysian Grand Prix?</t>
  </si>
  <si>
    <t>average lap time = AVG(milliseconds); 'Lewis Hamilton' refers to the full name of the driver; Full name of the driver refers to drivers.forename and drivers.surname; 'Malaysian Grand Prix' refers to races.name = 'Malaysian Grand Prix'</t>
  </si>
  <si>
    <t>เวลาต่อรอบเฉลี่ย = AVG(มิลลิวินาที); 'ลูอิส แฮมิลตัน' หมายถึงชื่อเต็มของผู้ขับขี่ ชื่อเต็มของผู้ขับขี่หมายถึง drivers.forename และ drivers.surname; 'Malaysian Grand Prix' หมายถึง races.name = 'Malaysian Grand Prix'</t>
  </si>
  <si>
    <t>SELECT AVG(T2.milliseconds) FROM races AS T1 INNER JOIN lapTimes AS T2 ON T2.raceId = T1.raceId INNER JOIN drivers AS T3 ON T3.driverId = T2.driverId WHERE T3.forename = 'Lewis' AND T3.surname = 'Hamilton' AND T1.year = 2009 AND T1.name = 'Malaysian Grand Prix'</t>
  </si>
  <si>
    <t>Calculate the percentage whereby Hamilton was not at the 1st track of the the f1 circuit since 2010.</t>
  </si>
  <si>
    <t>percentage = DIVIDE(COUNT(raceId) where surname = 'Hamilton' and position&gt;1), (COUNT(raceId) where surname = 'Hamilton'); since 2010 refers to year &gt;= 2010</t>
  </si>
  <si>
    <t>เปอร์เซ็นต์ = DIVIDE(COUNT(raceId) โดยที่นามสกุล = 'Hamilton' และตำแหน่ง&gt;1), (COUNT(raceId) โดยที่นามสกุล = 'Hamilton'); ตั้งแต่ปี 2010 หมายถึง ปี &gt;= 2010</t>
  </si>
  <si>
    <t>SELECT CAST(COUNT(CASE WHEN T2.position &lt;&gt; 1 THEN T2.position END) AS REAL) * 100 / COUNT(T2.driverStandingsId) FROM races AS T1 INNER JOIN driverStandings AS T2 ON T2.raceId = T1.raceId INNER JOIN drivers AS T3 ON T3.driverId = T2.driverId WHERE T3.surname = 'Hamilton' AND T1.year &gt;= 2010</t>
  </si>
  <si>
    <t>Name the driver with the most winning. Mention his nationality and what is his maximum point scores.</t>
  </si>
  <si>
    <t>Full name of the driver refers to drivers.forename and drivers.surname; the most winning refers to MAX(COUNT(wins)); average point scores refers to MAX(points);</t>
  </si>
  <si>
    <t>ชื่อเต็มของผู้ขับขี่หมายถึง drivers.forename และ drivers.surname; ผู้ชนะมากที่สุดหมายถึง MAX(COUNT(wins)); คะแนนเฉลี่ยหมายถึงสูงสุด (คะแนน);</t>
  </si>
  <si>
    <t>SELECT T1.forename, T1.surname, T1.nationality, MAX(T2.points) FROM drivers AS T1 INNER JOIN driverStandings AS T2 ON T2.driverId = T1.driverId WHERE T2.wins &gt;= 1 GROUP BY T1.forename, T1.surname, T1.nationality ORDER BY COUNT(T2.wins) DESC LIMIT 1</t>
  </si>
  <si>
    <t>How old is the youngest Japanese driver? What is his name?</t>
  </si>
  <si>
    <t>date of birth refers to drivers.dob; The larger the birthday value, the younger the person is, and vice versa; Japanese refers to nationality = 'Japanese'; age = YEAR(CURRENT_TIMESTAMP) - YEAR(dob);</t>
  </si>
  <si>
    <t>วันเดือนปีเกิดหมายถึง drivers.dob; ยิ่งค่าวันเกิดมีค่ามาก บุคคลนั้นจะอายุน้อยกว่า และในทางกลับกัน ญี่ปุ่นหมายถึงสัญชาติ = 'ญี่ปุ่น'; อายุ = ปี (CURRENT_TIMESTAMP) - ปี (วันเกิด);</t>
  </si>
  <si>
    <t>SELECT STRFTIME('%Y', CURRENT_TIMESTAMP) - STRFTIME('%Y', dob), forename , surname FROM drivers WHERE nationality = 'Japanese' ORDER BY dob DESC LIMIT 1</t>
  </si>
  <si>
    <t>List circuits which host 4 f1 races from year 1990 to 2000.</t>
  </si>
  <si>
    <t>from year 1990 to 2000 refers to year(date) between 1990 and 2000;</t>
  </si>
  <si>
    <t>ตั้งแต่ปี 1990 ถึง 2000 หมายถึง ปี (วันที่) ระหว่างปี 1990 ถึง 2000</t>
  </si>
  <si>
    <t>SELECT DISTINCT T1.name FROM circuits AS T1 INNER JOIN races AS T2 ON T2.circuitID = T1.circuitId WHERE STRFTIME('%Y', T2.date) BETWEEN '1990' AND '2000' GROUP BY T1.name HAVING COUNT(T2.raceId) = 4</t>
  </si>
  <si>
    <t>List circuits in USA which hosted f1 races in 2006. State the name and location of circuit and the name of the race it hosted.</t>
  </si>
  <si>
    <t>SELECT T1.name, T1.location, T2.name FROM circuits AS T1 INNER JOIN races AS T2 ON T2.circuitID = T1.circuitId WHERE T1.country = 'USA' AND T2.year = 2006</t>
  </si>
  <si>
    <t>Name the races along with its circuit name and location for f1 races hosted in September 2005.</t>
  </si>
  <si>
    <t>in September 2005 refers to MONTH(date) = 9 and YEAR(date) = 2005</t>
  </si>
  <si>
    <t>ในเดือนกันยายน 2548 หมายถึง MONTH(date) = 9 และ YEAR(date) = 2005</t>
  </si>
  <si>
    <t>SELECT DISTINCT T2.name, T1.name, T1.location FROM circuits AS T1 INNER JOIN races AS T2 ON T2.circuitID = T1.circuitId WHERE T2.year = 2005 AND STRFTIME('%m', T2.date) = '09'</t>
  </si>
  <si>
    <t>Which race was Alex Yoong in when he was in track number less than 20?</t>
  </si>
  <si>
    <t>Alex Yoong refers to the full name of the driver; Full name of the driver refers to drivers.forename and drivers.surname;track number less than 10 refers to position &lt; 20</t>
  </si>
  <si>
    <t>Alex Yoong หมายถึงชื่อเต็มของผู้ขับขี่ ชื่อเต็มของผู้ขับขี่หมายถึง drivers.forename และ drivers.surname; หมายเลขแทร็กที่น้อยกว่า 10 หมายถึงตำแหน่ง &lt; 20</t>
  </si>
  <si>
    <t>SELECT T1.name FROM races AS T1 INNER JOIN driverStandings AS T2 ON T2.raceId = T1.raceId INNER JOIN drivers AS T3 ON T3.driverId = T2.driverId WHERE T3.forename = 'Alex' AND T3.surname = 'Yoong' AND T2.position &lt; 20</t>
  </si>
  <si>
    <t>How many times did Michael Schumacher won from races hosted in Sepang International Circuit?</t>
  </si>
  <si>
    <t>win from races refers to max(points)</t>
  </si>
  <si>
    <t>ชนะจากการแข่งขันหมายถึงสูงสุด (คะแนน)</t>
  </si>
  <si>
    <t>SELECT SUM(T2.wins) FROM drivers AS T1 INNER JOIN driverStandings AS T2 ON T2.driverId = T1.driverId INNER JOIN races AS T3 ON T3.raceId = T2.raceId INNER JOIN circuits AS T4 ON T4.circuitId = T3.circuitId WHERE T1.forename = 'Michael' AND T1.surname = 'Schumacher' AND T4.name = 'Sepang International Circuit'</t>
  </si>
  <si>
    <t>State the race and year of race in which Michael Schumacher had his fastest lap.</t>
  </si>
  <si>
    <t>fastest lap refers to min(milliseconds); Alex Yoong refers to the full name of the driver; Full name of the driver refers to drivers.forename and drivers.surname;</t>
  </si>
  <si>
    <t>รอบที่เร็วที่สุดหมายถึงนาที (มิลลิวินาที); Alex Yoong หมายถึงชื่อเต็มของผู้ขับขี่ ชื่อเต็มของผู้ขับขี่หมายถึง drivers.forename และ drivers.surname;</t>
  </si>
  <si>
    <t>SELECT T1.name, T1.year FROM races AS T1 INNER JOIN lapTimes AS T2 ON T2.raceId = T1.raceId INNER JOIN drivers AS T3 ON T3.driverId = T2.driverId WHERE T3.forename = 'Michael' AND T3.surname = 'Schumacher' ORDER BY T2.milliseconds ASC LIMIT 1</t>
  </si>
  <si>
    <t>What is Eddie Irvine's average points scored in year 2000?</t>
  </si>
  <si>
    <t>average points = AVG(points where year = 2000)</t>
  </si>
  <si>
    <t>คะแนนเฉลี่ย = AVG (จุดที่ปี = 2000)</t>
  </si>
  <si>
    <t>SELECT AVG(T2.points) FROM drivers AS T1 INNER JOIN driverStandings AS T2 ON T2.driverId = T1.driverId INNER JOIN races AS T3 ON T3.raceId = T2.raceId WHERE T1.forename = 'Eddie' AND T1.surname = 'Irvine' AND T3.year = 2000</t>
  </si>
  <si>
    <t>Which was Lewis Hamilton first race? What was his points recorded for his first race event?</t>
  </si>
  <si>
    <t>first race refers to min(Year); Lewis Hamiltonrefers to the full name of the driver; Full name of the driver refers to drivers.forename and drivers.surname;</t>
  </si>
  <si>
    <t>การแข่งขันครั้งแรกหมายถึงนาที (ปี); Lewis Hamiltonหมายถึงชื่อเต็มของผู้ขับขี่ ชื่อเต็มของผู้ขับขี่หมายถึง drivers.forename และ drivers.surname;</t>
  </si>
  <si>
    <t>SELECT T1.name, T2.points FROM races AS T1 INNER JOIN driverStandings AS T2 ON T2.raceId = T1.raceId INNER JOIN drivers AS T3 ON T3.driverId = T2.driverId WHERE T3.forename = 'Lewis' AND T3.surname = 'Hamilton' ORDER BY T1.year ASC LIMIT 1</t>
  </si>
  <si>
    <t>List all races in 2017 and the hosting country order by date of the event.</t>
  </si>
  <si>
    <t>SELECT DISTINCT T2.name, T1.country FROM circuits AS T1 INNER JOIN races AS T2 ON T2.circuitID = T1.circuitId WHERE T2.year = 2017 ORDER BY T2.date ASC</t>
  </si>
  <si>
    <t>What is the most laps f1 races had? Name the race, year and circuit location where the races with most laps was hosted.</t>
  </si>
  <si>
    <t>SELECT T3.lap, T2.name, T2.year, T1.location FROM circuits AS T1 INNER JOIN races AS T2 ON T1.circuitId = T2.circuitId INNER JOIN lapTimes AS T3 ON T3.raceId = T2.raceId ORDER BY T3.lap DESC LIMIT 1</t>
  </si>
  <si>
    <t>Among all European Grand Prix races, what is the percentage of the races were hosted in Germany?</t>
  </si>
  <si>
    <t>European Grand Prix races refers to races.name = 'European Grand Prix';percentage = divide(COUNT(races where country = Germany and name = 'Europearn Grand Prix'),COUNT(races where name = 'Europearn Grand Prix'))*100</t>
  </si>
  <si>
    <t>การแข่งขัน European Grand Prix หมายถึง races.name = 'European Grand Prix';เปอร์เซ็นต์ = หาร(COUNT(การแข่งขันที่ประเทศ = เยอรมนี และชื่อ = 'Europearn Grand Prix'),COUNT(การแข่งขันที่มีชื่อ = 'Europearn Grand Prix'))*100</t>
  </si>
  <si>
    <t>SELECT CAST(COUNT(CASE WHEN T1.country = 'Germany' THEN T2.circuitID END) AS REAL) * 100 / COUNT(T2.circuitId) FROM circuits AS T1 INNER JOIN races AS T2 ON T2.circuitID = T1.circuitId WHERE T2.name = 'European Grand Prix'</t>
  </si>
  <si>
    <t>What's the location coordinates of Silverstone Circuit?</t>
  </si>
  <si>
    <t>location coordinates refers to (lat, lng); Silverstone Circuit refers to circuits.name = 'Silverstone Circuit'</t>
  </si>
  <si>
    <t>พิกัดตำแหน่งหมายถึง (lat, lng); วงจรซิลเวอร์สโตน หมายถึง Circuits.name = 'วงจรซิลเวอร์สโตน'</t>
  </si>
  <si>
    <t>SELECT lat, lng FROM circuits WHERE name = 'Silverstone Circuit'</t>
  </si>
  <si>
    <t>Which of these circuits is located at a higher latitude, Silverstone Circuit, Hockenheimring or Hungaroring?</t>
  </si>
  <si>
    <t>higher latitude refers to max(lat)</t>
  </si>
  <si>
    <t>ละติจูดที่สูงกว่าหมายถึงสูงสุด (lat)</t>
  </si>
  <si>
    <t>SELECT name FROM circuits WHERE name IN ('Silverstone Circuit', 'Hockenheimring', 'Hungaroring') ORDER BY lat DESC LIMIT 1</t>
  </si>
  <si>
    <t>What's the reference name of Marina Bay Street Circuit?</t>
  </si>
  <si>
    <t>reference name refers to circuitRef; Marina Bay Street Circuit refers to circuits.name = 'Marina Bay Street Circuit'</t>
  </si>
  <si>
    <t>ชื่ออ้างอิงหมายถึง CircuitRef; Marina Bay Street Circuit หมายถึง Circuits.name = 'Marina Bay Street Circuit'</t>
  </si>
  <si>
    <t>SELECT circuitRef FROM circuits WHERE name = 'Marina Bay Street Circuit'</t>
  </si>
  <si>
    <t>In which country can I find the circuit with the highest altitude?</t>
  </si>
  <si>
    <t>highest altitude refers to max(alt)</t>
  </si>
  <si>
    <t>ระดับความสูงสูงสุดหมายถึงสูงสุด (alt)</t>
  </si>
  <si>
    <t>SELECT country FROM circuits ORDER BY alt DESC LIMIT 1</t>
  </si>
  <si>
    <t>How many drivers don't have a code?</t>
  </si>
  <si>
    <t>don't have a code refers to code is null</t>
  </si>
  <si>
    <t>ไม่มีรหัสหมายถึงรหัสเป็นโมฆะ</t>
  </si>
  <si>
    <t>SELECT COUNT(driverId) - COUNT(CASE WHEN code IS NOT NULL THEN code END) FROM drivers</t>
  </si>
  <si>
    <t>Which country is the oldest driver from?</t>
  </si>
  <si>
    <t>date of birth refers to drivers.dob; The larger the birthday value, the younger the person is, and vice versa;</t>
  </si>
  <si>
    <t>วันเดือนปีเกิดหมายถึง drivers.dob; ยิ่งค่าวันเกิดมีค่ามาก บุคคลนั้นจะอายุน้อยกว่า และในทางกลับกัน</t>
  </si>
  <si>
    <t>SELECT nationality FROM drivers WHERE dob IS NOT NULL ORDER BY dob ASC LIMIT 1</t>
  </si>
  <si>
    <t>Please list the surnames of all the Italian drivers.</t>
  </si>
  <si>
    <t>Italian refers to nationality = 'italian'</t>
  </si>
  <si>
    <t>ภาษาอิตาลีหมายถึงสัญชาติ = 'อิตาลี'</t>
  </si>
  <si>
    <t>SELECT surname FROM drivers WHERE nationality = 'Italian'</t>
  </si>
  <si>
    <t>Which website should I go to if I want to know more about Anthony Davidson?</t>
  </si>
  <si>
    <t>website refers to url</t>
  </si>
  <si>
    <t>เว็บไซต์อ้างอิงถึง url</t>
  </si>
  <si>
    <t>SELECT url FROM drivers WHERE forename = 'Anthony' AND surname = 'Davidson'</t>
  </si>
  <si>
    <t>What's Lewis Hamilton's reference name?</t>
  </si>
  <si>
    <t>reference name refers to driverRef</t>
  </si>
  <si>
    <t>ชื่ออ้างอิงหมายถึง driverRef</t>
  </si>
  <si>
    <t>SELECT driverRef FROM drivers WHERE forename = 'Lewis' AND surname = 'Hamilton'</t>
  </si>
  <si>
    <t>Which circuit did the 2009 Spanish Grand Prix use?</t>
  </si>
  <si>
    <t>SELECT T1.name FROM circuits AS T1 INNER JOIN races AS T2 ON T2.circuitID = T1.circuitId WHERE T2.year = 2009 AND T2.name = 'Spanish Grand Prix'</t>
  </si>
  <si>
    <t>Please list all the years that Silverstone Circuit was used in a Formula_1 race.</t>
  </si>
  <si>
    <t>SELECT DISTINCT T2.year FROM circuits AS T1 INNER JOIN races AS T2 ON T2.circuitID = T1.circuitId WHERE T1.name = 'Silverstone Circuit'</t>
  </si>
  <si>
    <t>Please give more information about the Formula_1 races that used the Silverstone Circuit.</t>
  </si>
  <si>
    <t>more information refers to url</t>
  </si>
  <si>
    <t>ข้อมูลเพิ่มเติมอ้างถึง url</t>
  </si>
  <si>
    <t>SELECT DISTINCT T1.url FROM circuits AS T1 INNER JOIN races AS T2 ON T2.circuitID = T1.circuitId WHERE T1.name = 'Silverstone Circuit'</t>
  </si>
  <si>
    <t>What time did the the 2010's Formula_1 race took place on the Abu Dhabi Circuit?</t>
  </si>
  <si>
    <t>SELECT T2.date, T2.time FROM circuits AS T1 INNER JOIN races AS T2 ON T2.circuitID = T1.circuitId WHERE T2.year = 2010 AND T2.name = 'Abu Dhabi Grand Prix'</t>
  </si>
  <si>
    <t>How many Formula_1 races took place on the circuits in Italy?</t>
  </si>
  <si>
    <t>SELECT COUNT(T2.circuitId) FROM circuits AS T1 INNER JOIN races AS T2 ON T2.circuitID = T1.circuitId WHERE T1.country = 'Italy'</t>
  </si>
  <si>
    <t>Please list the exact dates on which a Formula_1 race took place on the Barcelona-Catalunya circuit.</t>
  </si>
  <si>
    <t>SELECT T2.date FROM circuits AS T1 INNER JOIN races AS T2 ON T2.circuitID = T1.circuitId WHERE T1.name = 'Circuit de Barcelona-Catalunya'</t>
  </si>
  <si>
    <t>Please give the link of the website that shows more information about the circuits the Spanish Grand Prix used in 2009.</t>
  </si>
  <si>
    <t>link of the website refers to url</t>
  </si>
  <si>
    <t>ลิงค์ของเว็บไซต์หมายถึง url</t>
  </si>
  <si>
    <t>SELECT T1.url FROM circuits AS T1 INNER JOIN races AS T2 ON T2.circuitID = T1.circuitId WHERE T2.year = 2009 AND T2.name = 'Spanish Grand Prix'</t>
  </si>
  <si>
    <t>What's the fastest lap time ever in a race for Lewis Hamilton?</t>
  </si>
  <si>
    <t>fastest lap time ever refers to min(fastestLapTime)</t>
  </si>
  <si>
    <t>เวลารอบที่เร็วที่สุดเท่าที่เคยมีมาหมายถึงนาที (fastestLapTime)</t>
  </si>
  <si>
    <t>SELECT T2.fastestLapTime FROM drivers AS T1 INNER JOIN results AS T2 ON T2.driverId = T1.driverId WHERE T1.forename = 'Lewis' AND T1.surname = 'Hamilton' AND T2.fastestLapTime IS NOT NULL ORDER BY T2.fastestLapTime ASC LIMIT 1</t>
  </si>
  <si>
    <t>Which driver created the fastest lap speed in a Formula_1 race? Please give both his forename and surname.</t>
  </si>
  <si>
    <t>SELECT T1.forename, T1.surname FROM drivers AS T1 INNER JOIN results AS T2 ON T2.driverId = T1.driverId WHERE T2.fastestLapTime IS NOT NULL ORDER BY T2.fastestLapSpeed DESC LIMIT 1</t>
  </si>
  <si>
    <t>Which driver ranked the first in the Canadian Grand Prix in 2007? Please give his reference name.</t>
  </si>
  <si>
    <t>reference name refers to driverRef; Canadian Grand Prix refers to races.name = 'Canadian Grand Prix';</t>
  </si>
  <si>
    <t>ชื่ออ้างอิงหมายถึง driverRef; Canadian Grand Prix หมายถึง races.name = 'Canadian Grand Prix';</t>
  </si>
  <si>
    <t>SELECT T3.forename, T3.surname, T3.driverRef FROM races AS T1 INNER JOIN results AS T2 ON T2.raceId = T1.raceId INNER JOIN drivers AS T3 ON T3.driverId = T2.driverId WHERE T1.name = 'Canadian Grand Prix' AND T2.rank = 1 AND T1.year = 2007</t>
  </si>
  <si>
    <t>Please list the Formula_1 races that Lewis Hamilton participated.</t>
  </si>
  <si>
    <t>SELECT T1.name FROM races AS T1 INNER JOIN results AS T2 ON T2.raceId = T1.raceId INNER JOIN drivers AS T3 ON T3.driverId = T2.driverId WHERE T3.forename = 'Lewis' AND T3.surname = 'Hamilton'</t>
  </si>
  <si>
    <t>In which Formula_1 race did Lewis Hamilton rank the highest?</t>
  </si>
  <si>
    <t>rank the highest refers to min(rank); Lewis Hamilton refers to the full name of the driver; Full name of the driver refers to drivers.forename and drivers.surname;</t>
  </si>
  <si>
    <t>อันดับสูงสุดหมายถึง min(rank); Lewis Hamilton หมายถึงชื่อเต็มของผู้ขับขี่ ชื่อเต็มของผู้ขับขี่หมายถึง drivers.forename และ drivers.surname;</t>
  </si>
  <si>
    <t>SELECT name FROM races WHERE raceId IN ( SELECT raceId FROM results WHERE rank = 1 AND driverId = ( SELECT driverId FROM drivers WHERE forename = 'Lewis' AND surname = 'Hamilton' ) )</t>
  </si>
  <si>
    <t>What was the fastest lap speed among all drivers in the 2009 Spanish Grand Prix?</t>
  </si>
  <si>
    <t>the fastest lap speed among all refers to max(fastestLapSpeed); Spanish Grand Prix refers to races.name = 'Spanish Grand Prix';</t>
  </si>
  <si>
    <t>ความเร็วรอบที่เร็วที่สุดหมายถึงสูงสุด (fastestLapSpeed); Spanish Grand Prix หมายถึง races.name = 'Spanish Grand Prix';</t>
  </si>
  <si>
    <t>SELECT T2.fastestLapSpeed FROM races AS T1 INNER JOIN results AS T2 ON T2.raceId = T1.raceId WHERE T1.name = 'Spanish Grand Prix' AND T1.year = 2009 AND T2.fastestLapSpeed IS NOT NULL ORDER BY T2.fastestLapSpeed DESC LIMIT 1</t>
  </si>
  <si>
    <t>In which years did Lewis Hamilton participate in a Formula_1 race?</t>
  </si>
  <si>
    <t>SELECT DISTINCT T1.year FROM races AS T1 INNER JOIN results AS T2 ON T2.raceId = T1.raceId INNER JOIN drivers AS T3 ON T3.driverId = T2.driverId WHERE T3.forename = 'Lewis' AND T3.surname = 'Hamilton'</t>
  </si>
  <si>
    <t>What was Lewis Hamilton's final rank in the 2008 Chinese Grand Prix?</t>
  </si>
  <si>
    <t>Lewis Hamilton refers to the full name of the driver; Full name of the driver refers to drivers.forename and drivers.surname; final rank refers to positionOrder; Chinese Grand Prix refers to races.name = 'Chinese Grand Prix';</t>
  </si>
  <si>
    <t>Lewis Hamilton หมายถึงชื่อเต็มของผู้ขับขี่ ชื่อเต็มของผู้ขับขี่หมายถึง drivers.forename และ drivers.surname; อันดับสุดท้ายหมายถึงตำแหน่ง Order; Chinese Grand Prix หมายถึง races.name = 'ไชนีส กรังด์ปรีซ์';</t>
  </si>
  <si>
    <t>SELECT T2.positionOrder FROM races AS T1 INNER JOIN results AS T2 ON T2.raceId = T1.raceId INNER JOIN drivers AS T3 ON T3.driverId = T2.driverId WHERE T3.forename = 'Lewis' AND T3.surname = 'Hamilton' AND T1.name = 'Chinese Grand Prix' AND T1.year = 2008</t>
  </si>
  <si>
    <t>Which driver was in the no. 4 grid formation when starting the race in 1989's Australian Grand Prix? Please give his forename and surname.</t>
  </si>
  <si>
    <t>the no. 4 grid formation refers to grid = 4</t>
  </si>
  <si>
    <t>ไม่ การสร้างกริด 4 หมายถึงกริด = 4</t>
  </si>
  <si>
    <t>SELECT T3.forename, T3.surname FROM races AS T1 INNER JOIN results AS T2 ON T2.raceId = T1.raceId INNER JOIN drivers AS T3 ON T3.driverId = T2.driverId WHERE T2.grid = 4 AND T1.name = 'Australian Grand Prix' AND T1.year = 1989</t>
  </si>
  <si>
    <t>How many drivers managed to finish the race in the 2008 Australian Grand Prix?</t>
  </si>
  <si>
    <t>managed to finish the race refers to time is not null</t>
  </si>
  <si>
    <t>จัดการแข่งให้จบตามเวลาไม่เป็นโมฆะ</t>
  </si>
  <si>
    <t>SELECT COUNT(T2.driverId) FROM races AS T1 INNER JOIN results AS T2 ON T2.raceId = T1.raceId WHERE T1.name = 'Australian Grand Prix' AND T1.year = 2008 AND T2.time IS NOT NULL</t>
  </si>
  <si>
    <t>Which was the fastest lap for Lewis Hamilton in the 2008 Australian Grand Prix?</t>
  </si>
  <si>
    <t>SELECT T1.fastestLap FROM results AS T1 INNER JOIN races AS T2 on T1.raceId = T2.raceId INNER JOIN drivers AS T3 on T1.driverId = T3.driverId WHERE T2.name = 'Australian Grand Prix' AND T2.year = 2008 AND T3.forename = 'Lewis' AND T3.surname = 'Hamilton'</t>
  </si>
  <si>
    <t>What's the finish time for the driver who ranked second in 2008's AustChineseralian Grand Prix?</t>
  </si>
  <si>
    <t>finish time refers to time; Chinese Grand Prix refers to races.name = 'Chinese Grand Prix';</t>
  </si>
  <si>
    <t>เวลาสิ้นสุดหมายถึงเวลา Chinese Grand Prix หมายถึง races.name = 'ไชนีส กรังด์ปรีซ์';</t>
  </si>
  <si>
    <t>SELECT T1.time FROM results AS T1 INNER JOIN races AS T2 on T1.raceId = T2.raceId WHERE T1.rank = 2 AND T2.name = 'Chinese Grand Prix' AND T2.year = 2008</t>
  </si>
  <si>
    <t>Who was the champion of 2008's Australian Grand Prix and where can I know more about him?</t>
  </si>
  <si>
    <t>only champion's finished time is represented by 'HH:MM:SS.mmm'; where can I know more refers to url</t>
  </si>
  <si>
    <t>เวลาจบการแข่งขันของแชมเปี้ยนเท่านั้นที่แสดงด้วย 'HH:MM:SS.mmm'; ฉันจะทราบข้อมูลเพิ่มเติมเกี่ยวกับ url ได้ที่ไหน</t>
  </si>
  <si>
    <t>SELECT T1.forename, T1.surname, T1.url FROM drivers AS T1 INNER JOIN results AS T2 ON T1.driverId = T2.driverId INNER JOIN races AS T3 ON T3.raceId = T2.raceId WHERE T3.name = 'Australian Grand Prix' AND T2.time LIKE '_:%:__.___' AND T3.year = 2008</t>
  </si>
  <si>
    <t>How many drivers from the UN participated in the 2008 Australian Grand Prix?</t>
  </si>
  <si>
    <t>from the UN refers to nationality = 'British'</t>
  </si>
  <si>
    <t>จาก UN หมายถึงสัญชาติ = 'อังกฤษ'</t>
  </si>
  <si>
    <t>SELECT COUNT(*) FROM drivers AS T1 INNER JOIN results AS T2 ON T1.driverId = T2.driverId INNER JOIN races AS T3 ON T3.raceId = T2.raceId WHERE T3.name = 'Australian Grand Prix' AND T1.nationality = 'British' AND T3.year = 2008</t>
  </si>
  <si>
    <t>Among the drivers that finished the race in the 2008 Chinese Grand Prix, how many of them have participated in Formula_1 races?</t>
  </si>
  <si>
    <t>COUNT(raceID) &gt; 0 reveals that this driver participated in races; drivers who finished the race refers to time has value.</t>
  </si>
  <si>
    <t>COUNT(raceID) &gt; 0 แสดงว่านักแข่งรายนี้เข้าร่วมการแข่งขัน นักแข่งที่เข้าเส้นชัยหมายถึงเวลามีค่า</t>
  </si>
  <si>
    <t>SELECT COUNT(*) FROM ( SELECT T1.driverId FROM results AS T1 INNER JOIN races AS T2 on T1.raceId = T2.raceId WHERE T2.name = 'Chinese Grand Prix' AND T2.year = 2008 AND T1.time IS NOT NULL GROUP BY T1.driverId HAVING COUNT(T2.raceId) &gt; 0 )</t>
  </si>
  <si>
    <t>How many points did Lewis Hamilton get in total in all the Formula_1 races he participated?</t>
  </si>
  <si>
    <t>SELECT SUM(T2.points) FROM drivers AS T1 INNER JOIN results AS T2 ON T1.driverId = T2.driverId WHERE T1.forename = 'Lewis' AND T1.surname = 'Hamilton'</t>
  </si>
  <si>
    <t>What is the average fastest lap time in seconds for Lewis Hamilton in all the Formula_1 races?</t>
  </si>
  <si>
    <t>average fastest lap time = avg(fastestLapTime); The time is recorded on 'MM:SS.mmm'</t>
  </si>
  <si>
    <t>เวลาต่อรอบที่เร็วที่สุดโดยเฉลี่ย = avg(fastestLapTime); เวลาถูกบันทึกไว้ใน 'MM:SS.mmm'</t>
  </si>
  <si>
    <t>SELECT AVG(CAST(SUBSTR(T2.fastestLapTime, 1, INSTR(T2.fastestLapTime, ':') - 1) AS INTEGER) * 60 + CAST(SUBSTR(T2.fastestLapTime, INSTR(T2.fastestLapTime, ':') + 1) AS REAL)) FROM drivers AS T1 INNER JOIN results AS T2 ON T1.driverId = T2.driverId WHERE T1.surname = 'Hamilton' AND T1.forename = 'Lewis'</t>
  </si>
  <si>
    <t>What is the rate of drivers completing all the laps in the 2008 Australian Grand Prix?</t>
  </si>
  <si>
    <t>completing all the laps refers to time is not null; rate = divide(COUNT(raceID where time is not null), COUNT(raceID))</t>
  </si>
  <si>
    <t>การทำรอบทั้งหมดเสร็จสิ้นหมายถึงเวลาไม่เป็นโมฆะ อัตรา = หาร (COUNT (raceID โดยที่เวลาไม่เป็นโมฆะ), COUNT (raceID))</t>
  </si>
  <si>
    <t>SELECT CAST(SUM(IIF(T1.time IS NOT NULL, 1, 0)) AS REAL) * 100 / COUNT(T1.resultId) FROM results AS T1 INNER JOIN races AS T2 ON T1.raceId = T2.raceId WHERE T2.name = 'Australian Grand Prix' AND T2.year = 2008</t>
  </si>
  <si>
    <t>How much faster in percentage is the champion than the driver who finished the race last in the 2008 Australian Grand Prix?</t>
  </si>
  <si>
    <t>how much faster in percentage = divide(subtract(incremental time, champion time), last_driver time) * 100; last driver finished time = incremental time + champion time; only champion's finished time is represented by 'HH:MM:SS.mmm'; finished the game refers to time is not null</t>
  </si>
  <si>
    <t>เปอร์เซ็นต์ที่เร็วกว่า = หาร (ลบ (เวลาที่เพิ่มขึ้น, เวลาแชมป์), เวลา Last_driver) * 100; เวลาจบการแข่งขันของนักแข่งคนสุดท้าย = เวลาที่เพิ่มขึ้น + เวลาแชมป์; เวลาจบการแข่งขันของแชมเปี้ยนเท่านั้นที่แสดงด้วย 'HH:MM:SS.mmm'; จบเกมหมายถึงเวลาไม่เป็นโมฆะ</t>
  </si>
  <si>
    <t>WITH time_in_seconds AS ( SELECT T1.positionOrder, CASE WHEN T1.positionOrder = 1 THEN (CAST(SUBSTR(T1.time, 1, 1) AS REAL) * 3600) + (CAST(SUBSTR(T1.time, 3, 2) AS REAL) * 60) + CAST(SUBSTR(T1.time, 6) AS REAL) ELSE CAST(SUBSTR(T1.time, 2) AS REAL) END AS time_seconds FROM results AS T1 INNER JOIN races AS T2 ON T1.raceId = T2.raceId WHERE T2.name = 'Australian Grand Prix' AND T1.time IS NOT NULL AND T2.year = 2008 ), champion_time AS ( SELECT time_seconds FROM time_in_seconds WHERE positionOrder = 1), last_driver_incremental AS ( SELECT time_seconds FROM time_in_seconds WHERE positionOrder = (SELECT MAX(positionOrder) FROM time_in_seconds) ) SELECT (CAST((SELECT time_seconds FROM last_driver_incremental) AS REAL) * 100) / (SELECT time_seconds + (SELECT time_seconds FROM last_driver_incremental) FROM champion_time)</t>
  </si>
  <si>
    <t>How many circuits are there in Adelaide, Australia?</t>
  </si>
  <si>
    <t>Australia is the country; Melbourne is the location of circuit;</t>
  </si>
  <si>
    <t>ออสเตรเลียเป็นประเทศ เมลเบิร์นเป็นที่ตั้งของสนามแข่ง</t>
  </si>
  <si>
    <t>SELECT COUNT(circuitId) FROM circuits WHERE location = 'Adelaide' AND country = 'Australia'</t>
  </si>
  <si>
    <t>Please list the location coordinates of the US circuits.</t>
  </si>
  <si>
    <t>location coordinates refers to (lat, lng); the US refers to country = 'USA';</t>
  </si>
  <si>
    <t>พิกัดตำแหน่งหมายถึง (lat, lng); สหรัฐอเมริกาหมายถึงประเทศ = 'สหรัฐอเมริกา';</t>
  </si>
  <si>
    <t>SELECT lat, lng FROM circuits WHERE country = 'USA'</t>
  </si>
  <si>
    <t>How many British drivers were born after 1980?</t>
  </si>
  <si>
    <t>born after 1980 refers to year (dob) &gt;1980;</t>
  </si>
  <si>
    <t>เกิดหลังปี 1980 หมายถึง ปี (วันเกิด) &gt;1980;</t>
  </si>
  <si>
    <t>SELECT COUNT(driverId) FROM drivers WHERE nationality = 'British' AND STRFTIME('%Y', dob) &gt; '1980'</t>
  </si>
  <si>
    <t>What are the maximum points of British constructors?</t>
  </si>
  <si>
    <t>maximum points = MAX(points); British is a nationality</t>
  </si>
  <si>
    <t>คะแนนสูงสุด = MAX (คะแนน); อังกฤษเป็นสัญชาติ</t>
  </si>
  <si>
    <t>SELECT MAX(T1.points) FROM constructorStandings AS T1 INNER JOIN constructors AS T2 on T1.constructorId = T2.constructorId WHERE T2.nationality = 'British'</t>
  </si>
  <si>
    <t>Which constructor has the highest point?</t>
  </si>
  <si>
    <t>SELECT T2.name FROM constructorStandings AS T1 INNER JOIN constructors AS T2 on T1.constructorId = T2.constructorId ORDER BY T1.points DESC LIMIT 1</t>
  </si>
  <si>
    <t>Please list the constructor names with 0 points at race 291.</t>
  </si>
  <si>
    <t>race at 291 refers to raceID = 291;</t>
  </si>
  <si>
    <t>การแข่งขันที่ 291 หมายถึง raceID = 291;</t>
  </si>
  <si>
    <t>SELECT T2.name FROM constructorStandings AS T1 INNER JOIN constructors AS T2 on T1.constructorId = T2.constructorId WHERE T1.points = 0 AND T1.raceId = 291</t>
  </si>
  <si>
    <t>How many Japanese constructors have 0 points in 2 races?</t>
  </si>
  <si>
    <t>2 races refers to COUNT(raceID) = 2; Japanese refers to constructors.nationality = 'Japanese';</t>
  </si>
  <si>
    <t>2 การแข่งขันหมายถึง COUNT(raceID) = 2; ภาษาญี่ปุ่นหมายถึง Constructors.nationality = 'ภาษาญี่ปุ่น';</t>
  </si>
  <si>
    <t>SELECT COUNT(T1.raceId) FROM constructorStandings AS T1 INNER JOIN constructors AS T2 on T1.constructorId = T2.constructorId WHERE T1.points = 0 AND T2.nationality = 'Japanese' GROUP BY T1.constructorId HAVING COUNT(raceId) = 2</t>
  </si>
  <si>
    <t>Which constructors have been ranked 1?</t>
  </si>
  <si>
    <t>SELECT DISTINCT T2.name FROM results AS T1 INNER JOIN constructors AS T2 on T1.constructorId = T2.constructorId WHERE T1.rank = 1</t>
  </si>
  <si>
    <t>How many French constructors have a lap number of over 50?</t>
  </si>
  <si>
    <t>lap numbers of over 50 refers to laps &gt; 50;</t>
  </si>
  <si>
    <t>จำนวนรอบที่มากกว่า 50 หมายถึงรอบที่มากกว่า 50;</t>
  </si>
  <si>
    <t>SELECT COUNT(DISTINCT T2.constructorId) FROM results AS T1 INNER JOIN constructors AS T2 on T1.constructorId = T2.constructorId WHERE T1.laps &gt; 50 AND T2.nationality = 'French'</t>
  </si>
  <si>
    <t>Please calculate the race completion percentage of Japanese drivers from 2007 to 2009.</t>
  </si>
  <si>
    <t xml:space="preserve">from 2007 to 2009 refers to year between 2007 and 2009; race completion refers to time is not null; percentage = Divide(COUNT(DriverID where time is not null and year between 2007 and 2009),Count (DriverID where year between 2007 and 2009))*100; </t>
  </si>
  <si>
    <t xml:space="preserve">ตั้งแต่ปี 2550 ถึง 2552 หมายถึง ปีระหว่างปี 2550 ถึง 2552 การสิ้นสุดการแข่งขันหมายถึงเวลาไม่เป็นโมฆะ เปอร์เซ็นต์ = หาร(COUNT(ID ผู้ขับขี่โดยที่เวลาไม่เป็นโมฆะและปีระหว่าง 2007 ถึง 2009),นับ (ID ผู้ขับขี่โดยที่ปีระหว่าง 2007 ถึง 2009))*100; </t>
  </si>
  <si>
    <t>SELECT CAST(SUM(IIF(T1.time IS NOT NULL, 1, 0)) AS REAL) * 100 / COUNT(T1.raceId) FROM results AS T1 INNER JOIN races AS T2 on T1.raceId = T2.raceId INNER JOIN drivers AS T3 on T1.driverId = T3.driverId WHERE T3.nationality = 'Japanese' AND T2.year BETWEEN 2007 AND 2009</t>
  </si>
  <si>
    <t>What is the average time in seconds of champion for each year, before year 1975?</t>
  </si>
  <si>
    <t>only champion's finished time is represented by 'HH:MM:SS.mmm'; finished the game refers to time is not null; before year 1975 refers to year &lt; 1975;</t>
  </si>
  <si>
    <t>เวลาจบการแข่งขันของแชมเปี้ยนเท่านั้นที่แสดงด้วย 'HH:MM:SS.mmm'; จบเกมหมายถึงเวลาไม่เป็นโมฆะ ก่อนปี 2518 หมายถึง ปี &lt; 2518;</t>
  </si>
  <si>
    <t>WITH time_in_seconds AS ( SELECT T2.year, T2.raceId, T1.positionOrder, CASE WHEN T1.positionOrder = 1 THEN (CAST(SUBSTR(T1.time, 1, 1) AS REAL) * 3600) + (CAST(SUBSTR(T1.time, 3, 2) AS REAL) * 60) + CAST(SUBSTR(T1.time, 6,2) AS REAL )   + CAST(SUBSTR(T1.time, 9) AS REAL)/1000 ELSE 0 END AS time_seconds FROM results AS T1 INNER JOIN races AS T2 ON T1.raceId = T2.raceId WHERE T1.time IS NOT NULL ), champion_time AS ( SELECT year, raceId, time_seconds FROM time_in_seconds WHERE positionOrder = 1 ) SELECT year, AVG(time_seconds) FROM champion_time WHERE year &lt; 1975 GROUP BY year HAVING AVG(time_seconds) IS NOT NULL</t>
  </si>
  <si>
    <t>Which drivers born after 1975 have been ranked 2? Please give their forenames and surnames.</t>
  </si>
  <si>
    <t>born after 1975 refers to year(dob) &gt;1975;</t>
  </si>
  <si>
    <t>เกิดหลังปี 1975 หมายถึง ปี(วันเกิด) &gt;1975;</t>
  </si>
  <si>
    <t>SELECT T2.forename, T2.surname FROM results AS T1 INNER JOIN drivers AS T2 on T1.driverId = T2.driverId WHERE STRFTIME('%Y', T2.dob) &gt; '1975' AND T1.rank = 2</t>
  </si>
  <si>
    <t>How many Italian drivers haven't finished the race?</t>
  </si>
  <si>
    <t>haven't finished the race refers to time is null;</t>
  </si>
  <si>
    <t>ยังแข่งไม่จบ หมายถึง เวลาเป็นโมฆะ;</t>
  </si>
  <si>
    <t>SELECT COUNT(T1.driverId) FROM results AS T1 INNER JOIN drivers AS T2 on T1.driverId = T2.driverId WHERE T2.nationality = 'Italian' AND T1.time IS NULL</t>
  </si>
  <si>
    <t>Which driver has the fastest lap time? Please give their forenames and surnames.</t>
  </si>
  <si>
    <t>SELECT T2.forename, T2.surname, T1.fastestLapTime FROM results AS T1 INNER JOIN drivers AS T2 on T1.driverId = T2.driverId WHERE T1.fastestLapTime IS NOT NULL ORDER BY T1.fastestLapTime ASC LIMIT 1</t>
  </si>
  <si>
    <t>What is the fastest lap number of the champion in 2009?</t>
  </si>
  <si>
    <t>in 2009 refers to year = 2009; Only the time of the champion shows in the format of "hour: minutes: seconds.millionsecond"</t>
  </si>
  <si>
    <t>ในปี 2552 หมายถึง ปี = 2552; เฉพาะเวลาของแชมป์เท่านั้นที่แสดงในรูปแบบ "ชั่วโมง: นาที: วินาที.ล้านวินาที"</t>
  </si>
  <si>
    <t>SELECT T1.fastestLap FROM results AS T1 INNER JOIN races AS T2 on T1.raceId = T2.raceId WHERE T2.year = 2009 AND T1.time LIKE '_:%:__.___'</t>
  </si>
  <si>
    <t>What is the average of fastest lap speed in the 2009 Spanish Grand Prix race?</t>
  </si>
  <si>
    <t>Spanish Grand Prix is the name of race refers to name = 'Spanish Grand Prix'; average fastest lap speed refers to avg(fastestLapSpeed);</t>
  </si>
  <si>
    <t>Spanish Grand Prix เป็นชื่อการแข่งขัน หมายถึง ชื่อ = 'Spanish Grand Prix'; ความเร็วรอบที่เร็วที่สุดโดยเฉลี่ยหมายถึง avg (fastestLapSpeed);</t>
  </si>
  <si>
    <t>SELECT AVG(T1.fastestLapSpeed) FROM results AS T1 INNER JOIN races AS T2 on T1.raceId = T2.raceId WHERE T2.year = 2009 AND T2.name = 'Spanish Grand Prix'</t>
  </si>
  <si>
    <t>Which race has the shortest actual finishing time? Please give the name and year.</t>
  </si>
  <si>
    <t>shortest actual finishing time refers to Min(milliseconds) except milliseconds = null;</t>
  </si>
  <si>
    <t>เวลาสิ้นสุดจริงที่สั้นที่สุดหมายถึงขั้นต่ำ (มิลลิวินาที) ยกเว้นมิลลิวินาที = null;</t>
  </si>
  <si>
    <t>SELECT T1.name, T1.year FROM races AS T1 INNER JOIN results AS T2 on T1.raceId = T2.raceId WHERE T2.milliseconds IS NOT NULL ORDER BY T2.milliseconds LIMIT 1</t>
  </si>
  <si>
    <t>From 2000 to 2005, what percentage of drivers who were born before 1985 and the lap numbers were over 50?</t>
  </si>
  <si>
    <t>born before 1985 refers to year(dob)&lt;1985; in 2000 to 2005 refers to year between 2000 and 2005; percentage = Divide(COUNT(driverId where year (dob) &lt;1985 and laps &gt;50),COUNT(DriverID where year between 2000 and 2005) *100;</t>
  </si>
  <si>
    <t>เกิดก่อนปี 1985 หมายถึง ปี(วันเกิด)&lt;1985; ในปี 2543 ถึง 2548 หมายถึง ปีระหว่างปี 2543 ถึง 2548 เปอร์เซ็นต์ = Divide(COUNT(driverId โดยที่ปี (dob) &lt;1985 และรอบ &gt;50),COUNT(DriverID โดยที่ปีระหว่าง 2000 ถึง 2005) *100;</t>
  </si>
  <si>
    <t>SELECT CAST(SUM(IIF(STRFTIME('%Y', T3.dob) &lt; '1985' AND T1.laps &gt; 50, 1, 0)) AS REAL) * 100 / COUNT(*) FROM results AS T1 INNER JOIN races AS T2 on T1.raceId = T2.raceId INNER JOIN drivers AS T3 on T1.driverId = T3.driverId WHERE T2.year BETWEEN 2000 AND 2005</t>
  </si>
  <si>
    <t>How many French drivers who obtain the laptime less than 02:00.00?</t>
  </si>
  <si>
    <t>lap time less than 02:00.00 refers to seconds &lt; 120;</t>
  </si>
  <si>
    <t>เวลาต่อรอบน้อยกว่า 02:00.00 น. หมายถึง วินาที &lt; 120;</t>
  </si>
  <si>
    <t>SELECT COUNT(T1.driverId) FROM drivers AS T1 INNER JOIN lapTimes AS T2 on T1.driverId = T2.driverId WHERE T1.nationality = 'French' AND (CAST(SUBSTR(T2.time, 1, 2) AS INTEGER) * 60 + CAST(SUBSTR(T2.time, 4, 2) AS INTEGER) + CAST(SUBSTR(T2.time, 7, 2) AS REAL) / 1000) &lt; 120</t>
  </si>
  <si>
    <t>List out the code for drivers who have nationality in America.</t>
  </si>
  <si>
    <t>nationality = 'America'</t>
  </si>
  <si>
    <t>สัญชาติ = 'อเมริกา'</t>
  </si>
  <si>
    <t>SELECT code FROM drivers WHERE Nationality = 'American'</t>
  </si>
  <si>
    <t>List out the Id number of races which were hold in 2009.</t>
  </si>
  <si>
    <t>SELECT raceId FROM races WHERE year = 2009</t>
  </si>
  <si>
    <t>How many driver participated in race ID number 18?</t>
  </si>
  <si>
    <t>SELECT COUNT(driverId) FROM driverStandings WHERE raceId = 18</t>
  </si>
  <si>
    <t>State code numbers of top 3 yougest drivers. How many Netherlandic drivers among them?</t>
  </si>
  <si>
    <t>youngest driver refers to Max (year(dob)); Netherlandic and Dutch refer to the same country</t>
  </si>
  <si>
    <t>คนขับที่อายุน้อยที่สุดหมายถึง Max (ปี (dob)); เนเธอร์แลนด์และดัตช์หมายถึงประเทศเดียวกัน</t>
  </si>
  <si>
    <t>SELECT COUNT(*) FROM ( SELECT T1.nationality FROM drivers AS T1 ORDER BY JULIANDAY(T1.dob) DESC LIMIT 3) AS T3 WHERE T3.nationality = 'Dutch'</t>
  </si>
  <si>
    <t>What is reference name of Robert Kubica?</t>
  </si>
  <si>
    <t>reference name refers to driverRef;</t>
  </si>
  <si>
    <t>ชื่ออ้างอิงหมายถึง driverRef;</t>
  </si>
  <si>
    <t>SELECT driverRef FROM drivers WHERE forename = 'Robert' AND surname = 'Kubica'</t>
  </si>
  <si>
    <t>How many British drivers who were born in 1980?</t>
  </si>
  <si>
    <t>born in 1980 refers to year(dob) = 1980;</t>
  </si>
  <si>
    <t>เกิดในปี 1980 หมายถึง ปี (dob) = 1980;</t>
  </si>
  <si>
    <t>SELECT COUNT(driverId) FROM drivers WHERE nationality = 'British' AND STRFTIME('%Y', dob) = '1980'</t>
  </si>
  <si>
    <t>List out top 3 German drivers who were born from 1980-1990 and have the earliest lap time.</t>
  </si>
  <si>
    <t>born from 1980-1990 refers to year(dob) between 1980 and 1990; earliest lap time refers to Min(time);</t>
  </si>
  <si>
    <t>ที่เกิดระหว่างปี 1980-1990 หมายถึง ปี (dob) ระหว่างปี 1980 ถึง 1990; เวลารอบที่เร็วที่สุดหมายถึงนาที (เวลา);</t>
  </si>
  <si>
    <t>SELECT T2.driverId FROM pitStops AS T1 INNER JOIN drivers AS T2 on T1.driverId = T2.driverId WHERE T2.nationality = 'German' AND STRFTIME('%Y', T2.dob) BETWEEN '1980' AND '1990' ORDER BY T1.time LIMIT 3</t>
  </si>
  <si>
    <t>Please state the reference name of the oldest German driver.</t>
  </si>
  <si>
    <t>oldest refers to MIN(year(dob)); reference names appear in drverRef.</t>
  </si>
  <si>
    <t>เก่าที่สุดหมายถึง MIN(ปี(dob)); ชื่ออ้างอิงปรากฏใน drverRef</t>
  </si>
  <si>
    <t>SELECT driverRef FROM drivers WHERE nationality = 'German' ORDER BY JULIANDAY(dob) ASC LIMIT 1</t>
  </si>
  <si>
    <t>Which drivers who were born in 1971 and has the fastest lap time on the race? Give id and code of these drivers.</t>
  </si>
  <si>
    <t>born in 1971 refers to year(dob) = 1971; has the fastest lap time refers to fastestLapTime has values</t>
  </si>
  <si>
    <t>เกิดในปี 1971 หมายถึง ปี (dob) = 1971; มีเวลารอบที่เร็วที่สุดหมายถึง LapTime ที่เร็วที่สุดมีค่า</t>
  </si>
  <si>
    <t>SELECT T2.driverId, T2.code FROM results AS T1 INNER JOIN drivers AS T2 on T1.driverId = T2.driverId WHERE STRFTIME('%Y', T2.dob) = '1971' AND T1.fastestLapTime IS NOT NULL</t>
  </si>
  <si>
    <t>List out top 10 Spanish drivers who were born before 1982 and have the latest lap time.</t>
  </si>
  <si>
    <t>born before 1982 refers to year(dob) &lt; 1982; latest lap time refers to Max(time);</t>
  </si>
  <si>
    <t>เกิดก่อนปี 1982 หมายถึง ปี(วันเกิด) &lt; 1982; เวลารอบล่าสุดหมายถึงสูงสุด (เวลา);</t>
  </si>
  <si>
    <t>SELECT T2.driverId FROM pitStops AS T1 INNER JOIN drivers AS T2 on T1.driverId = T2.driverId WHERE T2.nationality = 'Spanish' AND STRFTIME('%Y', T2.dob) &lt; '1982' ORDER BY T1.time DESC LIMIT 10</t>
  </si>
  <si>
    <t>State the racing year which has the fastest lap time?</t>
  </si>
  <si>
    <t>has the fastest lap time?' refers to fastestLapTime has values</t>
  </si>
  <si>
    <t>มีเวลาต่อรอบเร็วที่สุดเหรอ? อ้างถึงเร็วที่สุด LapTime มีค่า</t>
  </si>
  <si>
    <t>SELECT T2.year FROM results AS T1 INNER JOIN races AS T2 on T1.raceId = T2.raceId WHERE T1.fastestLapTime IS NOT NULL</t>
  </si>
  <si>
    <t>Which year has the lowest speed of lap time?</t>
  </si>
  <si>
    <t>lowest speed of lap time refers to Max(time);</t>
  </si>
  <si>
    <t>ความเร็วต่ำสุดของเวลาตักหมายถึงสูงสุด (เวลา)</t>
  </si>
  <si>
    <t>SELECT T2.year FROM lapTimes AS T1 INNER JOIN races AS T2 on T1.raceId = T2.raceId ORDER BY T1.time DESC LIMIT 1</t>
  </si>
  <si>
    <t>List the driver's ID of the top five driver, by descending order, the fastest time during the first lap of the race.</t>
  </si>
  <si>
    <t>fastest time refers to Min(time);</t>
  </si>
  <si>
    <t>เวลาที่เร็วที่สุดหมายถึงนาที (เวลา);</t>
  </si>
  <si>
    <t>SELECT driverId FROM lapTimes WHERE lap = 1 ORDER BY time LIMIT 5</t>
  </si>
  <si>
    <t>From race no. 50 to 100, how many finishers have been disqualified?</t>
  </si>
  <si>
    <t>disqualified refers to statusID = 2, finisher refers to time! = null; race no. refers to raceId; raceId &gt; 50 and raceId &lt; 100;</t>
  </si>
  <si>
    <t>ถูกตัดสิทธิ์หมายถึง statusID = 2 หมัดเด็ดหมายถึงเวลา! = โมฆะ; หมายเลขการแข่งขัน หมายถึง raceId; raceId &gt; 50 และ raceId &lt; 100;</t>
  </si>
  <si>
    <t>SELECT SUM(IIF(time IS NOT NULL, 1, 0)) FROM results WHERE statusId = 2 AND raceID &lt; 100 AND raceId &gt; 50</t>
  </si>
  <si>
    <t>How many times the circuits were held in Austria? Please give their location and coordinates.</t>
  </si>
  <si>
    <t>location coordinates refers to (lat,lng); Austria refers to country = 'Austria';</t>
  </si>
  <si>
    <t>พิกัดตำแหน่งหมายถึง (lat, lng); ออสเตรียหมายถึงประเทศ = 'ออสเตรีย';</t>
  </si>
  <si>
    <t>SELECT DISTINCT location, lat, lng FROM circuits WHERE country = 'Austria'</t>
  </si>
  <si>
    <t>What race number has the most finishers?</t>
  </si>
  <si>
    <t>finisher refers to time is not null;</t>
  </si>
  <si>
    <t>หมัดเด็ดหมายถึงเวลาไม่เป็นโมฆะ;</t>
  </si>
  <si>
    <t>SELECT raceId FROM results GROUP BY raceId ORDER BY COUNT(time IS NOT NULL) DESC LIMIT 1</t>
  </si>
  <si>
    <t>List the reference name of the drivers who passed the second qualifying lap during race no. 23. Indicate their nationality and birthday.</t>
  </si>
  <si>
    <t>passed the second qualifying lap refers to q2 is not null; birthday refers to dob; reference name of drivers refers to driverRef; race no. refers to raceId;</t>
  </si>
  <si>
    <t>ผ่านรอบคัดเลือกรอบที่สองหมายถึง q2 ไม่เป็นโมฆะ; วันเกิดหมายถึงวันเกิด; ชื่ออ้างอิงของไดรเวอร์หมายถึง driverRef; หมายเลขการแข่งขัน หมายถึง raceId;</t>
  </si>
  <si>
    <t>SELECT T2.driverRef, T2.nationality, T2.dob FROM qualifying AS T1 INNER JOIN drivers AS T2 on T1.driverId = T2.driverId WHERE T1.raceId = 23 AND T1.q2 IS NOT NULL</t>
  </si>
  <si>
    <t>On what year did the youngest driver had his first qualifying race? Also state the name, date and time of the race.</t>
  </si>
  <si>
    <t>date of birth refers to drivers.dob; The larger the birthday value, the younger the person is, and vice versa; first qualifying race refers to MIN(races.date);</t>
  </si>
  <si>
    <t>วันเดือนปีเกิดหมายถึง drivers.dob; ยิ่งค่าวันเกิดมีค่ามาก บุคคลนั้นจะอายุน้อยกว่า และในทางกลับกัน การแข่งขันรอบคัดเลือกครั้งแรกหมายถึง MIN(races.date);</t>
  </si>
  <si>
    <t>SELECT T3.year, T3.name, T3.date, T3.time FROM qualifying AS T1 INNER JOIN drivers AS T2 on T1.driverId = T2.driverId INNER JOIN races AS T3 on T1.raceId = T3.raceId WHERE T1.driverId = ( SELECT driverId FROM drivers ORDER BY dob DESC LIMIT 1 ) ORDER BY T3.date ASC LIMIT 1</t>
  </si>
  <si>
    <t>How many American drivers have puncture status.</t>
  </si>
  <si>
    <t>puncture status refers to status = Puncture;</t>
  </si>
  <si>
    <t>สถานะการเจาะหมายถึงสถานะ = การเจาะ;</t>
  </si>
  <si>
    <t>SELECT COUNT(T1.driverId) FROM drivers AS T1 INNER JOIN results AS T2 on T1.driverId = T2.driverId INNER JOIN status AS T3 on T2.statusId = T3.statusId WHERE T3.status = 'Puncture' AND T1.nationality = 'American'</t>
  </si>
  <si>
    <t>Which of the Italian constructor got the highest point to date? Give its introduction website?</t>
  </si>
  <si>
    <t>introduction website refers to url; Italian is a nationality</t>
  </si>
  <si>
    <t>เว็บไซต์แนะนำหมายถึง url; อิตาลีเป็นสัญชาติ</t>
  </si>
  <si>
    <t>SELECT T1.url FROM constructors AS T1 INNER JOIN constructorStandings AS T2 on T1.constructorId = T2.constructorId WHERE T1.nationality = 'Italian' ORDER BY T2.points DESC LIMIT 1</t>
  </si>
  <si>
    <t>What is the website of the constructor who tallied the most total wins.</t>
  </si>
  <si>
    <t>introduction website refers to url;</t>
  </si>
  <si>
    <t>เว็บไซต์แนะนำหมายถึง url;</t>
  </si>
  <si>
    <t>SELECT T1.url FROM constructors AS T1 INNER JOIN constructorStandings AS T2 on T1.constructorId = T2.constructorId ORDER BY T2.wins DESC LIMIT 1</t>
  </si>
  <si>
    <t>Among the drivers who participated in the French Grand Prix, who has the slowest time in the 3rd lap.</t>
  </si>
  <si>
    <t>slowest time refers to Max(time);</t>
  </si>
  <si>
    <t>เวลาที่ช้าที่สุดหมายถึง Max(time);</t>
  </si>
  <si>
    <t>SELECT T1.driverId FROM lapTimes AS T1 INNER JOIN races AS T2 on T1.raceId = T2.raceId WHERE T2.name = 'French Grand Prix' AND T1.lap = 3 ORDER BY T1.time DESC LIMIT 1</t>
  </si>
  <si>
    <t>In which race did the fastest 1st lap time was recorded? Please indicate the time in milliseconds.</t>
  </si>
  <si>
    <t>fastest refers to Min(time);</t>
  </si>
  <si>
    <t>เร็วที่สุดหมายถึง Min(time);</t>
  </si>
  <si>
    <t>SELECT T1.milliseconds FROM lapTimes AS T1 INNER JOIN races AS T2 on T1.raceId = T2.raceId WHERE T1.lap = 1 ORDER BY T1.time LIMIT 1</t>
  </si>
  <si>
    <t>What is the average fastest lap time of the top 10 drivers in the 2006 United States Grand Prix?</t>
  </si>
  <si>
    <t>top 10 refers to rank &lt;11; AVG(fastestLapTime);</t>
  </si>
  <si>
    <t>10 อันดับแรกหมายถึงอันดับ &lt;11; AVG (เวลารอบที่เร็วที่สุด);</t>
  </si>
  <si>
    <t>SELECT AVG(T1.fastestLapTime) FROM results AS T1 INNER JOIN races AS T2 on T1.raceId = T2.raceId WHERE T1.rank &lt; 11 AND T2.year = 2006 AND T2.name = 'United States Grand Prix'</t>
  </si>
  <si>
    <t>List down top 3 German drivers who has the shortest average pit stop duration and were born between 1980-1985.</t>
  </si>
  <si>
    <t>Full name of the driver refers to drivers.forename and drivers.surname; born between 1980-1985 refers to 1980&lt; year(dob)&gt;1985; Average pitstop duration refers to Divide(SUM(duration),COUNT(duration)); shortest average refers to Min(avg(duration));</t>
  </si>
  <si>
    <t>ชื่อเต็มของผู้ขับขี่หมายถึง drivers.forename และ drivers.surname; เกิดระหว่างปี 1980-1985 หมายถึง 1980&lt; ปี(วันเกิด)&gt;1985; ระยะเวลาพิตสต็อปเฉลี่ยหมายถึง หาร(SUM(ระยะเวลา),COUNT(ระยะเวลา)); ค่าเฉลี่ยที่สั้นที่สุดหมายถึง Min(avg(duration));</t>
  </si>
  <si>
    <t>SELECT T2.forename, T2.surname FROM pitStops AS T1 INNER JOIN drivers AS T2 on T1.driverId = T2.driverId WHERE T2.nationality = 'German' AND STRFTIME('%Y', T2.dob) BETWEEN '1980' AND '1985' GROUP BY T2.forename, T2.surname ORDER BY AVG(T1.duration) LIMIT 3</t>
  </si>
  <si>
    <t>Who is the champion of the Canadian Grand Prix in 2008? Indicate his finish time.</t>
  </si>
  <si>
    <t>Only the time of the champion shows in the format of "hour: minutes: seconds.millionsecond";</t>
  </si>
  <si>
    <t>เฉพาะเวลาของแชมป์เปี้ยนเท่านั้นที่แสดงในรูปแบบ "ชั่วโมง: นาที: วินาที.ล้านวินาที";</t>
  </si>
  <si>
    <t>SELECT T1.time FROM results AS T1 INNER JOIN races AS T2 ON T1.raceId = T2.raceId WHERE T2.name = 'Canadian Grand Prix' AND T2.year = 2008 AND T1.time LIKE '_:%:__.___'</t>
  </si>
  <si>
    <t>What is the constructor reference name of the champion in the 2009 Singapore Grand Prix? Please give its website.</t>
  </si>
  <si>
    <t>the time of the champion shows in the format of "minutes: seconds.millionsecond" in which Max(time); constructor reference name refers to constructorRef; website refers to url</t>
  </si>
  <si>
    <t>เวลาของแชมป์จะแสดงในรูปแบบ "นาที: วินาที.ล้านวินาที" โดยที่ Max(time); ชื่ออ้างอิงคอนสตรัคเตอร์หมายถึงคอนสตรัคเตอร์Ref; เว็บไซต์อ้างอิงถึง url</t>
  </si>
  <si>
    <t>SELECT T3.constructorRef, T3.url FROM results AS T1 INNER JOIN races AS T2 on T1.raceId = T2.raceId INNER JOIN constructors AS T3 on T1.constructorId = T3.constructorId WHERE T2.name = 'Singapore Grand Prix' AND T2.year = 2009 AND T1.time LIKE '_:%:__.___'</t>
  </si>
  <si>
    <t>What is the full name and date of birth of Austrian drivers born between 1981 and 1991?</t>
  </si>
  <si>
    <t>Full name refers to forname, surname; Date of birth refers to dob; year(dob) BETWEEN '1981' AND '1991'; Austrian is a nationality</t>
  </si>
  <si>
    <t>ชื่อเต็มหมายถึง forname, นามสกุล; วันเดือนปีเกิดหมายถึงวันเกิด; ปี (วันเกิด) ระหว่าง '1981' และ '1991'; ออสเตรียเป็นสัญชาติ</t>
  </si>
  <si>
    <t>SELECT forename, surname, dob FROM drivers WHERE nationality = 'Austrian' AND STRFTIME('%Y', dob) BETWEEN '1981' AND '1991'</t>
  </si>
  <si>
    <t>Find the full name, Wiki Pedia page link, and date of birth of German drivers born between 1971 and 1985. List it in descending order of date of birth.</t>
  </si>
  <si>
    <t>FFull name refers to forname+surname; Nationality refers to German; Date of birth refers to dob; year(dob) BETWEEN '1971' AND '1985'</t>
  </si>
  <si>
    <t>Fชื่อเต็มหมายถึงชื่อ+นามสกุล; สัญชาติหมายถึงภาษาเยอรมัน วันเดือนปีเกิดหมายถึงวันเกิด; ปี (วันเกิด) ระหว่าง '1971' และ '1985'</t>
  </si>
  <si>
    <t>SELECT forename, surname, url, dob FROM drivers WHERE nationality = 'German' AND STRFTIME('%Y', dob) BETWEEN '1971' AND '1985' ORDER BY dob DESC</t>
  </si>
  <si>
    <t>In which location does the Hungaroring circuit located? Also, find the country and coordinates of this circuit?</t>
  </si>
  <si>
    <t>coordinates expressed in latitude and longitude refers to (lat, lng)</t>
  </si>
  <si>
    <t>พิกัดที่แสดงเป็นละติจูดและลองจิจูดหมายถึง (lat, lng)</t>
  </si>
  <si>
    <t>SELECT country, lat, lng FROM circuits WHERE name = 'Hungaroring'</t>
  </si>
  <si>
    <t>Which constructor scored most points from Monaco Grand Prix between 1980 and 2010? List the score, name and nationality of this team.</t>
  </si>
  <si>
    <t>Monaco Grand Priz refers to the race; race in year between 1980 and 2010</t>
  </si>
  <si>
    <t>Monaco Grand Priz หมายถึงการแข่งขัน แข่งขันในปี พ.ศ. 2523 ถึง พ.ศ. 2553</t>
  </si>
  <si>
    <t>SELECT SUM(T1.points), T2.name, T2.nationality FROM constructorResults AS T1 INNER JOIN constructors AS T2 ON T1.constructorId = T2.constructorId INNER JOIN races AS T3 ON T3.raceid = T1.raceid WHERE T3.name = 'Monaco Grand Prix' AND T3.year BETWEEN 1980 AND 2010 GROUP BY T2.name ORDER BY SUM(T1.points) DESC LIMIT 1</t>
  </si>
  <si>
    <t>What is the average score of Lewis Hamilton among all the Turkish Grand Prix?</t>
  </si>
  <si>
    <t>Average score = AVG(points)</t>
  </si>
  <si>
    <t>คะแนนเฉลี่ย = AVG(คะแนน)</t>
  </si>
  <si>
    <t>SELECT AVG(T2.points) FROM drivers AS T1 INNER JOIN driverStandings AS T2 ON T1.driverId = T2.driverId INNER JOIN races AS T3 ON T3.raceId = T2.raceId WHERE T1.forename = 'Lewis' AND T1.surname = 'Hamilton' AND T3.name = 'Turkish Grand Prix'</t>
  </si>
  <si>
    <t>What is the annual average number of races held during the first 10 years of the 21st century?</t>
  </si>
  <si>
    <t>races in date between '2000-01-01' and '2010-12-31'</t>
  </si>
  <si>
    <t>การแข่งขันระหว่างวันที่ '2000-01-01' ถึง '31-12-2010'</t>
  </si>
  <si>
    <t>SELECT CAST(SUM(CASE WHEN year BETWEEN 2000 AND 2010 THEN 1 ELSE 0 END) AS REAL) / 10 FROM races WHERE date BETWEEN '2000-01-01' AND '2010-12-31'</t>
  </si>
  <si>
    <t>Which citizenship do the vast majority of the drivers hold?</t>
  </si>
  <si>
    <t xml:space="preserve">Citizenship of majority of drivers = MAX(nationality); citizenship and nationality are synonyms
</t>
  </si>
  <si>
    <t xml:space="preserve">สัญชาติของผู้ขับขี่ส่วนใหญ่ = MAX (สัญชาติ); สัญชาติและสัญชาติเป็นคำพ้องความหมาย
</t>
  </si>
  <si>
    <t>SELECT nationality FROM drivers GROUP BY nationality ORDER BY COUNT(driverId) DESC LIMIT 1</t>
  </si>
  <si>
    <t>In terms of number of points acquired, how many victories did the driver who ranked 91st acquired?</t>
  </si>
  <si>
    <t xml:space="preserve">victories refer to wins; 91st refers to points
</t>
  </si>
  <si>
    <t xml:space="preserve">ชัยชนะหมายถึงชัยชนะ 91 หมายถึงคะแนน
</t>
  </si>
  <si>
    <t>SELECT SUM(CASE WHEN points = 91 THEN wins ELSE 0 END) FROM driverStandings</t>
  </si>
  <si>
    <t>In terms of the fastest lap time, what is the name of the race which recorded the fastest lap speed by a racer?</t>
  </si>
  <si>
    <t xml:space="preserve">Fastest lap speed refers to MIN(fastestLapTime)
</t>
  </si>
  <si>
    <t xml:space="preserve">ความเร็วรอบที่เร็วที่สุดหมายถึง MIN (เวลารอบที่เร็วที่สุด)
</t>
  </si>
  <si>
    <t>SELECT T1.name FROM races AS T1 INNER JOIN results AS T2 ON T1.raceId = T2.raceId WHERE T2.fastestLapTime IS NOT NULL ORDER BY T2.fastestLapTime ASC LIMIT 1</t>
  </si>
  <si>
    <t>Which racetrack hosted the most recent race? Indicate the full location.</t>
  </si>
  <si>
    <t xml:space="preserve">full location refers to location+country; most recent race = MAX(date)
</t>
  </si>
  <si>
    <t xml:space="preserve">ตำแหน่งเต็มหมายถึงตำแหน่ง + ประเทศ การแข่งขันล่าสุด = MAX (วันที่)
</t>
  </si>
  <si>
    <t>SELECT T1.location FROM circuits AS T1 INNER JOIN races AS T2 ON T1.circuitId = T2.circuitId ORDER BY T2.date DESC LIMIT 1</t>
  </si>
  <si>
    <t>What is full name of the racer who ranked 1st in the 3rd qualifying race held in the Marina Bay Street Circuit in 2008?</t>
  </si>
  <si>
    <t>Ranked 1st in the 3rd qualifying race refer to MIN(q3); 2008 is the year of race; full name of racer = forename, surname</t>
  </si>
  <si>
    <t>อันดับที่ 1 ในการแข่งขันรอบคัดเลือกครั้งที่ 3 หมายถึง MIN(q3); ปี 2551 เป็นปีแห่งการแข่งขัน ชื่อเต็มของนักแข่ง = ชื่อหน้า, นามสกุล</t>
  </si>
  <si>
    <t>SELECT T2.forename, T2.surname FROM qualifying AS T1 INNER JOIN drivers AS T2 on T1.driverId = T2.driverId INNER JOIN races AS T3 ON T1.raceid = T3.raceid WHERE q3 IS NOT NULL AND T3.year = 2008 AND T3.circuitId IN ( SELECT circuitId FROM circuits WHERE name = 'Marina Bay Street Circuit' ) ORDER BY CAST(SUBSTR(q3, 1, INSTR(q3, ':') - 1) AS INTEGER) * 60 + CAST(SUBSTR(q3, INSTR(q3, ':') + 1, INSTR(q3, '.') - INSTR(q3, ':') - 1) AS REAL) + CAST(SUBSTR(q3, INSTR(q3, '.') + 1) AS REAL) / 1000 ASC LIMIT 1</t>
  </si>
  <si>
    <t>As of the present, what is the full name of the youngest racer? Indicate her nationality and the name of the race to which he/she first joined.</t>
  </si>
  <si>
    <t>full name refers to forename+surname; Youngest racer = MAX(dob)</t>
  </si>
  <si>
    <t>ชื่อเต็ม หมายถึง ชื่อหน้า+นามสกุล; นักแข่งที่อายุน้อยที่สุด = MAX(dob)</t>
  </si>
  <si>
    <t>SELECT T1.forename, T1.surname, T1.nationality, T3.name FROM drivers AS T1 INNER JOIN driverStandings AS T2 on T1.driverId = T2.driverId INNER JOIN races AS T3 on T2.raceId = T3.raceId ORDER BY JULIANDAY(T1.dob) DESC LIMIT 1</t>
  </si>
  <si>
    <t>How many accidents did the driver who had the highest number accidents in the Canadian Grand Prix have?</t>
  </si>
  <si>
    <t xml:space="preserve">number of accidents refers to the number where statusid = 3; Canadian Grand Prix refers to the race of name
</t>
  </si>
  <si>
    <t xml:space="preserve">จำนวนอุบัติเหตุ หมายถึง จำนวนที่ statusid = 3; Canadian Grand Prix หมายถึงการแข่งขันที่มีชื่อ
</t>
  </si>
  <si>
    <t>SELECT COUNT(T1.driverId) FROM results AS T1 INNER JOIN races AS T2 on T1.raceId = T2.raceId INNER JOIN status AS T3 on T1.statusId = T3.statusId WHERE T3.statusId = 3 AND T2.name = 'Canadian Grand Prix' GROUP BY T1.driverId ORDER BY COUNT(T1.driverId) DESC LIMIT 1</t>
  </si>
  <si>
    <t>How many wins was achieved by the oldest racer? Indicate his/her full name.</t>
  </si>
  <si>
    <t>oldest racer refers to MIN(dob); full name refers to forename, surname.</t>
  </si>
  <si>
    <t>นักแข่งที่อายุมากที่สุดหมายถึง MIN(dob); ชื่อเต็ม หมายถึง ชื่อหน้า, นามสกุล.</t>
  </si>
  <si>
    <t>SELECT SUM(T1.wins),T2.forename, T2.surname FROM driverStandings AS T1 INNER JOIN drivers AS T2 on T1.driverId = T2.driverId ORDER BY T2.dob ASC LIMIT 1</t>
  </si>
  <si>
    <t>What was the longest time a driver had ever spent at a pit stop?</t>
  </si>
  <si>
    <t>longest time spent at pitstop refers to MAX(duration)</t>
  </si>
  <si>
    <t>เวลาที่ยาวที่สุดที่ใช้ไปที่ Pitstop หมายถึง MAX (ระยะเวลา)</t>
  </si>
  <si>
    <t>SELECT duration FROM pitStops ORDER BY duration DESC LIMIT 1</t>
  </si>
  <si>
    <t>Among all the lap records set on various circuits, what is the time for the fastest one?</t>
  </si>
  <si>
    <t>SELECT time FROM lapTimes ORDER BY (CASE WHEN INSTR(time, ':') &lt;&gt; INSTR(SUBSTR(time, INSTR(time, ':') + 1), ':') + INSTR(time, ':') THEN CAST(SUBSTR(time, 1, INSTR(time, ':') - 1) AS REAL) * 3600 ELSE 0 END) + (CAST(SUBSTR(time, INSTR(time, ':') - 2 * (INSTR(time, ':') = INSTR(SUBSTR(time, INSTR(time, ':') + 1), ':') + INSTR(time, ':')), INSTR(time, ':') - 1) AS REAL) * 60) + (CAST(SUBSTR(time, INSTR(time, ':') + 1, INSTR(time, '.') - INSTR(time, ':') - 1) AS REAL)) + (CAST(SUBSTR(time, INSTR(time, '.') + 1) AS REAL) / 1000) ASC LIMIT 1</t>
  </si>
  <si>
    <t>What was the longest time that Lewis Hamilton had spent at a pit stop?</t>
  </si>
  <si>
    <t>longest time refes to MAX(duration);</t>
  </si>
  <si>
    <t>เวลาที่ยาวที่สุดอ้างอิงถึง MAX (ระยะเวลา);</t>
  </si>
  <si>
    <t>SELECT T1.duration FROM pitStops AS T1 INNER JOIN drivers AS T2 on T1.driverId = T2.driverId WHERE T2.forename = 'Lewis' AND T2.surname = 'Hamilton' ORDER BY T1.duration DESC LIMIT 1</t>
  </si>
  <si>
    <t>During which lap did Lewis Hamilton take a pit stop during the 2011 Australian Grand Prix?</t>
  </si>
  <si>
    <t>SELECT T1.lap FROM pitStops AS T1 INNER JOIN drivers AS T2 on T1.driverId = T2.driverId INNER JOIN races AS T3 on T1.raceId = T3.raceId WHERE T2.forename = 'Lewis' AND T2.surname = 'Hamilton' AND T3.year = 2011 AND T3.name = 'Australian Grand Prix'</t>
  </si>
  <si>
    <t>Please list the time each driver spent at the pit stop during the 2011 Australian Grand Prix.</t>
  </si>
  <si>
    <t>time spent at pit stop refers to duration</t>
  </si>
  <si>
    <t>เวลาที่ใช้ในการแวะจอดหมายถึงระยะเวลา</t>
  </si>
  <si>
    <t>SELECT T1.duration FROM pitStops AS T1 INNER JOIN races AS T2 on T1.raceId = T2.raceId WHERE T2.year = 2011 AND T2.name = 'Australian Grand Prix'</t>
  </si>
  <si>
    <t>What is the lap record set by Lewis Hamilton in a Formula_1 race?</t>
  </si>
  <si>
    <t>lap recod means the fastest time recorded which refers to time</t>
  </si>
  <si>
    <t>การบันทึกรอบหมายถึงเวลาที่เร็วที่สุดที่บันทึกไว้ซึ่งอ้างอิงถึงเวลา</t>
  </si>
  <si>
    <t>SELECT T1.time FROM lapTimes AS T1 INNER JOIN drivers AS T2 on T1.driverId = T2.driverId WHERE T2.forename = 'Lewis' AND T2.surname = 'Hamilton'</t>
  </si>
  <si>
    <t>Which top 20 driver created the shortest lap time ever record in a Formula_1 race? Please give them full names.</t>
  </si>
  <si>
    <t>shortest lap time refers to MIN(time); the time format for the shortest lap time is 'MM:SS.mmm' or 'M:SS.mmm'; full name of the driver refers to forename, surname</t>
  </si>
  <si>
    <t>เวลารอบที่สั้นที่สุดหมายถึง MIN (เวลา); รูปแบบเวลาสำหรับเวลารอบที่สั้นที่สุดคือ 'MM:SS.mmm' หรือ 'M:SS.mmm'; ชื่อเต็มของผู้ขับขี่ หมายถึง ชื่อหน้า นามสกุล</t>
  </si>
  <si>
    <t>WITH lap_times_in_seconds AS (SELECT driverId, (CASE WHEN SUBSTR(time, 1, INSTR(time, ':') - 1) &lt;&gt; '' THEN CAST(SUBSTR(time, 1, INSTR(time, ':') - 1) AS REAL) * 60 ELSE 0 END + CASE WHEN SUBSTR(time, INSTR(time, ':') + 1, INSTR(time, '.') - INSTR(time, ':') - 1) &lt;&gt; '' THEN CAST(SUBSTR(time, INSTR(time, ':') + 1, INSTR(time, '.') - INSTR(time, ':') - 1) AS REAL) ELSE 0 END + CASE WHEN SUBSTR(time, INSTR(time, '.') + 1) &lt;&gt; '' THEN CAST(SUBSTR(time, INSTR(time, '.') + 1) AS REAL) / 1000 ELSE 0 END) AS time_in_seconds FROM lapTimes) SELECT T2.forename, T2.surname, T1.driverId FROM (SELECT driverId, MIN(time_in_seconds) AS min_time_in_seconds FROM lap_times_in_seconds GROUP BY driverId) AS T1 INNER JOIN drivers AS T2 ON T1.driverId = T2.driverId ORDER BY T1.min_time_in_seconds ASC LIMIT 20</t>
  </si>
  <si>
    <t>What was the position of the circuits during Lewis Hamilton's fastest lap in a Formula_1 race?</t>
  </si>
  <si>
    <t>fastest lap refers to MIN(time)</t>
  </si>
  <si>
    <t>รอบที่เร็วที่สุดหมายถึง MIN (เวลา)</t>
  </si>
  <si>
    <t>SELECT T1.position FROM lapTimes AS T1 INNER JOIN drivers AS T2 on T1.driverId = T2.driverId WHERE T2.forename = 'Lewis' AND T2.surname = 'Hamilton' ORDER BY T1.time ASC LIMIT 1</t>
  </si>
  <si>
    <t>What is the lap record for the Austrian Grand Prix Circuit?</t>
  </si>
  <si>
    <t>lap record means the fastest time recorded which refers to time</t>
  </si>
  <si>
    <t>บันทึกรอบหมายถึงเวลาที่เร็วที่สุดที่บันทึกซึ่งอ้างอิงถึงเวลา</t>
  </si>
  <si>
    <t>WITH fastest_lap_times AS ( SELECT T1.raceId, T1.fastestLapTime FROM results AS T1 WHERE T1.FastestLapTime IS NOT NULL) SELECT MIN(fastest_lap_times.fastestLapTime) as lap_record FROM fastest_lap_times INNER JOIN races AS T2 on fastest_lap_times.raceId = T2.raceId INNER JOIN circuits AS T3 on T2.circuitId = T3.circuitId WHERE T2.name = 'Austrian Grand Prix'</t>
  </si>
  <si>
    <t>Please list the lap records for the circuits in Italy.</t>
  </si>
  <si>
    <t>WITH fastest_lap_times AS (SELECT T1.raceId, T1.FastestLapTime, (CAST(SUBSTR(T1.FastestLapTime, 1, INSTR(T1.FastestLapTime, ':') - 1) AS REAL) * 60) + (CAST(SUBSTR(T1.FastestLapTime, INSTR(T1.FastestLapTime, ':') + 1, INSTR(T1.FastestLapTime, '.') - INSTR(T1.FastestLapTime, ':') - 1) AS REAL)) + (CAST(SUBSTR(T1.FastestLapTime, INSTR(T1.FastestLapTime, '.') + 1) AS REAL) / 1000) as time_in_seconds FROM results AS T1 WHERE T1.FastestLapTime IS NOT NULL ) SELECT T1.FastestLapTime as lap_record FROM results AS T1 INNER JOIN races AS T2 on T1.raceId = T2.raceId INNER JOIN circuits AS T3 on T2.circuitId = T3.circuitId INNER JOIN (SELECT MIN(fastest_lap_times.time_in_seconds) as min_time_in_seconds FROM fastest_lap_times INNER JOIN races AS T2 on fastest_lap_times.raceId = T2.raceId INNER JOIN circuits AS T3 on T2.circuitId = T3.circuitId WHERE T3.country = 'Italy' ) AS T4 ON (CAST(SUBSTR(T1.FastestLapTime, 1, INSTR(T1.FastestLapTime, ':') - 1) AS REAL) * 60) + (CAST(SUBSTR(T1.FastestLapTime, INSTR(T1.FastestLapTime, ':') + 1, INSTR(T1.FastestLapTime, '.') - INSTR(T1.FastestLapTime, ':') - 1) AS REAL)) + (CAST(SUBSTR(T1.FastestLapTime, INSTR(T1.FastestLapTime, '.') + 1) AS REAL) / 1000) = T4.min_time_in_seconds LIMIT 1</t>
  </si>
  <si>
    <t>In which Formula_1 race was the lap record for the Austrian Grand Prix Circuit set?</t>
  </si>
  <si>
    <t>WITH fastest_lap_times AS ( SELECT T1.raceId, T1.FastestLapTime, (CAST(SUBSTR(T1.FastestLapTime, 1, INSTR(T1.FastestLapTime, ':') - 1) AS REAL) * 60) + (CAST(SUBSTR(T1.FastestLapTime, INSTR(T1.FastestLapTime, ':') + 1, INSTR(T1.FastestLapTime, '.') - INSTR(T1.FastestLapTime, ':') - 1) AS REAL)) + (CAST(SUBSTR(T1.FastestLapTime, INSTR(T1.FastestLapTime, '.') + 1) AS REAL) / 1000) as time_in_seconds FROM results AS T1 WHERE T1.FastestLapTime IS NOT NULL ) SELECT T2.name FROM races AS T2 INNER JOIN circuits AS T3 on T2.circuitId = T3.circuitId INNER JOIN results AS T1 on T2.raceId = T1.raceId INNER JOIN ( SELECT MIN(fastest_lap_times.time_in_seconds) as min_time_in_seconds FROM fastest_lap_times INNER JOIN races AS T2 on fastest_lap_times.raceId = T2.raceId INNER JOIN circuits AS T3 on T2.circuitId = T3.circuitId WHERE T2.name = 'Austrian Grand Prix') AS T4 ON (CAST(SUBSTR(T1.FastestLapTime, 1, INSTR(T1.FastestLapTime, ':') - 1) AS REAL) * 60) + (CAST(SUBSTR(T1.FastestLapTime, INSTR(T1.FastestLapTime, ':') + 1, INSTR(T1.FastestLapTime, '.') - INSTR(T1.FastestLapTime, ':') - 1) AS REAL)) + (CAST(SUBSTR(T1.FastestLapTime, INSTR(T1.FastestLapTime, '.') + 1) AS REAL) / 1000) = T4.min_time_in_seconds WHERE T2.name = 'Austrian Grand Prix'</t>
  </si>
  <si>
    <t>In the race a driver set the lap record for the Austrian Grand Prix Circuit, how long did he spent at the pit stop at that same race?</t>
  </si>
  <si>
    <t>lap record means the fastest time recorded which refers to time, how long spent at pitstop refers to duration</t>
  </si>
  <si>
    <t>บันทึกรอบหมายถึงเวลาที่เร็วที่สุดที่บันทึกไว้ซึ่งหมายถึงเวลา ระยะเวลาที่เข้า Pitstop หมายถึงระยะเวลา</t>
  </si>
  <si>
    <t>WITH fastest_lap_times AS ( SELECT T1.raceId, T1.driverId, T1.FastestLapTime, (CAST(SUBSTR(T1.FastestLapTime, 1, INSTR(T1.FastestLapTime, ':') - 1) AS REAL) * 60) + (CAST(SUBSTR(T1.FastestLapTime, INSTR(T1.FastestLapTime, ':') + 1, INSTR(T1.FastestLapTime, '.') - INSTR(T1.FastestLapTime, ':') - 1) AS REAL)) + (CAST(SUBSTR(T1.FastestLapTime, INSTR(T1.FastestLapTime, '.') + 1) AS REAL) / 1000) as time_in_seconds FROM results AS T1 WHERE T1.FastestLapTime IS NOT NULL), lap_record_race AS ( SELECT T1.raceId, T1.driverId FROM results AS T1 INNER JOIN races AS T2 on T1.raceId = T2.raceId INNER JOIN circuits AS T3 on T2.circuitId = T3.circuitId INNER JOIN ( SELECT MIN(fastest_lap_times.time_in_seconds) as min_time_in_seconds FROM fastest_lap_times INNER JOIN races AS T2 on fastest_lap_times.raceId = T2.raceId INNER JOIN circuits AS T3 on T2.circuitId = T3.circuitId WHERE T2.name = 'Austrian Grand Prix') AS T4 ON (CAST(SUBSTR(T1.FastestLapTime, 1, INSTR(T1.FastestLapTime, ':') - 1) AS REAL) * 60) + (CAST(SUBSTR(T1.FastestLapTime, INSTR(T1.FastestLapTime, ':') + 1, INSTR(T1.FastestLapTime, '.') - INSTR(T1.FastestLapTime, ':') - 1) AS REAL)) + (CAST(SUBSTR(T1.FastestLapTime, INSTR(T1.FastestLapTime, '.') + 1) AS REAL) / 1000) = T4.min_time_in_seconds WHERE T2.name = 'Austrian Grand Prix') SELECT T4.duration FROM lap_record_race INNER JOIN pitStops AS T4 on lap_record_race.raceId = T4.raceId AND lap_record_race.driverId = T4.driverId</t>
  </si>
  <si>
    <t>Please list the location coordinates of the circuits whose lap record is 1:29.488.</t>
  </si>
  <si>
    <t>lap records means the fastest time recorded which refers to time; coordinates are expressed as latitude and longitude which refers to (lat, lng)</t>
  </si>
  <si>
    <t>บันทึกรอบหมายถึงเวลาที่เร็วที่สุดที่บันทึกซึ่งอ้างอิงถึงเวลา พิกัดจะแสดงเป็นละติจูดและลองจิจูดซึ่งหมายถึง (lat, lng)</t>
  </si>
  <si>
    <t>SELECT T3.lat, T3.lng FROM lapTimes AS T1 INNER JOIN races AS T2 on T1.raceId = T2.raceId INNER JOIN circuits AS T3 on T2.circuitId = T3.circuitId WHERE T1.time = '1:29.488'</t>
  </si>
  <si>
    <t>What was the average time in milliseconds Lewis Hamilton spent at a pit stop during Formula_1 races?</t>
  </si>
  <si>
    <t>average time in milliseconds spent at pit stop refers to AVG(milliseconds)</t>
  </si>
  <si>
    <t>เวลาเฉลี่ยในหน่วยมิลลิวินาทีที่ใช้ที่จุดแวะพักหมายถึง AVG (มิลลิวินาที)</t>
  </si>
  <si>
    <t>SELECT AVG(milliseconds) FROM pitStops AS T1 INNER JOIN drivers AS T2 on T1.driverId = T2.driverId WHERE T2.forename = 'Lewis' AND T2.surname = 'Hamilton'</t>
  </si>
  <si>
    <t>What is the average lap time in milliseconds of all the lap records set on the various circuits in Italy?</t>
  </si>
  <si>
    <t>average = AVG(milliseconds)</t>
  </si>
  <si>
    <t>เฉลี่ย = AVG (มิลลิวินาที)</t>
  </si>
  <si>
    <t>SELECT CAST(SUM(T1.milliseconds) AS REAL) / COUNT(T1.lap) FROM lapTimes AS T1 INNER JOIN races AS T2 on T1.raceId = T2.raceId INNER JOIN circuits AS T3 on T2.circuitId = T3.circuitId WHERE T3.country = 'Italy'</t>
  </si>
  <si>
    <t>european_football_2</t>
  </si>
  <si>
    <t>Which player has the highest overall rating? Indicate the player's api id.</t>
  </si>
  <si>
    <t>highest overall rating refers to MAX(overall_rating);</t>
  </si>
  <si>
    <t>คะแนนรวมสูงสุดหมายถึง MAX(overall_rating);</t>
  </si>
  <si>
    <t>SELECT player_api_id FROM Player_Attributes ORDER BY overall_rating DESC LIMIT 1</t>
  </si>
  <si>
    <t>What is the height of the tallest player? Indicate his name.</t>
  </si>
  <si>
    <t>tallest player refers to MAX(height);</t>
  </si>
  <si>
    <t>ผู้เล่นที่สูงที่สุดหมายถึง MAX (ส่วนสูง);</t>
  </si>
  <si>
    <t>SELECT player_name FROM Player ORDER BY height DESC LIMIT 1</t>
  </si>
  <si>
    <t>What is the preferred foot when attacking of the player with the lowest potential?</t>
  </si>
  <si>
    <t>preferred foot when attacking refers to preferred_foot; lowest potential refers to MIN(potential);</t>
  </si>
  <si>
    <t>เท้าที่ต้องการเมื่อโจมตีหมายถึงที่ต้องการ _foot; ศักยภาพต่ำสุดหมายถึง MIN (ศักยภาพ);</t>
  </si>
  <si>
    <t>SELECT preferred_foot FROM Player_Attributes WHERE potential IS NOT NULL ORDER BY potential ASC LIMIT 1</t>
  </si>
  <si>
    <t>Among the players with an overall rating between 60 to 65, how many players whose going to be in all of your attack moves instead of defensing?</t>
  </si>
  <si>
    <t>overall_rating &gt; = 60 AND overall_rating &lt; 65; players whose going to be in all of your attack moves instead of defensing refers to defensive_work_rate = 'low';</t>
  </si>
  <si>
    <t>คะแนนโดยรวม &gt; = 60 และ คะแนนโดยรวม &lt; 65; ผู้เล่นที่จะอยู่ในการโจมตีทั้งหมดของคุณแทนการป้องกันหมายถึง defensive_work_rate = 'ต่ำ';</t>
  </si>
  <si>
    <t>SELECT COUNT(id) FROM Player_Attributes WHERE overall_rating BETWEEN 60 AND 65 AND defensive_work_rate = 'low'</t>
  </si>
  <si>
    <t>Who are the top 5 players who perform better in crossing actions? Indicate their player id.</t>
  </si>
  <si>
    <t>perform better in crossing actions refers to MAX(crossing)</t>
  </si>
  <si>
    <t>ดำเนินการได้ดีขึ้นในการข้ามการกระทำหมายถึง MAX (การข้าม)</t>
  </si>
  <si>
    <t>SELECT id FROM Player_Attributes ORDER BY crossing DESC LIMIT 5</t>
  </si>
  <si>
    <t>Give the name of the league had the most goals in the 2016 season?</t>
  </si>
  <si>
    <t>league that had the most goals refers to MAX(SUM(home_team_goal, away_team_goal)); 2016 season refers to season = '2015/2016';</t>
  </si>
  <si>
    <t>ลีกที่มีประตูมากที่สุดหมายถึง MAX(SUM(home_team_goal, away_team_goal)); ฤดูกาล 2016 หมายถึง ฤดูกาล = '2015/2016';</t>
  </si>
  <si>
    <t>SELECT t2.name FROM Match AS t1 INNER JOIN League AS t2 ON t1.league_id = t2.id WHERE t1.season = '2015/2016' GROUP BY t2.name ORDER BY SUM(t1.home_team_goal + t1.away_team_goal) DESC LIMIT 1</t>
  </si>
  <si>
    <t>Which home team had lost the fewest matches in the 2016 season?</t>
  </si>
  <si>
    <t>home team lost the matches refers to SUBTRACT(home_team_goal, away_team_goal) &lt; 0; 2016 season refers to season = '2015/2016';</t>
  </si>
  <si>
    <t>เจ้าบ้านแพ้การแข่งขัน หมายถึง SUBTRACT(home_team_goal, away_team_goal) &lt; 0; ฤดูกาล 2016 หมายถึง ฤดูกาล = '2015/2016';</t>
  </si>
  <si>
    <t>SELECT teamDetails.team_long_name FROM Match AS matchData INNER JOIN Team AS teamDetails ON matchData.home_team_api_id = teamDetails.team_api_id WHERE matchData.season = '2015/2016' AND matchData.home_team_goal - matchData.away_team_goal &lt; 0 GROUP BY matchData.home_team_api_id ORDER BY COUNT(*) ASC LIMIT 1</t>
  </si>
  <si>
    <t>Indicate the full names of the top 10 players with the highest number of penalties.</t>
  </si>
  <si>
    <t>full name refers to player_name; players with highest number of penalties refers to MAX(penalties);</t>
  </si>
  <si>
    <t>ชื่อเต็มหมายถึง player_name; ผู้เล่นที่มีบทลงโทษสูงสุดหมายถึง MAX (บทลงโทษ);</t>
  </si>
  <si>
    <t>SELECT t2.player_name FROM Player_Attributes AS t1 INNER JOIN Player AS t2 ON t1.id = t2.id ORDER BY t1.penalties DESC LIMIT 10</t>
  </si>
  <si>
    <t>In Scotland Premier League, which away team won the most during the 2010 season?</t>
  </si>
  <si>
    <t>Final result should return the Team.team_long_name; Scotland Premier League refers to League.name = 'Scotland Premier League'; away team refers to away_team_api_id; away team that won the most refers to MAX(SUBTRACT(away_team_goal, home_team_goal) &gt; 0); 2010 season refers to season = '2009/2010'; won the most refers to MAX(COUNT(*));</t>
  </si>
  <si>
    <t>ผลลัพธ์สุดท้ายควรส่งคืน Team.team_long_name; สกอตแลนด์พรีเมียร์ลีก หมายถึง League.name = 'สกอตแลนด์พรีเมียร์ลีก'; ทีมเยือนหมายถึง away_team_api_id; ทีมเยือนที่ชนะมากที่สุดหมายถึง MAX(SUBTRACT(away_team_goal, home_team_goal) &gt; 0); ฤดูกาล 2010 หมายถึง ฤดูกาล = '2009/2010'; ชนะการอ้างอิงมากที่สุดถึง MAX(COUNT(*));</t>
  </si>
  <si>
    <t>SELECT teamInfo.team_long_name FROM League AS leagueData INNER JOIN Match AS matchData ON leagueData.id = matchData.league_id INNER JOIN Team AS teamInfo ON matchData.away_team_api_id = teamInfo.team_api_id WHERE leagueData.name = 'Scotland Premier League' AND matchData.season = '2009/2010' AND matchData.away_team_goal - matchData.home_team_goal &gt; 0 GROUP BY matchData.away_team_api_id ORDER BY COUNT(*) DESC LIMIT 1</t>
  </si>
  <si>
    <t>What are the speed in which attacks are put together of the top 4 teams with the highest build Up Play Speed?</t>
  </si>
  <si>
    <t>speed in which attacks are put together refers to buildUpPlaySpeed;highest build up play speed refers to MAX(buildUpPlaySpeed)</t>
  </si>
  <si>
    <t>ความเร็วที่การโจมตีถูกรวมเข้าด้วยกันหมายถึง buildUpPlaySpeed; ความเร็วการเล่นสูงสุดที่สร้างขึ้นหมายถึง MAX (buildUpPlaySpeed)</t>
  </si>
  <si>
    <t>SELECT t1.buildUpPlaySpeed FROM Team_Attributes AS t1 INNER JOIN Team AS t2 ON t1.team_api_id = t2.team_api_id ORDER BY t1.buildUpPlaySpeed ASC LIMIT 4</t>
  </si>
  <si>
    <t>Give the name of the league had the most matches end as draw in the 2016 season?</t>
  </si>
  <si>
    <t>most matches end as draw refers to MAX(SUM(home_team_goal = away_team_goal)); 2016 season refers to season = '2015/2016';</t>
  </si>
  <si>
    <t>การแข่งขันส่วนใหญ่จบลงเมื่อเสมอกันหมายถึง MAX(SUM(home_team_goal = away_team_goal)); ฤดูกาล 2016 หมายถึง ฤดูกาล = '2015/2016';</t>
  </si>
  <si>
    <t>SELECT t2.name FROM Match AS t1 INNER JOIN League AS t2 ON t1.league_id = t2.id WHERE t1.season = '2015/2016' AND t1.home_team_goal = t1.away_team_goal GROUP BY t2.name ORDER BY COUNT(t1.id) DESC LIMIT 1</t>
  </si>
  <si>
    <t>At present, calculate for the player's age who have a sprint speed of no less than 97 between 2013 to 2015.</t>
  </si>
  <si>
    <t xml:space="preserve">players age at present = SUBTRACT((DATETIME(), birthday)); sprint speed of no less than 97 refers to sprint_speed &gt; = 97; between 2013 to 2015 refers to YEAR(date) &gt; = '2013' AND YEAR(date) &lt; = '2015'; </t>
  </si>
  <si>
    <t xml:space="preserve">อายุผู้เล่นในปัจจุบัน = SUBTRACT((DATETIME(), วันเกิด)); ความเร็วสปรินต์ไม่น้อยกว่า 97 หมายถึง sprint_speed &gt; = 97; ระหว่างปี 2013 ถึง 2015 หมายถึง YEAR(date) &gt; = '2013' AND YEAR(date) &lt; = '2015'; </t>
  </si>
  <si>
    <t>SELECT DISTINCT DATETIME() - T2.birthday age FROM Player_Attributes AS t1 INNER JOIN Player AS t2 ON t1.player_api_id = t2.player_api_id WHERE STRFTIME('%Y',t1.`date`) &gt;= '2013' AND STRFTIME('%Y',t1.`date`) &lt;= '2015' AND t1.sprint_speed &gt;= 97</t>
  </si>
  <si>
    <t>Give the name of the league with the highest matches of all time and how many matches were played in the said league.</t>
  </si>
  <si>
    <t>league with highest matches of all time refers to MAX(COUNT(league_id));</t>
  </si>
  <si>
    <t>ลีกที่มีการแข่งขันสูงสุดตลอดกาลหมายถึง MAX(COUNT(league_id));</t>
  </si>
  <si>
    <t>SELECT t2.name, t1.max_count FROM League AS t2 JOIN (SELECT league_id, MAX(cnt) AS max_count FROM (SELECT league_id, COUNT(id) AS cnt FROM Match GROUP BY league_id) AS subquery) AS t1 ON t1.league_id = t2.id</t>
  </si>
  <si>
    <t>What is the average height of players born between 1990 and 1995?</t>
  </si>
  <si>
    <t>average height = DIVIDE(SUM(height), COUNT(id)); players born between 1990 and 1995 refers to birthday &gt; = '1990-01-01 00:00:00' AND birthday &lt; '1996-01-01 00:00:00';</t>
  </si>
  <si>
    <t>ความสูงเฉลี่ย = DIVIDE(SUM(height), COUNT(id)); ผู้เล่นที่เกิดระหว่างปี 1990 ถึง 1995 หมายถึงวันเกิด &gt; = '1990-01-01 00:00:00' และวันเกิด &lt; '1996-01-01 00:00:00';</t>
  </si>
  <si>
    <t>SELECT SUM(height) / COUNT(id) FROM Player WHERE SUBSTR(birthday, 1, 4) BETWEEN '1990' AND '1995'</t>
  </si>
  <si>
    <t>List the players' api id who had the highest above average overall ratings in 2010.</t>
  </si>
  <si>
    <t>highest above average overall ratings refers to MAX(overall_rating); in 2010 refers to substr(date,1,4) = '2010';</t>
  </si>
  <si>
    <t>คะแนนโดยรวมสูงสุดที่สูงกว่าค่าเฉลี่ยหมายถึง MAX(overall_rating); ในปี 2010 หมายถึง substr(date,1,4) = '2010';</t>
  </si>
  <si>
    <t>SELECT player_api_id FROM Player_Attributes WHERE SUBSTR(`date`, 1, 4) = '2010' ORDER BY overall_rating DESC LIMIT 1</t>
  </si>
  <si>
    <t>Give the team_fifa_api_id of teams with more than 50 but less than 60 build-up play speed.</t>
  </si>
  <si>
    <t>teams with more than 50 but less than 60 build-up play speed refers to buildUpPlaySpeed &gt;50 AND buildUpPlaySpeed &lt;60;</t>
  </si>
  <si>
    <t>ทีมที่มีความเร็วในการเล่นมากกว่า 50 แต่น้อยกว่า 60 หมายถึง buildUpPlaySpeed ​​&gt;50 และ buildUpPlaySpeed ​​&lt;60;</t>
  </si>
  <si>
    <t>SELECT DISTINCT team_fifa_api_id FROM Team_Attributes WHERE buildUpPlaySpeed &gt; 50 AND buildUpPlaySpeed &lt; 60</t>
  </si>
  <si>
    <t>List the long name of teams with above-average build-up play passing in 2012.</t>
  </si>
  <si>
    <t xml:space="preserve">long name of teams refers to team_long_name; build-up play passing refers to buildUpPlayPassing; above-average build-up play passing = buildUpPlayPassing &gt; DIVIDE(SUM(buildUpPlayPassing), COUNT(team_long_name) WHERE buildUpPlayPassing IS NOT NULL); in 2012 refers to strftime('%Y', date) = '2012'; </t>
  </si>
  <si>
    <t xml:space="preserve">ชื่อยาวของทีมหมายถึง team_long_name; การเล่นแบบ build-up หมายถึง buildUpPlayPassing; การเล่นแบบบิลด์อัพที่สูงกว่าค่าเฉลี่ย = buildUpPlayPassing &gt; DIVIDE(SUM(buildUpPlayPassing), COUNT(team_long_name) โดยที่ buildUpPlayPassing ไม่ใช่ NULL); ในปี 2555 อ้างถึง strftime('%Y', date) = '2012'; </t>
  </si>
  <si>
    <t>SELECT DISTINCT t4.team_long_name FROM Team_Attributes AS t3 INNER JOIN Team AS t4 ON t3.team_api_id = t4.team_api_id WHERE SUBSTR(t3.`date`, 1, 4) = '2012' AND t3.buildUpPlayPassing &gt; ( SELECT CAST(SUM(t2.buildUpPlayPassing) AS REAL) / COUNT(t1.id) FROM Team AS t1 INNER JOIN Team_Attributes AS t2 ON t1.team_api_id = t2.team_api_id WHERE STRFTIME('%Y',t2.`date`) = '2012')</t>
  </si>
  <si>
    <t>Calculate the percentage of players who prefer left foot, who were born between 1987 and 1992.</t>
  </si>
  <si>
    <t>players who prefer left foot refers to preferred_foot = 'left'; percentage of players who prefer left foot = DIVIDE(MULTIPLY((SUM(preferred_foot = 'left'), 100)), COUNT(player_fifa_api_id)); born between 1987 and 1992 refers to YEAR(birthday) BETWEEN '1987' AND '1992';</t>
  </si>
  <si>
    <t>ผู้เล่นที่ชอบเท้าซ้ายหมายถึงที่ต้องการ_เท้า = 'ซ้าย'; เปอร์เซ็นต์ของผู้เล่นที่ชอบเท้าซ้าย = DIVIDE(MULTIPLY((SUM(preferred_foot = 'left'), 100)), COUNT(player_fifa_api_id)); เกิดระหว่างปี 1987 ถึง 1992 หมายถึง YEAR(วันเกิด) ระหว่าง '1987' และ '1992';</t>
  </si>
  <si>
    <t>SELECT CAST(COUNT(CASE WHEN t2.preferred_foot = 'left' THEN t1.id ELSE NULL END) AS REAL) * 100 / COUNT(t1.id) percent FROM Player AS t1 INNER JOIN Player_Attributes AS t2 ON t1.player_api_id = t2.player_api_id WHERE SUBSTR(t1.birthday, 1, 4) BETWEEN '1987' AND '1992'</t>
  </si>
  <si>
    <t>List the top 5 leagues in ascending order of the number of goals made in all seasons combined.</t>
  </si>
  <si>
    <t>number of goals made in all seasons combine = SUM(home_team_goal, away_team_goal);</t>
  </si>
  <si>
    <t>จำนวนประตูที่ทำได้ในทุกฤดูกาลรวมกัน = SUM(home_team_goal, away_team_goal);</t>
  </si>
  <si>
    <t>SELECT t1.name, SUM(t2.home_team_goal) + SUM(t2.away_team_goal) FROM League AS t1 INNER JOIN Match AS t2 ON t1.id = t2.league_id GROUP BY t1.name ORDER BY SUM(t2.home_team_goal) + SUM(t2.away_team_goal) ASC LIMIT 5</t>
  </si>
  <si>
    <t>Find the average number of long-shot done by Ahmed Samir Farag.</t>
  </si>
  <si>
    <t>average number of long shot = DIVIDE(SUM(long_shots), COUNT(player_fifa_api_id));</t>
  </si>
  <si>
    <t>จำนวนการยิงไกลโดยเฉลี่ย = DIVIDE(SUM(long_shots), COUNT(player_fifa_api_id));</t>
  </si>
  <si>
    <t>SELECT CAST(SUM(t2.long_shots) AS REAL) / COUNT(t2.`date`) FROM Player AS t1 INNER JOIN Player_Attributes AS t2 ON t1.player_api_id = t2.player_api_id WHERE t1.player_name = 'Ahmed Samir Farag'</t>
  </si>
  <si>
    <t>List the top 10 players' names whose heights are above 180 in descending order of average heading accuracy.</t>
  </si>
  <si>
    <t>heights are above 180 refers to Player.height &gt; 180; average heading accuracy = DIVIDE(SUM(heading_accuracy), COUNT(player_fifa_api_id));</t>
  </si>
  <si>
    <t>ความสูงมากกว่า 180 หมายถึง Player.height &gt; 180; ความแม่นยำของส่วนหัวโดยเฉลี่ย = DIVIDE(SUM(heading_accuracy), COUNT(player_fifa_api_id));</t>
  </si>
  <si>
    <t>SELECT t1.player_name FROM Player AS t1 INNER JOIN Player_Attributes AS t2 ON t1.player_api_id = t2.player_api_id WHERE t1.height &gt; 180 GROUP BY t1.id ORDER BY CAST(SUM(t2.heading_accuracy) AS REAL) / COUNT(t2.`player_fifa_api_id`) DESC LIMIT 10</t>
  </si>
  <si>
    <t>For the teams with normal build-up play dribbling class in 2014, List the names of the teams with less than average chance creation passing, in descending order of chance creation passing.</t>
  </si>
  <si>
    <t>normal build-up play dribbling class refers to buildUpPlayDribblingClass = 'Normal'; in 2014 refers to date &gt; = '2014-01-01 00:00:00' AND date &lt; = '2014-01-31 00:00:00'; names of the teams refers to team_long_name; less than average chance creation passing = DIVIDE(SUM(chanceCreationPassing), COUNT(id)) &gt; chanceCreationPassing;</t>
  </si>
  <si>
    <t>คลาสการเลี้ยงบอลการเล่นแบบ build-up ปกติหมายถึง buildUpPlayDribblingClass = 'Normal'; ในปี 2014 หมายถึงวันที่ &gt; = '2014-01-01 00:00:00' และวันที่ &lt; = '2014-01-31 00:00:00'; ชื่อทีมหมายถึง team_long_name; น้อยกว่าค่าเฉลี่ยในการสร้างโอกาสที่ผ่าน = DIVIDE(SUM(chanceCreationPassing), COUNT(id)) &gt; ChanceCreationPassing;</t>
  </si>
  <si>
    <t>SELECT t3.team_long_name FROM Team AS t3 INNER JOIN Team_Attributes AS t4 ON t3.team_api_id = t4.team_api_id WHERE t4.buildUpPlayDribblingClass = 'Normal' AND t4.chanceCreationPassing &lt; ( SELECT CAST(SUM(t2.chanceCreationPassing) AS REAL) / COUNT(t1.id) FROM Team AS t1 INNER JOIN Team_Attributes AS t2 ON t1.team_api_id = t2.team_api_id WHERE t2.buildUpPlayDribblingClass = 'Normal' AND SUBSTR(t2.`date`, 1, 4) = '2014') ORDER BY t4.chanceCreationPassing DESC</t>
  </si>
  <si>
    <t>List the name of leagues in which the average goals by the home team is higher than the away team in the 2009/2010 season.</t>
  </si>
  <si>
    <t>name of league refers to League.name; average goals by the home team is higher than the away team = AVG(home_team_goal) &gt; AVG(away_team_goal); AVG(xx_goal) = SUM(xx_goal) / COUNT(DISTINCT Match.id); 2009/2010 season refers to season = '2009/2010'</t>
  </si>
  <si>
    <t>ชื่อของลีกหมายถึง League.name; ประตูเฉลี่ยของเจ้าบ้านสูงกว่าทีมเยือน = AVG(home_team_goal) &gt; AVG(away_team_goal); AVG(xx_goal) = SUM(xx_goal) / COUNT(DISTINCT Match.id); ฤดูกาล 2009/2010 หมายถึง ฤดูกาล = '2009/2010'</t>
  </si>
  <si>
    <t>SELECT t1.name FROM League AS t1 INNER JOIN Match AS t2 ON t1.id = t2.league_id WHERE t2.season = '2009/2010' GROUP BY t1.name HAVING (CAST(SUM(t2.home_team_goal) AS REAL) / COUNT(DISTINCT t2.id)) - (CAST(SUM(t2.away_team_goal) AS REAL) / COUNT(DISTINCT t2.id)) &gt; 0</t>
  </si>
  <si>
    <t>What is the short name of the football team Queens Park Rangers?</t>
  </si>
  <si>
    <t>short name of the football team refers to team_short_name; Queens Park Rangers refers to team_long_name = 'Queens Park Rangers';</t>
  </si>
  <si>
    <t>ชื่อย่อของทีมฟุตบอลหมายถึง team_short_name; ควีนส์ปาร์ค เรนเจอร์ส หมายถึง team_long_name = 'ควีนส์ปาร์ค เรนเจอร์ส';</t>
  </si>
  <si>
    <t>SELECT team_short_name FROM Team WHERE team_long_name = 'Queens Park Rangers'</t>
  </si>
  <si>
    <t>List the football players with a birthyear of 1970 and a birthmonth of October.</t>
  </si>
  <si>
    <t>players with a birthyear of 1970 and a birthmonth of October refers to substr(birthday,1,7) AS 'year-month',WHERE year = '1970' AND month = '10';</t>
  </si>
  <si>
    <t>ผู้เล่นที่มีปีเกิดปี 1970 และเดือนเกิดเดือนตุลาคมหมายถึง substr (วันเกิด, 1,7) AS 'ปี-เดือน' โดยที่ปี = '1970' และเดือน = '10';</t>
  </si>
  <si>
    <t>SELECT player_name FROM Player WHERE SUBSTR(birthday, 1, 7) = '1970-10'</t>
  </si>
  <si>
    <t>What is the attacking work rate of the football playerr Franco Zennaro?</t>
  </si>
  <si>
    <t>SELECT DISTINCT t2.attacking_work_rate FROM Player AS t1 INNER JOIN Player_Attributes AS t2 ON t1.player_api_id = t2.player_api_id WHERE t1.player_name = 'Franco Zennaro'</t>
  </si>
  <si>
    <t>What is the ADO Den Haag team freedom of movement in the 1st two thirds of the pitch?</t>
  </si>
  <si>
    <t>ADO Den Haag refers to team_long_name = 'ADO Den Haag'; freedom of movement in the 1st two thirds of the pitch refers to buildUpPlayPositioningClass;</t>
  </si>
  <si>
    <t>ADO Den Haag หมายถึง team_long_name = 'ADO Den Haag'; เสรีภาพในการเคลื่อนไหวในสองในสามของสนามแรกหมายถึง buildUpPlayPositioningClass;</t>
  </si>
  <si>
    <t>SELECT DISTINCT t2.buildUpPlayPositioningClass FROM Team AS t1 INNER JOIN Team_attributes AS t2 ON t1.team_fifa_api_id = t2.team_fifa_api_id WHERE t1.team_long_name = 'ADO Den Haag'</t>
  </si>
  <si>
    <t>What is the football player Francois Affolter header's finishing rate on 18/09/2014?</t>
  </si>
  <si>
    <t>header's finishing rate refers to heading_accuracy; on 18/09/2014 refers to date = '2014-09-18 00:00:00';</t>
  </si>
  <si>
    <t>อัตราการจบของส่วนหัวหมายถึง heading_accuracy; วันที่ 18/09/2557 อ้างอิงถึง วันที่ = '2014-09-18 00:00:00';</t>
  </si>
  <si>
    <t>SELECT t2.heading_accuracy FROM Player AS t1 INNER JOIN Player_Attributes AS t2 ON t1.player_api_id = t2.player_api_id WHERE t1.player_name = 'Francois Affolter' AND SUBSTR(t2.`date`, 1, 10) = '2014-09-18'</t>
  </si>
  <si>
    <t>What is the overall rating of the football player Gabriel Tamas in year 2011?</t>
  </si>
  <si>
    <t>in year 2011 refers to strftime('%Y', date) = '2011';</t>
  </si>
  <si>
    <t>ในปี 2554 อ้างอิงถึง strftime('%Y', date) = '2011';</t>
  </si>
  <si>
    <t>SELECT t2.overall_rating FROM Player AS t1 INNER JOIN Player_Attributes AS t2 ON t1.player_api_id = t2.player_api_id WHERE t1.player_name = 'Gabriel Tamas' AND strftime('%Y', t2.date) = '2011'</t>
  </si>
  <si>
    <t>How many matches in the 2015/2016 season were held in Scotland Premier League
?</t>
  </si>
  <si>
    <t>Scotland Premier League refers to League.name = 'Scotland Premier League';</t>
  </si>
  <si>
    <t>สกอตแลนด์พรีเมียร์ลีก หมายถึง League.name = 'สกอตแลนด์พรีเมียร์ลีก';</t>
  </si>
  <si>
    <t>SELECT COUNT(t2.id) FROM League AS t1 INNER JOIN Match AS t2 ON t1.id = t2.league_id WHERE t2.season = '2015/2016' AND t1.name = 'Scotland Premier League'</t>
  </si>
  <si>
    <t>What is the preferred foot when attacking of the youngest football player?</t>
  </si>
  <si>
    <t>preferred foot when attacking refers to preferred_foot; youngest football player refers to latest birthday;</t>
  </si>
  <si>
    <t>เท้าที่ต้องการเมื่อโจมตีหมายถึงที่ต้องการ _foot; นักฟุตบอลที่อายุน้อยที่สุดหมายถึงวันเกิดล่าสุด</t>
  </si>
  <si>
    <t>SELECT t2.preferred_foot FROM Player AS t1 INNER JOIN Player_Attributes AS t2 ON t1.player_api_id = t2.player_api_id ORDER BY t1.birthday DESC LIMIT 1</t>
  </si>
  <si>
    <t>List all the football player with the highest potential score.</t>
  </si>
  <si>
    <t>potential score refers to potential; highest potential score refers to MAX(potential);</t>
  </si>
  <si>
    <t>คะแนนที่เป็นไปได้หมายถึงศักยภาพ; คะแนนที่เป็นไปได้สูงสุดหมายถึง MAX (ศักยภาพ);</t>
  </si>
  <si>
    <t>SELECT DISTINCT(t1.player_name) FROM Player AS t1 INNER JOIN Player_Attributes AS t2 ON t1.player_api_id = t2.player_api_id WHERE t2.potential = (SELECT MAX(potential) FROM Player_Attributes)</t>
  </si>
  <si>
    <t>Among all the players whose weight is under 130, how many of them preferred foot in attacking is left?</t>
  </si>
  <si>
    <t>weight &lt; 130; preferred foot in attacking refers to preferred_foot; preferred_foot = 'left';</t>
  </si>
  <si>
    <t>น้ำหนัก &lt; 130; เท้าที่ต้องการในการโจมตีหมายถึง ที่ต้องการ _foot; ที่ต้องการ_ฟุต = 'ซ้าย';</t>
  </si>
  <si>
    <t>SELECT COUNT(DISTINCT t1.id) FROM Player AS t1 INNER JOIN Player_Attributes AS t2 ON t1.player_api_id = t2.player_api_id WHERE t1.weight &lt; 130 AND t2.preferred_foot = 'left'</t>
  </si>
  <si>
    <t>List the football teams that has a chance creation passing class of Risky. Inidcate its short name only.</t>
  </si>
  <si>
    <t>chance creation passing class refers to chanceCreationPassingClass; chanceCreationPassingClass = 'Risky'; short name refers to team_short_name;</t>
  </si>
  <si>
    <t>คลาสการส่งผ่านการสร้างโอกาสหมายถึง ChanceCreationPassingClass; ChanceCreationPassingClass = 'มีความเสี่ยง'; ชื่อสั้นหมายถึง team_short_name;</t>
  </si>
  <si>
    <t>SELECT DISTINCT t1.team_short_name FROM Team AS t1 INNER JOIN Team_attributes AS t2 ON t1.team_api_id = t2.team_api_id WHERE t2.chanceCreationPassingClass = 'Risky'</t>
  </si>
  <si>
    <t>What is the defensive work rate of the football player David Wilson
?</t>
  </si>
  <si>
    <t>SELECT DISTINCT t2.defensive_work_rate FROM Player AS t1 INNER JOIN Player_Attributes AS t2 ON t1.player_api_id = t2.player_api_id WHERE t1.player_name = 'David Wilson'</t>
  </si>
  <si>
    <t>When is the birthday of the football player who has the highest overall rating?</t>
  </si>
  <si>
    <t>football player who has the highest overall rating refers to MAX(overall_rating);</t>
  </si>
  <si>
    <t>นักฟุตบอลที่มีคะแนนรวมสูงสุดหมายถึง MAX(overall_rating);</t>
  </si>
  <si>
    <t>SELECT t1.birthday FROM Player AS t1 INNER JOIN Player_Attributes AS t2 ON t1.player_api_id = t2.player_api_id ORDER BY t2.overall_rating DESC LIMIT 1</t>
  </si>
  <si>
    <t>What is the name of the football league in the country of Netherlands?</t>
  </si>
  <si>
    <t>name of the football league refers to League.name;</t>
  </si>
  <si>
    <t>ชื่อลีกฟุตบอลหมายถึง League.name;</t>
  </si>
  <si>
    <t>SELECT t2.name FROM Country AS t1 INNER JOIN League AS t2 ON t1.id = t2.country_id WHERE t1.name = 'Netherlands'</t>
  </si>
  <si>
    <t>Calculate the average home team goal in the 2010/2011 season in the country of Poland.</t>
  </si>
  <si>
    <t>average home team goal = AVG(home_team_goal)= SUM(home_team_goal) / COUNT(DISTINCT Match.id) WHERE name = 'Poland' and season = '2010/2011';</t>
  </si>
  <si>
    <t>ประตูทีมเจ้าบ้านโดยเฉลี่ย = AVG(home_team_goal)= SUM(home_team_goal) / COUNT(DISTINCT Match.id) WHERE name = 'โปแลนด์' และฤดูกาล = '2010/2011';</t>
  </si>
  <si>
    <t>SELECT CAST(SUM(t2.home_team_goal) AS REAL) / COUNT(t2.id) FROM Country AS t1 INNER JOIN Match AS t2 ON t1.id = t2.country_id WHERE t1.name = 'Poland' AND t2.season = '2010/2011'</t>
  </si>
  <si>
    <t>Who has the highest average finishing rate between the highest and shortest football player?</t>
  </si>
  <si>
    <t>finishing rate refers to finishing; highest average finishing rate = MAX(AVG(finishing)); highest football player refers to MAX(height); shortest football player refers to MIN(height);</t>
  </si>
  <si>
    <t>อัตราการจบหมายถึงการตกแต่ง; อัตราการเข้าเส้นชัยเฉลี่ยสูงสุด = MAX(AVG(การเข้าเส้นชัย)); นักฟุตบอลที่สูงที่สุดหมายถึง MAX (ส่วนสูง); นักฟุตบอลที่เตี้ยที่สุดหมายถึง MIN(ส่วนสูง);</t>
  </si>
  <si>
    <t>SELECT A FROM ( SELECT AVG(finishing) result, 'Max' A FROM Player AS T1 INNER JOIN Player_Attributes AS T2 ON T1.player_api_id = T2.player_api_id WHERE T1.height = ( SELECT MAX(height) FROM Player ) UNION SELECT AVG(finishing) result, 'Min' A FROM Player AS T1 INNER JOIN Player_Attributes AS T2 ON T1.player_api_id = T2.player_api_id WHERE T1.height = ( SELECT MIN(height) FROM Player ) ) ORDER BY result DESC LIMIT 1</t>
  </si>
  <si>
    <t>Please list player names which are higher than 180.</t>
  </si>
  <si>
    <t>height&gt;180;</t>
  </si>
  <si>
    <t>ความสูง&gt;180;</t>
  </si>
  <si>
    <t>SELECT player_name FROM Player WHERE height &gt; 180</t>
  </si>
  <si>
    <t>How many players were born after 1990?</t>
  </si>
  <si>
    <t>born after 1990 refers to strftime('%Y', birthday) = '1990';</t>
  </si>
  <si>
    <t>เกิดหลังปี 1990 หมายถึง strftime('%Y', วันเกิด) = '1990';</t>
  </si>
  <si>
    <t>SELECT COUNT(id) FROM Player WHERE STRFTIME('%Y', birthday) &gt; '1990'</t>
  </si>
  <si>
    <t>How many players whose first names are Adam and weigh more than 170?</t>
  </si>
  <si>
    <t>team names refers to team_long_name; speed class refers to buildUpPlaySpeedClass; buildUpPlaySpeedClass = 'Fast';</t>
  </si>
  <si>
    <t>ชื่อทีมหมายถึง team_long_name; คลาสความเร็วหมายถึง buildUpPlaySpeedClass; buildUpPlaySpeedClass = 'เร็ว';</t>
  </si>
  <si>
    <t>SELECT COUNT(id) FROM Player WHERE weight &gt; 170 AND player_name LIKE 'Adam%'</t>
  </si>
  <si>
    <t>Which players had an overall rating of over 80 from 2008 to 2010? Please list player names.</t>
  </si>
  <si>
    <t>overall_rating &gt; 80; from 2008 to 2010 refers to strftime('%Y', date) BETWEEN '2008' AND '2010';</t>
  </si>
  <si>
    <t>คะแนนโดยรวม &gt; 80; จากปี 2008 ถึง 2010 หมายถึง strftime('%Y', date) BETWEEN '2008' AND '2010';</t>
  </si>
  <si>
    <t>SELECT DISTINCT t1.player_name FROM Player AS t1 INNER JOIN Player_Attributes AS t2 ON t1.player_api_id = t2.player_api_id WHERE t2.overall_rating &gt; 80 AND SUBSTR(t2.`date`, 1, 4) BETWEEN '2008' AND '2010'</t>
  </si>
  <si>
    <t>What is Aaron Doran's potential score?</t>
  </si>
  <si>
    <t>potential score refers to potential;</t>
  </si>
  <si>
    <t>คะแนนที่เป็นไปได้หมายถึงศักยภาพ;</t>
  </si>
  <si>
    <t>SELECT t2.potential FROM Player AS t1 INNER JOIN Player_Attributes AS t2 ON t1.player_api_id = t2.player_api_id WHERE t1.player_name = 'Aaron Doran'</t>
  </si>
  <si>
    <t>List out of players whose preferred foot is left.</t>
  </si>
  <si>
    <t>preferred_foot = 'left';</t>
  </si>
  <si>
    <t>ที่ต้องการ_ฟุต = 'ซ้าย';</t>
  </si>
  <si>
    <t>SELECT DISTINCT t1.id, t1.player_name FROM Player AS t1 INNER JOIN Player_Attributes AS t2 ON t1.player_api_id = t2.player_api_id WHERE t2.preferred_foot = 'left'</t>
  </si>
  <si>
    <t>Please list all team names which the speed class is fast.</t>
  </si>
  <si>
    <t>SELECT DISTINCT t1.team_long_name FROM Team AS t1 INNER JOIN Team_Attributes AS t2 ON t1.team_api_id = t2.team_api_id WHERE t2.buildUpPlaySpeedClass = 'Fast'</t>
  </si>
  <si>
    <t>What is the passing class of CLB team?</t>
  </si>
  <si>
    <t>passing class refers to buildUpPlayPassingClass; CLB refers to team_short_name = 'CLB';</t>
  </si>
  <si>
    <t>คลาสที่ผ่านหมายถึง buildUpPlayPassingClass; CLB อ้างถึง team_short_name = 'CLB';</t>
  </si>
  <si>
    <t>SELECT DISTINCT t2.buildUpPlayPassingClass FROM Team AS t1 INNER JOIN Team_Attributes AS t2 ON t1.team_api_id = t2.team_api_id WHERE t1.team_short_name = 'CLB'</t>
  </si>
  <si>
    <t>Which teams have build up play passing more than 70? Please list their short names.</t>
  </si>
  <si>
    <t>build up play passing refers to buildUpPlayPassing; buildUpPlayPassing &gt; 70; short names refers to team_short_name;</t>
  </si>
  <si>
    <t>สร้างการเล่นผ่านหมายถึง buildUpPlayPassing; buildUpPlayPassing &gt; 70; ชื่อสั้นหมายถึง team_short_name;</t>
  </si>
  <si>
    <t>SELECT DISTINCT t1.team_short_name FROM Team AS t1 INNER JOIN Team_Attributes AS t2 ON t1.team_api_id = t2.team_api_id WHERE t2.buildUpPlayPassing &gt; 70</t>
  </si>
  <si>
    <t>From 2010 to 2015, what was the average overall rating of players who are higher than 170?</t>
  </si>
  <si>
    <t>from 2010 to 2015 refers to strftime('%Y', date) &gt;= '2010' AND &lt;= '2015'; average overall rating = SUM(t2.overall_rating)/ COUNT(t2.id); higher than 170 refers to Player.height &gt; 170;</t>
  </si>
  <si>
    <t>จากปี 2010 ถึง 2015 หมายถึง strftime('%Y', date) &gt;= '2010' AND &lt;= '2015'; คะแนนโดยรวมเฉลี่ย = SUM(t2.overall_rating)/ COUNT(t2.id); สูงกว่า 170 หมายถึง Player.height &gt; 170;</t>
  </si>
  <si>
    <t>SELECT CAST(SUM(t2.overall_rating) AS REAL) / COUNT(t2.id) FROM Player AS t1 INNER JOIN Player_Attributes AS t2 ON t1.player_api_id = t2.player_api_id WHERE t1.height &gt; 170 AND STRFTIME('%Y',t2.`date`) &gt;= '2010' AND STRFTIME('%Y',t2.`date`) &lt;= '2015'</t>
  </si>
  <si>
    <t>Which football player has the shortest height?</t>
  </si>
  <si>
    <t>shortest height refers to MIN(height);</t>
  </si>
  <si>
    <t>ความสูงที่สั้นที่สุดหมายถึง MIN(ความสูง);</t>
  </si>
  <si>
    <t>SELECT player_name FROM player ORDER BY height ASC LIMIT 1</t>
  </si>
  <si>
    <t>Which country is the league Italy Serie A from?</t>
  </si>
  <si>
    <t>Italy Serie A from refers to League.name = 'Italy Serie A';</t>
  </si>
  <si>
    <t>Italy Serie A จากอ้างถึง League.name = 'Italy Serie A';</t>
  </si>
  <si>
    <t>SELECT t1.name FROM Country AS t1 INNER JOIN League AS t2 ON t1.id = t2.country_id WHERE t2.name = 'Italy Serie A'</t>
  </si>
  <si>
    <t>List the football team that has a build up play speed of 31, build up plan dribbling of 53, and build up play passing of 32. Only indicate the short name of the team.</t>
  </si>
  <si>
    <t>build up play speed refers to buildUpPlaySpeed; buildUpPlaySpeed = 31; build up play dribbling refers to buildUpPlayDribbling; buildUpPlayDribbling = 53; build up play passing refers to buildUpPlayPassing; buildUpPlayPassing = 32; short name of the team refers to team_short_name;</t>
  </si>
  <si>
    <t>สร้างความเร็วในการเล่นหมายถึง buildUpPlaySpeed; buildUpPlaySpeed ​​= 31; สร้างการเล่นเลี้ยงลูกหมายถึง buildUpPlayDribbling; buildUpPlayDribbling = 53; สร้างการเล่นผ่านหมายถึง buildUpPlayPassing; buildUpPlayPassing = 32; ชื่อย่อของทีมหมายถึง team_short_name;</t>
  </si>
  <si>
    <t>SELECT DISTINCT t1.team_short_name FROM Team AS t1 INNER JOIN Team_Attributes AS t2 ON t1.team_api_id = t2.team_api_id WHERE t2.buildUpPlaySpeed = 31 AND t2.buildUpPlayDribbling = 53 AND t2.buildUpPlayPassing = 32</t>
  </si>
  <si>
    <t>What is the average overall rating of the football player Aaron Doran?</t>
  </si>
  <si>
    <t>average overall rating = AVG(overall_rating);</t>
  </si>
  <si>
    <t>คะแนนโดยรวมเฉลี่ย = AVG(overall_rating);</t>
  </si>
  <si>
    <t>SELECT CAST(SUM(t2.overall_rating) AS REAL) / COUNT(t2.id) FROM Player AS t1 INNER JOIN Player_Attributes AS t2 ON t1.player_api_id = t2.player_api_id WHERE t1.player_name = 'Aaron Doran'</t>
  </si>
  <si>
    <t>How many matches were held in the league Germany 1. Bundesliga
from August to October 2008?</t>
  </si>
  <si>
    <t>Germany 1. Bundesliga refers to League.name = 'Germany 1. Bundesliga'; from August to October 2008 refers to strftime('%Y-%m', date) BETWEEN '2008-08' AND '2008-10';</t>
  </si>
  <si>
    <t>เยอรมนี 1. บุนเดสลีกา หมายถึง League.name = 'เยอรมนี 1. บุนเดสลีกา'; ตั้งแต่เดือนสิงหาคมถึงตุลาคม 2551 หมายถึง strftime('%Y-%m', date) BETWEEN '2008-08' AND '2008-10';</t>
  </si>
  <si>
    <t>SELECT COUNT(t2.id) FROM League AS t1 INNER JOIN Match AS t2 ON t1.id = t2.league_id WHERE t1.name = 'Germany 1. Bundesliga' AND SUBSTR(t2.`date`, 1, 7) BETWEEN '2008-08' AND '2008-10'</t>
  </si>
  <si>
    <t>List all the short name of the football team that had a home team goal of 10?</t>
  </si>
  <si>
    <t>short name of the football team refers to team_short_name; home team goal refers to home_team_goal; home_team_goal = 10;</t>
  </si>
  <si>
    <t>ชื่อย่อของทีมฟุตบอลหมายถึง team_short_name; ประตูของทีมเหย้าหมายถึง home_team_goal; เจ้าบ้าน_ทีม_ประตู = 10;</t>
  </si>
  <si>
    <t>SELECT t1.team_short_name FROM Team AS t1 INNER JOIN Match AS t2 ON t1.team_api_id = t2.home_team_api_id WHERE t2.home_team_goal = 10</t>
  </si>
  <si>
    <t>List all the football player with the highest balance score and potential score of 61.</t>
  </si>
  <si>
    <t>balance score refers to balance; highest balance score refers to MAX(balance); potential score refers to potential; potential = 61;</t>
  </si>
  <si>
    <t>คะแนนความสมดุลหมายถึงความสมดุล คะแนนยอดคงเหลือสูงสุดหมายถึง MAX (ยอดคงเหลือ); คะแนนที่เป็นไปได้หมายถึงศักยภาพ; ศักยภาพ = 61;</t>
  </si>
  <si>
    <t>SELECT t1.player_name FROM Player AS t1 INNER JOIN Player_Attributes AS t2 ON t1.player_api_id = t2.player_api_id WHERE t2.potential = '61' ORDER BY t2.balance DESC LIMIT 1</t>
  </si>
  <si>
    <t>What is the difference of the average ball control score between Abdou Diallo and Aaron Appindangoye
?</t>
  </si>
  <si>
    <t>difference of the average ball control = SUBTRACT(AVG(ball_control WHERE player_name = 'Abdou Diallo'), AVG(ball_control WHERE player_name = 'Aaron Appindangoye')); AVG(ball_control WHERE player_name = 'XX XX') = SUM(CASE WHEN player_name = 'XX XX' THEN ball_control ELSE 0 END) / COUNT(CASE WHEN player_name = 'XX XX' THEN id ELSE NULL END)</t>
  </si>
  <si>
    <t>ผลต่างของการควบคุมบอลโดยเฉลี่ย = SUBTRACT(AVG(ball_control WHERE player_name = 'Abdou Diallo'), AVG(ball_control WHERE player_name = 'Aaron Appindangoye')); AVG(ball_control WHERE player_name = 'XX XX') = SUM(CASE เมื่อ player_name = 'XX XX' จากนั้น ball_control ELSE 0 END) / COUNT(CASE เมื่อ player_name = 'XX XX' จากนั้น id ELSE NULL END)</t>
  </si>
  <si>
    <t>SELECT CAST(SUM(CASE WHEN t1.player_name = 'Abdou Diallo' THEN t2.ball_control ELSE 0 END) AS REAL) / COUNT(CASE WHEN t1.player_name = 'Abdou Diallo' THEN t2.id ELSE NULL END) - CAST(SUM(CASE WHEN t1.player_name = 'Aaron Appindangoye' THEN t2.ball_control ELSE 0 END) AS REAL) / COUNT(CASE WHEN t1.player_name = 'Aaron Appindangoye' THEN t2.id ELSE NULL END) FROM Player AS t1 INNER JOIN Player_Attributes AS t2 ON t1.player_api_id = t2.player_api_id</t>
  </si>
  <si>
    <t>What's the long name for the team GEN?</t>
  </si>
  <si>
    <t>long name for the team refers to team_long_name; team_short_name = 'GEN';</t>
  </si>
  <si>
    <t>ชื่อยาวของทีมหมายถึง team_long_name; team_short_name = 'GEN';</t>
  </si>
  <si>
    <t>SELECT team_long_name FROM Team WHERE team_short_name = 'GEN'</t>
  </si>
  <si>
    <t>Which player is older, Aaron Lennon or Abdelaziz Barrada?</t>
  </si>
  <si>
    <t>The larger the birthday value, the younger the person is, and vice versa;</t>
  </si>
  <si>
    <t>ยิ่งค่าวันเกิดมีค่ามาก บุคคลนั้นจะอายุน้อยกว่า และในทางกลับกัน</t>
  </si>
  <si>
    <t>SELECT player_name FROM Player WHERE player_name IN ('Aaron Lennon', 'Abdelaziz Barrada') ORDER BY birthday ASC LIMIT 1</t>
  </si>
  <si>
    <t>Which player is the tallest?</t>
  </si>
  <si>
    <t>Among the players whose preferred foot was the left foot when attacking, how many of them would remain in his position when the team attacked?</t>
  </si>
  <si>
    <t>preferred foot when attacking was the left refers to preferred_foot = 'left'; players who would remain in his position when the team attacked refers to attacking_work_rate = 'low';</t>
  </si>
  <si>
    <t>เท้าที่ต้องการเมื่อโจมตีคือ ซ้าย หมายถึง ที่ต้องการ _ เท้า = 'ซ้าย'; ผู้เล่นที่จะยังคงอยู่ในตำแหน่งของเขาเมื่อทีมโจมตีหมายถึง attacking_work_rate = 'ต่ำ';</t>
  </si>
  <si>
    <t>SELECT COUNT(player_api_id) FROM Player_Attributes WHERE preferred_foot = 'left' AND attacking_work_rate = 'low'</t>
  </si>
  <si>
    <t>Which country is the Belgium Jupiler League from?</t>
  </si>
  <si>
    <t>Belgium Jupiler League refers to League.name = 'Belgium Jupiler League';</t>
  </si>
  <si>
    <t>เบลเยียมจูปิแลร์ลีก หมายถึง League.name = 'เบลเยี่ยมจูปิแลร์ลีก';</t>
  </si>
  <si>
    <t>SELECT t1.name FROM Country AS t1 INNER JOIN League AS t2 ON t1.id = t2.country_id WHERE t2.name = 'Belgium Jupiler League'</t>
  </si>
  <si>
    <t>Please list the leagues from Germany.</t>
  </si>
  <si>
    <t>Germany refers to Country.name = 'Germany';</t>
  </si>
  <si>
    <t>เยอรมนีหมายถึง Country.name = 'เยอรมนี';</t>
  </si>
  <si>
    <t>SELECT t2.name FROM Country AS t1 INNER JOIN League AS t2 ON t1.id = t2.country_id WHERE t1.name = 'Germany'</t>
  </si>
  <si>
    <t>Which player has the strongest overall strength?</t>
  </si>
  <si>
    <t>overall strength refers to overall_rating; strongest overall strength refers to MAX(overall_rating);</t>
  </si>
  <si>
    <t>ความแข็งแกร่งโดยรวมหมายถึง Overall_rating; ความแข็งแกร่งโดยรวมที่แข็งแกร่งที่สุดหมายถึง MAX(overall_rating);</t>
  </si>
  <si>
    <t>SELECT t1.player_name FROM Player AS t1 INNER JOIN Player_Attributes AS t2 ON t1.player_api_id = t2.player_api_id ORDER BY t2.overall_rating DESC LIMIT 1</t>
  </si>
  <si>
    <t>Among the players born before the year 1986, how many of them would remain in his position and defense while the team attacked?</t>
  </si>
  <si>
    <t>players born before the year 1986 refers to strftime('%Y', birthday)&lt;'1986'; players who would remain in his position and defense while the team attacked refers to defensive_work_rate = 'high'; Should consider DISTINCT in the final result;</t>
  </si>
  <si>
    <t>ผู้เล่นที่เกิดก่อนปี 1986 หมายถึง strftime('%Y', วันเกิด)&lt;'1986'; ผู้เล่นที่จะยังคงอยู่ในตำแหน่งและการป้องกันของเขาในขณะที่ทีมโจมตีหมายถึง defensive_work_rate = 'สูง'; ควรพิจารณา DISTINCT ในผลลัพธ์สุดท้าย</t>
  </si>
  <si>
    <t>SELECT COUNT(DISTINCT t1.player_name) FROM Player AS t1 INNER JOIN Player_Attributes AS t2 ON t1.player_api_id = t2.player_api_id WHERE STRFTIME('%Y',t1.birthday) &lt; '1986' AND t2.defensive_work_rate = 'high'</t>
  </si>
  <si>
    <t>Which of these players performs the best in crossing actions, Alexis, Ariel Borysiuk or Arouna Kone?</t>
  </si>
  <si>
    <t>player who perform best in crossing actions refers to MAX(crossing);</t>
  </si>
  <si>
    <t>ผู้เล่นที่ทำงานได้ดีที่สุดในการดำเนินการข้ามหมายถึง MAX (ข้าม);</t>
  </si>
  <si>
    <t>SELECT t1.player_name, t2.crossing FROM Player AS t1 INNER JOIN Player_Attributes AS t2 ON t1.player_api_id = t2.player_api_id WHERE t1.player_name IN ('Alexis', 'Ariel Borysiuk', 'Arouna Kone') ORDER BY t2.crossing DESC LIMIT 1</t>
  </si>
  <si>
    <t>What's the heading accuracy of Ariel Borysiuk?</t>
  </si>
  <si>
    <t>SELECT t2.heading_accuracy FROM Player AS t1 INNER JOIN Player_Attributes AS t2 ON t1.player_api_id = t2.player_api_id WHERE t1.player_name = 'Ariel Borysiuk'</t>
  </si>
  <si>
    <t>Among the players whose height is over 180, how many of them have a volley score of over 70?</t>
  </si>
  <si>
    <t>height &gt; 180; volley score refers to volleys; volleys &gt; 70;</t>
  </si>
  <si>
    <t>ส่วนสูง &gt; 180; คะแนนวอลเลย์หมายถึงการวอลเลย์ วอลเลย์ &gt; 70;</t>
  </si>
  <si>
    <t>SELECT COUNT(DISTINCT t1.id) FROM Player AS t1 INNER JOIN Player_Attributes AS t2 ON t1.player_api_id = t2.player_api_id WHERE t1.height &gt; 180 AND t2.volleys &gt; 70</t>
  </si>
  <si>
    <t>Please list the names of the players whose volley score and dribbling score are over 70.</t>
  </si>
  <si>
    <t>volley score are over 70 refers to volleys &gt; 70; dribbling score refers to dribbling are over 70 refers to dribbling &gt; 70;</t>
  </si>
  <si>
    <t>คะแนนวอลเลย์เกิน 70 หมายถึงวอลเลย์ &gt; 70; คะแนนการเลี้ยงบอล หมายถึง การเลี้ยงบอลมากกว่า 70 หมายถึง การเลี้ยงบอล &gt; 70;</t>
  </si>
  <si>
    <t>SELECT DISTINCT t1.player_name FROM Player AS t1 INNER JOIN Player_Attributes AS t2 ON t1.player_api_id = t2.player_api_id WHERE t2.volleys &gt; 70 AND t2.dribbling &gt; 70</t>
  </si>
  <si>
    <t>How many matches in the 2008/2009 season were held in Belgium?</t>
  </si>
  <si>
    <t>Belgium refers to Country.name = 'Belgium';</t>
  </si>
  <si>
    <t>เบลเยียมหมายถึง Country.name = 'เบลเยียม';</t>
  </si>
  <si>
    <t>SELECT COUNT(t2.id) FROM Country AS t1 INNER JOIN Match AS t2 ON t1.id = t2.country_id WHERE t1.name = 'Belgium' AND t2.season = '2008/2009'</t>
  </si>
  <si>
    <t>What is the long passing score of the oldest player?</t>
  </si>
  <si>
    <t>long passing score refers to long_passing; oldest player refers to oldest birthday;</t>
  </si>
  <si>
    <t>คะแนนส่งยาวหมายถึง long_passing; ผู้เล่นที่อายุมากที่สุดหมายถึงวันเกิดที่อายุมากที่สุด</t>
  </si>
  <si>
    <t>SELECT t2.long_passing FROM Player AS t1 INNER JOIN Player_Attributes AS t2 ON t1.player_api_id = t2.player_api_id ORDER BY t1.birthday ASC LIMIT 1</t>
  </si>
  <si>
    <t>How many matches were held in the Belgium Jupiler League in April, 2009?</t>
  </si>
  <si>
    <t>Belgium Jupiler League refers to League.name = 'Belgium Jupiler League'; in April, 2009 refers to SUBSTR(`date`, 1, 7);</t>
  </si>
  <si>
    <t>เบลเยียมจูปิแลร์ลีก หมายถึง League.name = 'เบลเยี่ยมจูปิแลร์ลีก'; ในเดือนเมษายน 2552 อ้างอิงถึง SUBSTR(`date`, 1, 7);</t>
  </si>
  <si>
    <t>SELECT COUNT(t2.id) FROM League AS t1 INNER JOIN Match AS t2 ON t1.id = t2.league_id WHERE t1.name = 'Belgium Jupiler League' AND SUBSTR(t2.`date`, 1, 7) = '2009-04'</t>
  </si>
  <si>
    <t>Give the name of the league had the most matches in the 2008/2009 season?</t>
  </si>
  <si>
    <t>league that had the most matches in the 2008/2009 season refers to MAX(league_name WHERE season = '2008/2009');</t>
  </si>
  <si>
    <t>ลีกที่มีการแข่งขันมากที่สุดในฤดูกาล 2008/2009 หมายถึง MAX(league_name WHERE season = '2008/2009');</t>
  </si>
  <si>
    <t>SELECT t1.name FROM League AS t1 JOIN Match AS t2 ON t1.id = t2.league_id WHERE t2.season = '2008/2009' GROUP BY t1.name HAVING COUNT(t2.id) = (SELECT MAX(match_count) FROM (SELECT COUNT(t2.id) AS match_count FROM Match AS t2 WHERE t2.season = '2008/2009' GROUP BY t2.league_id))</t>
  </si>
  <si>
    <t>What is the average overall rating of the players born before the year 1986?</t>
  </si>
  <si>
    <t>average overall rating = DIVIDE(SUM(overall_rating), COUNT(id)); born before the year 1986 refers to strftime('%Y', birthday) &lt; '1986';</t>
  </si>
  <si>
    <t>คะแนนโดยรวมเฉลี่ย = DIVIDE(SUM(overall_rating), COUNT(id)); เกิดก่อนปี 1986 หมายถึง strftime('%Y', วันเกิด) &lt; '1986';</t>
  </si>
  <si>
    <t>SELECT SUM(t2.overall_rating) / COUNT(t1.id) FROM Player AS t1 INNER JOIN Player_Attributes AS t2 ON t1.player_api_id = t2.player_api_id WHERE SUBSTR(t1.birthday, 1, 4) &lt; '1986'</t>
  </si>
  <si>
    <t>How much higher in percentage is Ariel Borysiuk's overall rating than that of Paulin Puel?</t>
  </si>
  <si>
    <t>how much higher in percentage = MULTIPLY(DIVIDE(SUBTRACT(overall_rating WHERE player_name = 'Ariel Borysiuk', overall_rating WHERE player_name = 'Paulin Puel'), overall_rating WHERE player_name = 'Paulin Puel'), 100);</t>
  </si>
  <si>
    <t>เปอร์เซ็นต์ที่สูงกว่ามากเท่าไร = MULTIPLY(DIVIDE(SUBTRACT(overall_rating WHERE player_name = 'Ariel Borysiuk', Overall_rating WHERE player_name = 'Paulin Puel'), Overall_rating WHERE player_name = 'Paulin Puel'), 100);</t>
  </si>
  <si>
    <t>SELECT (SUM(CASE WHEN t1.player_name = 'Ariel Borysiuk' THEN t2.overall_rating ELSE 0 END) * 1.0 - SUM(CASE WHEN t1.player_name = 'Paulin Puel' THEN t2.overall_rating ELSE 0 END)) * 100 / SUM(CASE WHEN t1.player_name = 'Paulin Puel' THEN t2.overall_rating ELSE 0 END) FROM Player AS t1 INNER JOIN Player_Attributes AS t2 ON t1.player_api_id = t2.player_api_id</t>
  </si>
  <si>
    <t>How much is the average build up play speed of the Heart of Midlothian team?</t>
  </si>
  <si>
    <t>Heart of Midlothian refers to team_long_name = 'Heart of Midlothian'; average build up play speed refers to  AVG(buildUpPlaySpeed)</t>
  </si>
  <si>
    <t>Heart of Midlothian หมายถึง team_long_name = 'Heart of Midlothian'; ความเร็วในการเล่นโดยเฉลี่ยหมายถึง  AVG (buildUpPlaySpeed)</t>
  </si>
  <si>
    <t>SELECT CAST(SUM(t2.buildUpPlaySpeed) AS REAL) / COUNT(t2.id) FROM Team AS t1 INNER JOIN Team_Attributes AS t2 ON t1.team_api_id = t2.team_api_id WHERE t1.team_long_name = 'Heart of Midlothian'</t>
  </si>
  <si>
    <t>Calculate the average overall rating of Pietro Marino.</t>
  </si>
  <si>
    <t>Pietro Marino refers to player_name = 'Pietro Marino'; average overall rating AVG(T1.overall_rating)</t>
  </si>
  <si>
    <t>ปิเอโตร มาริโน หมายถึง player_name = 'ปิเอโตร มาริโน'; คะแนนโดยรวมเฉลี่ย AVG(T1.overall_rating)</t>
  </si>
  <si>
    <t>SELECT CAST(SUM(t2.overall_rating) AS REAL) / COUNT(t2.id) FROM Player AS t1 INNER JOIN Player_Attributes AS t2 ON t1.player_api_id = t2.player_api_id WHERE t1.player_name = 'Pietro Marino'</t>
  </si>
  <si>
    <t>What is Aaron Lennox's total crossing score?</t>
  </si>
  <si>
    <t>Aaron Lennox's refers to T2.player_name = 'Aaron Lennox'; total crossing score refers to SUM(crossing)</t>
  </si>
  <si>
    <t>ของ Aaron Lennox หมายถึง T2.player_name = 'Aaron Lennox'; คะแนนรวมที่ข้ามหมายถึง SUM (การข้าม)</t>
  </si>
  <si>
    <t>SELECT SUM(t2.crossing) FROM Player AS t1 INNER JOIN Player_Attributes AS t2 ON t1.player_api_id = t2.player_api_id WHERE t1.player_name = 'Aaron Lennox'</t>
  </si>
  <si>
    <t>What is Ajax's highest chance creation passing score and what is it classified as?</t>
  </si>
  <si>
    <t>Ajax's refers to team_long_name = 'Ajax'; chance creation passing score refers to MAX(chanceCreationPassing); classified refer to chanceCreationPassingClass</t>
  </si>
  <si>
    <t>อาแจ็กซ์หมายถึง team_long_name = 'อาแจ็กซ์'; คะแนนผ่านการสร้างโอกาสหมายถึง MAX (chanceCreationPassing); จำแนกอ้างอิงถึง ChanceCreationPassingClass</t>
  </si>
  <si>
    <t>SELECT t2.chanceCreationPassing, t2.chanceCreationPassingClass FROM Team AS t1 INNER JOIN Team_Attributes AS t2 ON t1.team_api_id = t2.team_api_id WHERE t1.team_long_name = 'Ajax' ORDER BY t2.chanceCreationPassing DESC LIMIT 1</t>
  </si>
  <si>
    <t>Which foot is preferred by Abdou Diallo?</t>
  </si>
  <si>
    <t>Abdou Diallo refers to player_name = 'Abdou Diallo'; foot is preferred refers to preferred_foot</t>
  </si>
  <si>
    <t>Abdou Diallo หมายถึง player_name = 'Abdou Diallo'; เท้าเป็นที่ต้องการหมายถึงที่ต้องการ _foot</t>
  </si>
  <si>
    <t>SELECT DISTINCT t2.preferred_foot FROM Player AS t1 INNER JOIN Player_Attributes AS t2 ON t1.player_api_id = t2.player_api_id WHERE t1.player_name = 'Abdou Diallo'</t>
  </si>
  <si>
    <t>What is the highest overall rating received by Dorlan Pabon?</t>
  </si>
  <si>
    <t>Dorlan Pabon refers to T2.player_name = 'Dorlan Pabon'; highest overall rating refers to MAX(overall_rating)</t>
  </si>
  <si>
    <t>ดอร์ลัน ปาบอน หมายถึง T2.player_name = 'ดอร์ลัน ปาบอน'; คะแนนรวมสูงสุดหมายถึง MAX(overall_rating)</t>
  </si>
  <si>
    <t>SELECT MAX(t2.overall_rating) FROM Player AS t1 INNER JOIN Player_Attributes AS t2 ON t1.player_api_id = t2.player_api_id WHERE t1.player_name = 'Dorlan Pabon'</t>
  </si>
  <si>
    <t>What is the average number of goals made by Parma as the away team while playing in Italy?</t>
  </si>
  <si>
    <t>Parma refers to team_long_name = 'Parma'; average number of goals refers to AVG(away_team_goal)</t>
  </si>
  <si>
    <t>ปาร์ม่า หมายถึง team_long_name = 'ปาร์ม่า'; จำนวนประตูเฉลี่ยหมายถึง AVG(away_team_goal)</t>
  </si>
  <si>
    <t>SELECT CAST(SUM(T1.away_team_goal) AS REAL) / COUNT(T1.id) FROM "Match" AS T1 INNER JOIN TEAM AS T2 ON T1.away_team_api_id = T2.team_api_id INNER JOIN Country AS T3 ON T1.country_id = T3.id WHERE T2.team_long_name = 'Parma' AND T3.name = 'Italy'</t>
  </si>
  <si>
    <t>For the players who had a 77 points overall rating on 2016/6/23, who was the oldest? Give the name of the player.</t>
  </si>
  <si>
    <t>77 points overall rating refers to overall_rating = 77; on 2016/6/23 refers to date LIKE '2016-06-23%'; The larger the birthday value, the younger the person is, and vice versa;</t>
  </si>
  <si>
    <t>คะแนนโดยรวม 77 คะแนน หมายถึง คะแนนโดยรวม = 77; วันที่ 6/6/2559 หมายถึงวันที่ LIKE '2016-06-23%'; ยิ่งค่าวันเกิดมีค่ามาก บุคคลนั้นจะอายุน้อยกว่า และในทางกลับกัน</t>
  </si>
  <si>
    <t>SELECT t1.player_name FROM Player AS t1 INNER JOIN Player_Attributes AS t2 ON t1.player_api_id = t2.player_api_id WHERE SUBSTR(t2.`date`, 1, 10) = '2016-06-23' AND t2.overall_rating = 77 ORDER BY t1.birthday ASC LIMIT 1</t>
  </si>
  <si>
    <t>What was the overall rating for Aaron Mooy on 2016/2/4?</t>
  </si>
  <si>
    <t>Aaron Mooy refers to player_name = 'Aaron Mooy'; on 2016/2/4 refers to date LIKE '2016-02-04%';</t>
  </si>
  <si>
    <t>อารอน มอย หมายถึง player_name = 'แอรอน มอย'; เมื่อวันที่ 2/4/2559 หมายถึงวันที่ LIKE '2016-02-04%';</t>
  </si>
  <si>
    <t>SELECT t2.overall_rating FROM Player AS t1 INNER JOIN Player_Attributes AS t2 ON t1.player_api_id = t2.player_api_id WHERE SUBSTR(t2.`date`, 1, 10) = '2016-02-04' AND t1.player_name = 'Aaron Mooy'</t>
  </si>
  <si>
    <t>What was the potiential for Francesco Parravicini on 2010/8/30?</t>
  </si>
  <si>
    <t>Francesco Parravicini refers to player_name = 'Francesco Parravicini'; on 2010/8/30 refers to date = '2010-08-30 00:00:00'</t>
  </si>
  <si>
    <t>ฟรานเชสโก ปาร์ราวิชินี่ หมายถึง player_name = 'ฟรานเชสโก ปาร์ราวิชินี่'; วันที่ 30/8/2553 หมายถึง วันที่ = '2010-08-30 00:00:00'</t>
  </si>
  <si>
    <t>SELECT t2.potential FROM Player AS t1 INNER JOIN Player_Attributes AS t2 ON t1.player_api_id = t2.player_api_id WHERE SUBSTR(t2.`date`, 1, 10) = '2010-08-30' AND t1.player_name = 'Francesco Parravicini'</t>
  </si>
  <si>
    <t>How was Francesco Migliore's attacking work rate on 2015/5/1?</t>
  </si>
  <si>
    <t>Francesco Migliore refers to player_name = 'Francesco Migliore'; on 2015/5/1 refers to date LIKE '2015-05-01%';</t>
  </si>
  <si>
    <t>ฟรานเชสโก มิกลิโอเร อ้างถึง player_name = 'ฟรานเชสโก มิกลิโอเร่'; ในวันที่ 5/5/2558 หมายถึงวันที่ LIKE '2015-05-01%';</t>
  </si>
  <si>
    <t>SELECT t2.attacking_work_rate FROM Player AS t1 INNER JOIN Player_Attributes AS t2 ON t1.player_api_id = t2.player_api_id WHERE t2.`date` LIKE '2015-05-01%' AND t1.player_name = 'Francesco Migliore'</t>
  </si>
  <si>
    <t>Tell the defensive work rate for Kevin Berigaud on 2013/2/22.</t>
  </si>
  <si>
    <t>Kevin Berigaud refers to player_name = 'Kevin Berigaud'; on 2013/2/22 refers to date = '2013-02-22 00:00:00'</t>
  </si>
  <si>
    <t>Kevin Berigaud หมายถึง player_name = 'Kevin Berigaud'; วันที่ 22/2/2556 หมายถึง วันที่ = '2013-02-22 00:00:00'</t>
  </si>
  <si>
    <t>SELECT t2.defensive_work_rate FROM Player AS t1 INNER JOIN Player_Attributes AS t2 ON t1.player_fifa_api_id = t2.player_fifa_api_id WHERE SUBSTR(t2.`date`, 1, 10) = '2013-02-22' AND t1.player_name = 'Kevin Berigaud'</t>
  </si>
  <si>
    <t>When was the first time did Kevin Constant have his highest crossing score? Give the date.</t>
  </si>
  <si>
    <t>Kevin Constant refers to player_name = 'Kevin Constant'; highest crossing score refers to MAX(crossing)</t>
  </si>
  <si>
    <t>Kevin Constant หมายถึง player_name = 'Kevin Constant'; คะแนนข้ามสูงสุดหมายถึง MAX (ข้าม)</t>
  </si>
  <si>
    <t>SELECT `date` FROM ( SELECT t2.crossing, t2.`date` FROM Player AS t1 INNER JOIN Player_Attributes AS t2 ON t1.player_fifa_api_id = t2.player_fifa_api_id WHERE t1.player_name = 'Kevin Constant' ORDER BY t2.crossing DESC) ORDER BY date DESC LIMIT 1</t>
  </si>
  <si>
    <t>What was the build up play speed class for "Willem II" on 2011/2/22?</t>
  </si>
  <si>
    <t>"Willem II" refers to team_long_name = 'Willem II'; on 2011/2/22 refers to date = '2012-02-22'</t>
  </si>
  <si>
    <t>"วิลเล็ม II" หมายถึง team_long_name = 'วิลเล็ม II'; วันที่ 2/2/2554 หมายถึง วันที่ = '2012-02-22'</t>
  </si>
  <si>
    <t>SELECT t2.buildUpPlaySpeedClass FROM Team AS t1 INNER JOIN Team_Attributes AS t2 ON t1.team_api_id = t2.team_api_id WHERE t1.team_long_name = 'Willem II' AND SUBSTR(t2.`date`, 1, 10) = '2011-02-22'</t>
  </si>
  <si>
    <t>How was the build up play dribbling class for "LEI" on 2015/9/10?</t>
  </si>
  <si>
    <t>"LEI" refers to team_short_name = 'LEI'; on 2015/9/10 refers to  date = '2015-09-10 00:00:00'</t>
  </si>
  <si>
    <t>"LEI" หมายถึง team_short_name = 'LEI'; ในวันที่ 9/10/2558 หมายถึง วันที่ = '2015-09-10 00:00:00'</t>
  </si>
  <si>
    <t>SELECT t2.buildUpPlayDribblingClass FROM Team AS t1 INNER JOIN Team_Attributes AS t2 ON t1.team_api_id = t2.team_api_id WHERE t1.team_short_name = 'LEI' AND SUBSTR(t2.`date`, 1, 10) = '2015-09-10'</t>
  </si>
  <si>
    <t>Tell the build Up play passing class for "FC Lorient" on 2010/2/22.</t>
  </si>
  <si>
    <t>"FC Lorient" refers to team_long_name = 'FC Lorient'; on 2010/2/22 refers to date LIKE '2010-02-22%';</t>
  </si>
  <si>
    <t>"เอฟซี ลอเรียง" หมายถึง team_long_name = 'เอฟซี ลอเรียงต์'; ในวันที่ 22/02/2010 หมายถึงวันที่ LIKE '2010-02-22%';</t>
  </si>
  <si>
    <t>SELECT t2.buildUpPlayPassingClass FROM Team AS t1 INNER JOIN Team_Attributes AS t2 ON t1.team_api_id = t2.team_api_id WHERE t1.team_long_name = 'FC Lorient' AND t2.`date` LIKE '2010-02-22%'</t>
  </si>
  <si>
    <t>State the chance creation passing class for "PEC Zwolle" on 2013/9/20.</t>
  </si>
  <si>
    <t>"PEC Zwolle" refers to team_long_name = 'PEC Zwolle'; on 2013/9/20 refers to date = '2013-09-20 00:00:00'</t>
  </si>
  <si>
    <t>"พีอีซี ซโวลเลอ" อ้างอิงถึง team_long_name = 'พีอีซี ซโวลเลอ'; ในวันที่ 9/2013/20 หมายถึง วันที่ = '2013-09-20 00:00:00'</t>
  </si>
  <si>
    <t>SELECT t2.chanceCreationPassingClass FROM Team AS t1 INNER JOIN Team_Attributes AS t2 ON t1.team_api_id = t2.team_api_id WHERE t1.team_long_name = 'PEC Zwolle' AND SUBSTR(t2.`date`, 1, 10) = '2013-09-20'</t>
  </si>
  <si>
    <t>What was the chance creation crossing class for "Hull City" on 2010/2/22?</t>
  </si>
  <si>
    <t>"Hull City" refers to team_long_name = 'Hull City'; on 2010/2/22 refers to date = '2010-02-22 00:00:00'</t>
  </si>
  <si>
    <t>"ฮัลล์ ซิตี้" หมายถึง team_long_name = 'ฮัลล์ ซิตี้'; วันที่ 22/02/2553 หมายถึง วันที่ = '2010-02-22 00:00:00'</t>
  </si>
  <si>
    <t>SELECT t2.chanceCreationCrossingClass FROM Team AS t1 INNER JOIN Team_Attributes AS t2 ON t1.team_api_id = t2.team_api_id WHERE t1.team_long_name = 'Hull City' AND SUBSTR(t2.`date`, 1, 10) = '2010-02-22'</t>
  </si>
  <si>
    <t>For the team "Hannover 96", what was its defence aggression class on 2015/9/10?</t>
  </si>
  <si>
    <t>"Hannover 96" refers to team_long_name = 'Hannover 96'; on 2015/9/10 refers to date LIKE '2015-09-10%';</t>
  </si>
  <si>
    <t>"ฮันโนเวอร์ 96" หมายถึง team_long_name = 'ฮันโนเวอร์ 96'; ในวันที่ 9/10/2558 หมายถึงวันที่ LIKE '2015-09-10%';</t>
  </si>
  <si>
    <t>SELECT t2.chanceCreationShootingClass FROM Team AS t1 INNER JOIN Team_Attributes AS t2 ON t1.team_api_id = t2.team_api_id WHERE t1.team_long_name = 'Hannover 96' AND t2.`date` LIKE '2015-09-10%'</t>
  </si>
  <si>
    <t>What was the average overall rating for Marko Arnautovic from 2007/2/22 to 2016/4/21?</t>
  </si>
  <si>
    <t>average overall rating refers to avg(overall_rating); Marko Arnautovic refers to player_name = 'Marko Arnautovic'; from 2007/2/22 to 2016/4/21 refers to the first 10 characters of date BETWEEN '2007-02-22' and '2016-04-21'</t>
  </si>
  <si>
    <t>คะแนนเฉลี่ยโดยรวมหมายถึง avg(overall_rating); มาร์โก อาร์เนาโตวิช หมายถึง player_name = 'มาร์โก อาร์เนาโตวิช'; ตั้งแต่วันที่ 2/2/2550 ถึง 21/4/2559 หมายถึงอักขระ 10 ตัวแรกของวันที่ระหว่าง '2007-02-22' และ '2016-04-21'</t>
  </si>
  <si>
    <t>SELECT CAST(SUM(t2.overall_rating) AS REAL) / COUNT(t2.id) FROM Player AS t1 INNER JOIN Player_Attributes AS t2 ON t1.player_fifa_api_id = t2.player_fifa_api_id WHERE t1.player_name = 'Marko Arnautovic' AND SUBSTR(t2.`date`, 1, 10) BETWEEN '2007-02-22' AND '2016-04-21'</t>
  </si>
  <si>
    <t>What percentage is Landon Donovan's overall rating higher than Jordan Bowery on 2013/7/12?</t>
  </si>
  <si>
    <t>Landon Donovan's refers to player_name = 'Landon Donovan'; Jordan Bowery refers to player_name = 'Jordan Bowery'; percentage refers to DIVIDE(SUBTRACT(player_name = 'Landon Donovan' overall_rating; player_name = 'Jordan Bowery' overall_rating), player_name = 'Landon Donovan' overall_rating)*100</t>
  </si>
  <si>
    <t>ของ Landon Donovan หมายถึง player_name = 'Landon Donovan'; Jordan Bowery หมายถึง player_name = 'Jordan Bowery'; เปอร์เซ็นต์หมายถึง DIVIDE(SUBTRACT(player_name = 'Landon Donovan' Overall_rating; player_name = 'Jordan Bowery' Overall_rating), player_name = 'Landon Donovan' Overall_rating)*100</t>
  </si>
  <si>
    <t>SELECT (SUM(CASE WHEN t1.player_name = 'Landon Donovan' THEN t2.overall_rating ELSE 0 END) * 1.0 - SUM(CASE WHEN t1.player_name = 'Jordan Bowery' THEN t2.overall_rating ELSE 0 END)) * 100 / SUM(CASE WHEN t1.player_name = 'Landon Donovan' THEN t2.overall_rating ELSE 0 END) LvsJ_percent FROM Player AS t1 INNER JOIN Player_Attributes AS t2 ON t1.player_fifa_api_id = t2.player_fifa_api_id WHERE SUBSTR(t2.`date`, 1, 10) = '2013-07-12'</t>
  </si>
  <si>
    <t>List down most tallest players' name.</t>
  </si>
  <si>
    <t>tallest refers to rank based on the height in descending order; Most tallest players refers to rank = 1</t>
  </si>
  <si>
    <t>สูงที่สุด หมายถึง อันดับตามความสูงโดยเรียงลำดับจากมากไปหาน้อย ผู้เล่นที่สูงที่สุดหมายถึงอันดับ = 1</t>
  </si>
  <si>
    <t>SELECT player_name FROM (SELECT player_name, height, DENSE_RANK() OVER (ORDER BY height DESC) as rank FROM Player) WHERE rank = 1</t>
  </si>
  <si>
    <t>What are the player api id of 10 heaviest players?</t>
  </si>
  <si>
    <t>heaviest refers to MAX(weight)</t>
  </si>
  <si>
    <t>หนักที่สุดหมายถึง MAX (น้ำหนัก)</t>
  </si>
  <si>
    <t>SELECT player_api_id FROM Player ORDER BY weight DESC LIMIT 10</t>
  </si>
  <si>
    <t>List down the name of players who are 35 years old and above.</t>
  </si>
  <si>
    <t>35 years old and above refers to datetime(CURRENT_TIMESTAMP,'localtime') - datetime(birthday) &gt; 34</t>
  </si>
  <si>
    <t>อายุ 35 ปีขึ้นไป หมายถึง datetime(CURRENT_TIMESTAMP,'localtime') - datetime(birthday) &gt; 34</t>
  </si>
  <si>
    <t>SELECT player_name FROM Player WHERE CAST((JULIANDAY('now') - JULIANDAY(birthday)) AS REAL) / 365 &gt;= 35</t>
  </si>
  <si>
    <t>How many home team goal have been scored by Aaron Lennon?</t>
  </si>
  <si>
    <t>Aaron Lennon refers to player_name = 'Aaron Lennon'</t>
  </si>
  <si>
    <t>อารอน เลนนอน หมายถึง player_name = 'แอรอน เลนนอน'</t>
  </si>
  <si>
    <t>SELECT SUM(t2.home_team_goal) FROM Player AS t1 INNER JOIN match AS t2 ON t1.player_api_id = t2.away_player_9 WHERE t1.player_name = 'Aaron Lennon'</t>
  </si>
  <si>
    <t>Sum up the away team goal scored by both Daan Smith and Filipe Ferreira.</t>
  </si>
  <si>
    <t>Daan Smith refers to player_name = 'Daan Smith'; Filipe Ferreira refers to player_name = 'Filipe Ferreira'</t>
  </si>
  <si>
    <t>ดาน สมิธ หมายถึง player_name = 'ดาน สมิธ'; ฟิลิเป้ เฟร์เรร่า หมายถึง player_name = 'ฟิลิเป้ เฟร์เรร่า'</t>
  </si>
  <si>
    <t>SELECT SUM(t2.away_team_goal) FROM Player AS t1 INNER JOIN match AS t2 ON t1.player_api_id = t2.away_player_5 WHERE t1.player_name IN ('Daan Smith', 'Filipe Ferreira')</t>
  </si>
  <si>
    <t>Calculate the total home team goal scored by players whose age are 30 years old and below.</t>
  </si>
  <si>
    <t>age are 30 years old and below refers to SUBTRACT(datetime(CURRENT_TIMESTAMP,'localtime'), datetime(birthday) &lt; 31)</t>
  </si>
  <si>
    <t>อายุ คือ 30 ปี และต่ำกว่า หมายถึง SUBTRACT(datetime(CURRENT_TIMESTAMP,'localtime'), datetime(birthday) &lt; 31)</t>
  </si>
  <si>
    <t>SELECT SUM(t2.home_team_goal) FROM Player AS t1 INNER JOIN match AS t2 ON t1.player_api_id = t2.away_player_1 WHERE datetime(CURRENT_TIMESTAMP, 'localtime') - datetime(T1.birthday) &lt; 31</t>
  </si>
  <si>
    <t>State the name of the most strongest player.</t>
  </si>
  <si>
    <t>strongest players refers to player has MAX(overall_rating)</t>
  </si>
  <si>
    <t>ผู้เล่นที่แข็งแกร่งที่สุดหมายถึงผู้เล่นที่มี MAX(overall_rating)</t>
  </si>
  <si>
    <t>SELECT DISTINCT t1.player_name FROM Player AS t1 INNER JOIN Player_Attributes AS t2 ON t1.player_api_id = t2.player_api_id WHERE t2.overall_rating = (SELECT MAX(overall_rating) FROM Player_Attributes)</t>
  </si>
  <si>
    <t>What is the name of players with the highest potential?</t>
  </si>
  <si>
    <t>highest potential refers to MAX(potential)</t>
  </si>
  <si>
    <t>ศักยภาพสูงสุดหมายถึง MAX (ศักยภาพ)</t>
  </si>
  <si>
    <t>SELECT DISTINCT t1.player_name FROM Player AS t1 INNER JOIN Player_Attributes AS t2 ON t1.player_api_id = t2.player_api_id ORDER BY t2.potential DESC LIMIT 1</t>
  </si>
  <si>
    <t>Who are the players that tend to be attacking when their mates were doing attack moves? List down their name.</t>
  </si>
  <si>
    <t>tend to be attacking when their mates were doing attack moves refers to attacking_work_rate = 'high';</t>
  </si>
  <si>
    <t>มีแนวโน้มที่จะโจมตีเมื่อเพื่อนของพวกเขาทำท่าโจมตีหมายถึง attacking_work_rate = 'high';</t>
  </si>
  <si>
    <t>SELECT DISTINCT t1.player_name FROM Player AS t1 INNER JOIN Player_Attributes AS t2 ON t1.player_api_id = t2.player_api_id WHERE t2.attacking_work_rate = 'high'</t>
  </si>
  <si>
    <t>Among the players with finishing rate of 1, pick the eldest player and state the player's name.</t>
  </si>
  <si>
    <t>eldest player refers to MAX(SUBTRACT(datetime(CURRENT_TIMESTAMP,'localtime'),datetime(birthday))); finishing rate of 1 refers to finishing = 1</t>
  </si>
  <si>
    <t>ผู้เล่นที่อายุมากที่สุดหมายถึง MAX(SUBTRACT(datetime(CURRENT_TIMESTAMP,'localtime'),datetime(birthday))); อัตราการจบ 1 หมายถึง จบ = 1</t>
  </si>
  <si>
    <t>SELECT DISTINCT t1.player_name FROM Player AS t1 INNER JOIN Player_Attributes AS t2 ON t1.player_api_id = t2.player_api_id WHERE t2.finishing = 1 ORDER BY t1.birthday ASC LIMIT 1</t>
  </si>
  <si>
    <t>State the name of players who came from Belgium.</t>
  </si>
  <si>
    <t>name of players refers to player_name; Belgium is name of country</t>
  </si>
  <si>
    <t>ชื่อของผู้เล่นหมายถึง player_name; เบลเยียมเป็นชื่อประเทศ</t>
  </si>
  <si>
    <t>SELECT t3.player_name FROM Country AS t1 INNER JOIN Match AS t2 ON t1.id = t2.country_id INNER JOIN Player AS t3 ON t2.home_player_1 = t3.player_api_id WHERE t1.name = 'Belgium'</t>
  </si>
  <si>
    <t>Locate players with vision scores of 90 and above, state the country of these players.</t>
  </si>
  <si>
    <t>vision scores of 90 and above refers to vision &gt; 89</t>
  </si>
  <si>
    <t>คะแนนการมองเห็นตั้งแต่ 90 ขึ้นไป หมายถึง การมองเห็น &gt; 89</t>
  </si>
  <si>
    <t>SELECT DISTINCT t4.name FROM Player_Attributes AS t1 INNER JOIN Player AS t2 ON t1.player_api_id = t2.player_api_id INNER JOIN Match AS t3 ON t2.player_api_id = t3.home_player_8 INNER JOIN Country AS t4 ON t3.country_id = t4.id WHERE t1.vision &gt; 89</t>
  </si>
  <si>
    <t>Which country's players have the heaviest average weights?</t>
  </si>
  <si>
    <t>heaviest average weights refers to MAX(AVG(weight))</t>
  </si>
  <si>
    <t>น้ำหนักเฉลี่ยที่หนักที่สุดหมายถึง MAX (AVG (น้ำหนัก))</t>
  </si>
  <si>
    <t>SELECT t1.name FROM Country AS t1 INNER JOIN Match AS t2 ON t1.id = t2.country_id INNER JOIN Player AS t3 ON t2.home_player_1 = t3.player_api_id GROUP BY t1.name ORDER BY AVG(t3.weight) DESC LIMIT 1</t>
  </si>
  <si>
    <t>List down the long name for slow speed class team.</t>
  </si>
  <si>
    <t>slow speed class refers to buildUpPlaySpeedClass = 'Slow'; long name refers to team_long_name</t>
  </si>
  <si>
    <t>คลาสความเร็วช้าหมายถึง buildUpPlaySpeedClass = 'ช้า'; ชื่อยาวหมายถึง team_long_name</t>
  </si>
  <si>
    <t>SELECT DISTINCT t1.team_long_name FROM Team AS t1 INNER JOIN Team_Attributes AS t2 ON t1.team_api_id = t2.team_api_id WHERE t2.buildUpPlaySpeedClass = 'Slow'</t>
  </si>
  <si>
    <t>What are the short name of team who played safe while creating chance of passing?</t>
  </si>
  <si>
    <t>played safe while creating chance of passing refers to chanceCreationPassingClass = 'Safe'; short name of team refers to team_short_name</t>
  </si>
  <si>
    <t>เล่นอย่างปลอดภัยในขณะที่สร้างโอกาสในการส่งผ่านหมายถึง ChanceCreationPassingClass = 'ปลอดภัย'; ชื่อย่อของทีมหมายถึง team_short_name</t>
  </si>
  <si>
    <t>SELECT DISTINCT t1.team_short_name FROM Team AS t1 INNER JOIN Team_Attributes AS t2 ON t1.team_api_id = t2.team_api_id WHERE t2.chanceCreationPassingClass = 'Safe'</t>
  </si>
  <si>
    <t>What is the average heights of Italy players?</t>
  </si>
  <si>
    <t>average heights refers to Avg(height); Italy is name of country</t>
  </si>
  <si>
    <t>ความสูงเฉลี่ยหมายถึง Avg(height); อิตาลีเป็นชื่อประเทศ</t>
  </si>
  <si>
    <t>SELECT CAST(SUM(T1.height) AS REAL) / COUNT(T1.id) FROM Player AS T1 INNER JOIN Match AS T2 ON T1.id = T2.id INNER JOIN Country AS T3 ON T2.country_id = T3.ID WHERE T3.NAME = 'Italy'</t>
  </si>
  <si>
    <t>Please provide the names of top three football players who are over 180 cm tall in alphabetical order.</t>
  </si>
  <si>
    <t>over 180 cm tall refers to height &gt; 180; name of football player refers to player_name</t>
  </si>
  <si>
    <t>ความสูงเกิน 180 ซม. หมายถึง ความสูง &gt; 180; ชื่อนักฟุตบอลหมายถึง player_name</t>
  </si>
  <si>
    <t>SELECT player_name FROM Player WHERE height &gt; 180 ORDER BY player_name LIMIT 3</t>
  </si>
  <si>
    <t>How many football players born after the 1990s have the first name "Aaron"?</t>
  </si>
  <si>
    <t>first name "Aaron" refers to player_name LIKE 'Aaron%'; born after the 1990s refers to birthday &gt; '1990'</t>
  </si>
  <si>
    <t>ชื่อ "แอรอน" หมายถึงชื่อผู้เล่น LIKE 'แอรอน%'; เกิดหลังปี 1990 หมายถึง วันเกิด &gt; '1990'</t>
  </si>
  <si>
    <t>SELECT COUNT(id) FROM Player WHERE birthday &gt; '1990' AND player_name LIKE 'Aaron%'</t>
  </si>
  <si>
    <t>What is the difference between players 6 and 23's jumping scores?</t>
  </si>
  <si>
    <t>difference between players 6 and 23's jumping scores refers to SUBTRACT(jumping AND id = 6,jumping AND id = 23)</t>
  </si>
  <si>
    <t>ความแตกต่างระหว่างคะแนนการกระโดดของผู้เล่นหมายเลข 6 และ 23 หมายถึง SUBTRACT (การกระโดด AND id = 6, การกระโดด AND id = 23)</t>
  </si>
  <si>
    <t>SELECT SUM(CASE WHEN t1.id = 6 THEN t1.jumping ELSE 0 END) - SUM(CASE WHEN t1.id = 23 THEN t1.jumping ELSE 0 END) FROM Player_Attributes AS t1</t>
  </si>
  <si>
    <t>Please provide top five football players' IDs who are among the lowest potential players and prefer to use the right foot when attacking.</t>
  </si>
  <si>
    <t>lowest potential players refers to MIN(potential); prefer to use the right foot when attacking refers to preferred_foot = 'right'</t>
  </si>
  <si>
    <t>ผู้เล่นที่มีศักยภาพต่ำที่สุดหมายถึง MIN (ศักยภาพ); ชอบใช้เท้าขวาในการโจมตี หมายถึง ที่ต้องการ_เท้า = 'ขวา'</t>
  </si>
  <si>
    <t>SELECT id FROM Player_Attributes WHERE preferred_foot = 'right' ORDER BY potential DESC LIMIT 5</t>
  </si>
  <si>
    <t>How many players had the highest potential score for crossing that preferred to use their left foots while attacking?</t>
  </si>
  <si>
    <t>highest potential score for crossing refers to MAX(crossing); preferred to use their left foots while attacking refers to preferred_foot = 'left'</t>
  </si>
  <si>
    <t>คะแนนที่เป็นไปได้สูงสุดสำหรับการข้ามหมายถึง MAX (การข้าม); นิยมใช้เท้าซ้ายในการโจมตี หมายถึง ที่ต้องการ_เท้า = 'ซ้าย'</t>
  </si>
  <si>
    <t>SELECT COUNT(t1.id) FROM Player_Attributes AS t1 WHERE t1.preferred_foot = 'left' AND t1.crossing = ( SELECT MAX(crossing) FROM Player_Attributes)</t>
  </si>
  <si>
    <t>What percentage of players have a strength and stamina score of more than 80?</t>
  </si>
  <si>
    <t>strength and stamina score of more than 80 refers to stamina &gt; 80 and strength &gt; 80</t>
  </si>
  <si>
    <t>คะแนนความแข็งแกร่งและความแข็งแกร่งมากกว่า 80 หมายถึง ความแข็งแกร่ง &gt; 80 และความแข็งแกร่ง &gt; 80</t>
  </si>
  <si>
    <t>SELECT CAST(COUNT(CASE WHEN strength &gt; 80 AND stamina &gt; 80 THEN id ELSE NULL END) AS REAL) * 100 / COUNT(id) FROM Player_Attributes t</t>
  </si>
  <si>
    <t>In what country did the Poland Ekstraklasa take place?</t>
  </si>
  <si>
    <t>SELECT name FROM Country WHERE id IN ( SELECT country_id FROM League WHERE name = 'Poland Ekstraklasa' )</t>
  </si>
  <si>
    <t>What was the final score for the match on September 24, 2008, in the Belgian Jupiler League between the home team and the away team?</t>
  </si>
  <si>
    <t>September 24, 2008 refers to date like '2008-09-24%'; in the Belgian Jupiler League refers to League.name = 'Belgium Jupiler League'; final score for home team refers to home_team_goal; final score for away team refers to away_team_goal</t>
  </si>
  <si>
    <t>24 กันยายน 2551 อ้างอิงถึงวันที่เช่น '2008-09-24%'; ใน Belgian Jupiler League หมายถึง League.name = 'Belgium Jupiler League'; คะแนนสุดท้ายของทีมเหย้าหมายถึง home_team_goal; คะแนนสุดท้ายของทีมเยือนหมายถึง away_team_goal</t>
  </si>
  <si>
    <t>SELECT t2.home_team_goal, t2.away_team_goal FROM League AS t1 INNER JOIN Match AS t2 ON t1.id = t2.league_id WHERE t1.name = 'Belgium Jupiler League' AND t2.`date` LIKE '2008-09-24%'</t>
  </si>
  <si>
    <t>What are Alexis Blin's sprint speed, agility, and acceleration scores?</t>
  </si>
  <si>
    <t>Alexis Blin's refers to player_name = 'Alexis Blin'</t>
  </si>
  <si>
    <t>อเล็กซิส บลิน หมายถึง player_name = 'อเล็กซิส บลิน'</t>
  </si>
  <si>
    <t>SELECT sprint_speed, agility, acceleration FROM Player_Attributes WHERE player_api_id IN ( SELECT player_api_id FROM Player WHERE player_name = 'Alexis Blin' )</t>
  </si>
  <si>
    <t>Does the KSV Cercle Brugge team have a slow, balanced or fast speed class?</t>
  </si>
  <si>
    <t>KSV Cercle Brugge refers to team_long_name = 'KSV Cercle Brugge'; speed class refers to buildUpPlaySpeedClass</t>
  </si>
  <si>
    <t>KSV เซอร์เคิล บรูช อ้างอิงถึง team_long_name = 'KSV เซอร์เคิล บรูจจ์'; คลาสความเร็วหมายถึง buildUpPlaySpeedClass</t>
  </si>
  <si>
    <t>SELECT DISTINCT t1.buildUpPlaySpeedClass FROM Team_Attributes AS t1 INNER JOIN Team AS t2 ON t1.team_api_id = t2.team_api_id WHERE t2.team_long_name = 'KSV Cercle Brugge'</t>
  </si>
  <si>
    <t>In the 2015–2016 season, how many games were played in the Italian Serie A league?</t>
  </si>
  <si>
    <t>In the 2015–2016 season refers to season = '2015/2016'</t>
  </si>
  <si>
    <t>ในฤดูกาล 2015–2016 หมายถึง ฤดูกาล = '2015/2016'</t>
  </si>
  <si>
    <t>SELECT COUNT(t2.id) FROM League AS t1 INNER JOIN Match AS t2 ON t1.id = t2.league_id WHERE t1.name = 'Italy Serie A' AND t2.season = '2015/2016'</t>
  </si>
  <si>
    <t>What was the highest score of the home team in the Netherlands Eredivisie league?</t>
  </si>
  <si>
    <t>highest score of the home team refers to MAX(home_team_goal)</t>
  </si>
  <si>
    <t>คะแนนสูงสุดของเจ้าบ้านหมายถึง MAX(home_team_goal)</t>
  </si>
  <si>
    <t>SELECT MAX(t2.home_team_goal) FROM League AS t1 INNER JOIN Match AS t2 ON t1.id = t2.league_id WHERE t1.name = 'Netherlands Eredivisie'</t>
  </si>
  <si>
    <t>Please state the finishing rate and curve score of the player who has the heaviest weight.</t>
  </si>
  <si>
    <t>finishing rate refer to finishing; curve score refer to curve; heaviest weight refers to MAX(weight)</t>
  </si>
  <si>
    <t>อัตราการจบหมายถึงการจบ; คะแนนเส้นโค้งหมายถึงเส้นโค้ง น้ำหนักที่หนักที่สุดหมายถึง MAX (น้ำหนัก)</t>
  </si>
  <si>
    <t>SELECT id, finishing, curve FROM Player_Attributes WHERE player_api_id = ( SELECT player_api_id FROM Player ORDER BY weight DESC LIMIT 1 ) LIMIT 1</t>
  </si>
  <si>
    <t>Which top 4 leagues had the most games in the 2015-2016 season?</t>
  </si>
  <si>
    <t>in the 2015-2016 season refers to season = '2015/2016'; league with most games refers to League.name where MAX(COUNT(id))</t>
  </si>
  <si>
    <t>ในฤดูกาล 2558-2559 หมายถึงฤดูกาล = '2015/2016'; ลีกที่มีเกมมากที่สุดหมายถึง League.name โดยที่ MAX(COUNT(id))</t>
  </si>
  <si>
    <t>SELECT t1.name FROM League AS t1 INNER JOIN Match AS t2 ON t1.id = t2.league_id WHERE t2.season = '2015/2016' GROUP BY t1.name ORDER BY COUNT(t2.id) DESC LIMIT 4</t>
  </si>
  <si>
    <t>Please provide the full name of the away team that scored the most goals.</t>
  </si>
  <si>
    <t>full name refers to team_long_name; away team refers to away_team_api_id; scored the most goals refers to MAX(away_team_goal)</t>
  </si>
  <si>
    <t>ชื่อเต็มหมายถึง team_long_name; ทีมเยือนหมายถึง away_team_api_id; ทำประตูได้มากที่สุดหมายถึง MAX(away_team_goal)</t>
  </si>
  <si>
    <t>SELECT t2.team_long_name FROM Match AS t1 INNER JOIN Team AS t2 ON t1.away_team_api_id = t2.team_api_id ORDER BY t1.away_team_goal DESC LIMIT 1</t>
  </si>
  <si>
    <t>Please name one player whose overall strength is the greatest.</t>
  </si>
  <si>
    <t>overall strength is the greatest refers to MAX(overall_rating)</t>
  </si>
  <si>
    <t>ความแข็งแกร่งโดยรวมคือการอ้างอิงที่ยิ่งใหญ่ที่สุดถึง MAX(overall_rating)</t>
  </si>
  <si>
    <t>SELECT DISTINCT t1.player_name FROM Player AS t1 INNER JOIN Player_Attributes AS t2 ON t1.player_api_id = t2.player_api_id WHERE t2.overall_rating = ( SELECT MAX(overall_rating) FROM Player_Attributes)</t>
  </si>
  <si>
    <t>What is the percentage of players that are under 180 cm who have an overall strength of more than 70?</t>
  </si>
  <si>
    <t>percentage refers to DIVIDE(COUNT(height &lt; 180 AND overall_rating &gt; 70),COUNT(id)) * 100</t>
  </si>
  <si>
    <t>เปอร์เซ็นต์หมายถึง DIVIDE(COUNT(height &lt; 180 AND Overall_rating &gt; 70),COUNT(id)) * 100</t>
  </si>
  <si>
    <t>SELECT CAST(COUNT(CASE WHEN t2.overall_rating &gt; 70 THEN t1.id ELSE NULL END) AS REAL) * 100 / COUNT(t1.id) percent FROM Player AS t1 INNER JOIN Player_Attributes AS t2 ON t1.player_api_id = t2.player_api_id WHERE t1.height &lt; 180</t>
  </si>
  <si>
    <t>thrombosis_prediction</t>
  </si>
  <si>
    <t>Are there more in-patient or outpatient who were male? What is the deviation in percentage?</t>
  </si>
  <si>
    <t>male refers to SEX = 'M'; in-patient refers to Admission = '+'; outpatient refers to Admission = '-'; percentage = DIVIDE(COUNT(ID) where SEX = 'M' and Admission = '+', COUNT(ID) where SEX  = 'M' and Admission = '-')</t>
  </si>
  <si>
    <t>ชาย หมายถึง SEX = 'M'; ผู้ป่วยใน หมายถึง Admission = '+'; ผู้ป่วยนอกหมายถึง Admission = '-'; เปอร์เซ็นต์ = DIVIDE(COUNT(ID) โดยที่ SEX = 'M' และ Admission = '+', COUNT(ID) โดยที่ SEX  = 'M' และ Admission = '-')</t>
  </si>
  <si>
    <t>SELECT CAST(SUM(CASE WHEN Admission = '+' THEN 1 ELSE 0 END) AS REAL) * 100 / SUM(CASE WHEN Admission = '-' THEN 1 ELSE 0 END) FROM Patient WHERE SEX = 'M'</t>
  </si>
  <si>
    <t>What is the percentage of female patient were born after 1930?</t>
  </si>
  <si>
    <t>female refers to Sex = 'F'; patient who were born after 1930 refers to year(Birthday) &gt; '1930'; calculation = DIVIDE(COUNT(ID) where year(Birthday) &gt; '1930' and SEX = 'F'), (COUNT(ID) where SEX = 'F')</t>
  </si>
  <si>
    <t>หญิงหมายถึงเพศ = 'F'; ผู้ป่วยที่เกิดหลังปี พ.ศ. 2473 หมายถึง ปี(วันเกิด) &gt; 'พ.ศ. 2473'; การคำนวณ = DIVIDE(COUNT(ID) โดยที่ปี (วันเกิด) &gt; '1930' และ SEX = 'F'), (COUNT(ID) โดยที่ SEX = 'F')</t>
  </si>
  <si>
    <t>SELECT CAST(SUM(CASE WHEN STRFTIME('%Y', Birthday) &gt; '1930' THEN 1 ELSE 0 END) AS REAL) * 100 / COUNT(*) FROM Patient WHERE SEX = 'F'</t>
  </si>
  <si>
    <t>For patient born between Year 1930 to 1940, how many percent of them were inpatient?</t>
  </si>
  <si>
    <t>patient born between Year 1930 to 1940 refers to year(Birthday) BETWEEN '1930-01-01' AND '1940-12-31'; inpatient refers to Admission = '+'</t>
  </si>
  <si>
    <t>ผู้ป่วยที่เกิดระหว่างปี พ.ศ. 2473 ถึง พ.ศ. 2483 หมายถึง ปี (วันเกิด) ระหว่าง '1930-01-01' และ '1940-12-31'; ผู้ป่วยใน หมายถึง Admission = '+'</t>
  </si>
  <si>
    <t>SELECT CAST(SUM(CASE WHEN Admission = '+' THEN 1 ELSE 0 END) AS REAL) * 100 / COUNT(*) FROM Patient WHERE STRFTIME('%Y', Birthday) BETWEEN '1930' AND '1940'</t>
  </si>
  <si>
    <t>What is the ratio of outpatient to inpatient followed up treatment among all the 'SLE' diagnosed patient?</t>
  </si>
  <si>
    <t>SLE' diagnosed patient means Diagnosis = 'SLE'; inpatient refers to Admission = '+'; outpatient refers to Admission = '-'; calculation =  DIVIDE(COUNT(ID) where Diagnosis = 'SLE' and Admission = '+', COUNT(ID) where Diagnosis = 'SLE' and Admission = '-')</t>
  </si>
  <si>
    <t>ผู้ป่วยที่ได้รับการวินิจฉัยว่าเป็นโรค SLE หมายถึง การวินิจฉัย = 'SLE'; ผู้ป่วยใน หมายถึง Admission = '+'; ผู้ป่วยนอกหมายถึง Admission = '-'; การคำนวณ = DIVIDE(COUNT(ID) โดยที่ Diagnosis = 'SLE' และ Admission = '+', COUNT(ID) โดยที่ Diagnosis = 'SLE' และ Admission = '-')</t>
  </si>
  <si>
    <t>SELECT SUM(CASE WHEN Admission = '+' THEN 1.0 ELSE 0 END) / SUM(CASE WHEN Admission = '-' THEN 1 ELSE 0 END) FROM Patient WHERE Diagnosis = 'SLE'</t>
  </si>
  <si>
    <t>What is the disease patient '30609' diagnosed with. List all the date of laboratory tests done for this patient.</t>
  </si>
  <si>
    <t>30609' is the Patient ID; disease means Diagnosis</t>
  </si>
  <si>
    <t>30609' คือรหัสผู้ป่วย โรคหมายถึงการวินิจฉัย</t>
  </si>
  <si>
    <t>SELECT T1.Diagnosis, T2.Date FROM Patient AS T1 INNER JOIN Laboratory AS T2 ON T1.ID = T2.ID WHERE T1.ID = 30609</t>
  </si>
  <si>
    <t>State the sex and birthday of patient ID '163109'. When was the examination taken and what symptom does the patient had.</t>
  </si>
  <si>
    <t>When was the examination taken refers to `Examination Date`</t>
  </si>
  <si>
    <t>การสอบจัดขึ้นเมื่อใด หมายถึง 'วันสอบ'</t>
  </si>
  <si>
    <t>SELECT T1.SEX, T1.Birthday, T2.`Examination Date`, T2.Symptoms FROM Patient AS T1 INNER JOIN Examination AS T2 ON T1.ID = T2.ID WHERE T1.ID = 163109</t>
  </si>
  <si>
    <t>List the patient ID, sex and birthday of patient with LDH beyond normal range.</t>
  </si>
  <si>
    <t>LDH beyond normal range refers to LDH &gt; '500';</t>
  </si>
  <si>
    <t>LDH เกินช่วงปกติหมายถึง LDH &gt; '500';</t>
  </si>
  <si>
    <t>SELECT DISTINCT T1.ID, T1.SEX, T1.Birthday FROM Patient AS T1 INNER JOIN Laboratory AS T2 ON T1.ID = T2.ID WHERE T2.LDH &gt; 500</t>
  </si>
  <si>
    <t>State the ID and age of patient with positive degree of coagulation.</t>
  </si>
  <si>
    <t>age refers to SUBTRACT(year(current_timestamp), year(Birthday)); positive degree of coagulation refers to RVVT = '+';</t>
  </si>
  <si>
    <t>อายุ หมายถึง SUBTRACT(ปี(current_timestamp), ปี(วันเกิด)); ระดับการแข็งตัวของเลือดที่เป็นบวกหมายถึง RVVT = '+';</t>
  </si>
  <si>
    <t>SELECT DISTINCT T1.ID, STRFTIME('%Y', CURRENT_TIMESTAMP) - STRFTIME('%Y', T1.Birthday) FROM Patient AS T1 INNER JOIN Examination AS T2 ON T1.ID = T2.ID WHERE T2.RVVT = '+'</t>
  </si>
  <si>
    <t>For patients with severe degree of thrombosis, list their ID, sex and disease the patient is diagnosed with.</t>
  </si>
  <si>
    <t>severe degree of thrombosis refers to thrombosis = 2; disease refers to diagnosis;</t>
  </si>
  <si>
    <t>ระดับรุนแรงของการเกิดลิ่มเลือดหมายถึงการเกิดลิ่มเลือด = 2; โรคหมายถึงการวินิจฉัย</t>
  </si>
  <si>
    <t>SELECT DISTINCT T1.ID, T1.SEX, T1.Diagnosis FROM Patient AS T1 INNER JOIN Examination AS T2 ON T1.ID = T2.ID WHERE T2.Thrombosis = 2</t>
  </si>
  <si>
    <t>List all patients who were born in 1937 whose total cholesterol was beyond the normal range.</t>
  </si>
  <si>
    <t>who were born in 1937 refers to year(birthday) = '1937'; total cholesterol was beyond the normal range refers to `T-CHO` &gt; = '250'</t>
  </si>
  <si>
    <t>ผู้ที่เกิด พ.ศ. 2480 หมายถึง ปี(วันเกิด) = 'พ.ศ. 2480'; คอเลสเตอรอลรวมอยู่นอกเหนือช่วงปกติ หมายถึง `T-CHO` &gt; = '250'</t>
  </si>
  <si>
    <t>SELECT DISTINCT T1.ID FROM Patient AS T1 INNER JOIN Laboratory AS T2 ON T1.ID = T2.ID WHERE STRFTIME('%Y', T1.Birthday) = '1937' AND T2.`T-CHO` &gt;= 250</t>
  </si>
  <si>
    <t>For patient with albumin level lower than 3.5, list their ID, sex and diagnosis.</t>
  </si>
  <si>
    <t>albumin level lower than 3.5 refers to ALB &lt; 3.5;</t>
  </si>
  <si>
    <t>ระดับอัลบูมินต่ำกว่า 3.5 หมายถึง ALB &lt; 3.5;</t>
  </si>
  <si>
    <t>SELECT DISTINCT T1.ID, T1.SEX, T1.Diagnosis FROM Patient AS T1 INNER JOIN Laboratory AS T2 ON T1.ID = T2.ID WHERE T2.ALB &lt; 3.5</t>
  </si>
  <si>
    <t>What is the percentage of female patient had total protein not within the normal range?</t>
  </si>
  <si>
    <t>female refers to sex = 'F'; total protein not within the normal range refers to TP &lt; '6.0' or TP &gt; '8.5'; calculation = DIVIDE((ID where sex = 'F' and TP &lt; '6.0' or TP &gt; '8.5'), COUNT(ID)) * 100</t>
  </si>
  <si>
    <t>หญิงหมายถึงเพศ = 'F'; โปรตีนทั้งหมดที่ไม่อยู่ในช่วงปกติหมายถึง TP &lt; '6.0' หรือ TP &gt; '8.5'; การคำนวณ = DIVIDE((ID โดยที่ sex = 'F' และ TP &lt; '6.0' หรือ TP &gt; '8.5'), COUNT(ID)) * 100</t>
  </si>
  <si>
    <t>SELECT CAST(SUM(CASE WHEN T1.SEX = 'F' AND (T2.TP &lt; 6.0 OR T2.TP &gt; 8.5) THEN 1 ELSE 0 END) AS REAL) * 100 / COUNT(*) FROM Patient AS T1 INNER JOIN Laboratory AS T2 ON T1.ID = T2.ID WHERE T1.SEX = 'F'</t>
  </si>
  <si>
    <t>For in-patient age 50 and above, what is their average anti-cardiolipin antibody (IgG) concentration?</t>
  </si>
  <si>
    <t>in-patient refers to Admission = '+'; age 50 and above refers to SUBTRACT(year(current_timestamp), year(Birthday)) &gt;= '50'; average anti-cardiolipin antibody (IgG) concentration refers to AVG(aCL IgG)</t>
  </si>
  <si>
    <t>ผู้ป่วยใน หมายถึง Admission = '+'; อายุ 50 ปีขึ้นไป หมายถึง SUBTRACT(year(current_timestamp), year(Birthday)) &gt;= '50'; ความเข้มข้นของแอนติบอดีต่อต้านคาร์ดิโอลิพิน (IgG) โดยเฉลี่ยอ้างอิงถึง AVG (aCL IgG)</t>
  </si>
  <si>
    <t>SELECT AVG(T2.`aCL IgG`) FROM Patient AS T1 INNER JOIN Examination AS T2 ON T1.ID = T2.ID WHERE STRFTIME('%Y', CURRENT_TIMESTAMP) - STRFTIME('%Y', T1.Birthday) &gt;= 50 AND T1.Admission = '+'</t>
  </si>
  <si>
    <t>How many female patients who came at the hospital in 1997 was immediately followed at the outpatient clinic?</t>
  </si>
  <si>
    <t>female refers to sex = 'F'; came at the hospital in 1997 refers to year(Description) = '1997'; immediately followed at the outpatient clinic refers to Admission = '-'</t>
  </si>
  <si>
    <t>หญิงหมายถึงเพศ = 'F'; มาโรงพยาบาลในปี พ.ศ. 2540 หมายถึง ปี(คำอธิบาย) = 'พ.ศ. 2540'; ตามมาทันทีที่คลินิกผู้ป่วยนอก หมายถึง Admission = '-'</t>
  </si>
  <si>
    <t>SELECT COUNT(*) FROM Patient WHERE STRFTIME('%Y', Description) = '1997' AND SEX = 'F' AND Admission = '-'</t>
  </si>
  <si>
    <t>What was the age of the youngest patient when they initially arrived at the hospital?</t>
  </si>
  <si>
    <t>age refers to SUBTRACT(YEAR(`First Date`),YEAR(Birthday))</t>
  </si>
  <si>
    <t>อายุ หมายถึง SUBTRACT(YEAR(`First Date`),YEAR(Birthday))</t>
  </si>
  <si>
    <t>SELECT MIN(STRFTIME('%Y', `First Date`) - STRFTIME('%Y', Birthday)) FROM Patient</t>
  </si>
  <si>
    <t>How many of the patients with the most serious thrombosis cases examined in 1997 are women?</t>
  </si>
  <si>
    <t>the most serious thrombosis refers to Thrombosis = '1' (the most severe one); women refers to sex = 'F'</t>
  </si>
  <si>
    <t>การเกิดลิ่มเลือดที่ร้ายแรงที่สุดหมายถึง Thrombosis = '1' (อันที่รุนแรงที่สุด); ผู้หญิงหมายถึงเพศ = 'F'</t>
  </si>
  <si>
    <t>SELECT  COUNT(*) FROM Patient AS T1 INNER JOIN Examination AS T2 ON T1.ID = T2.ID WHERE T1.SEX = 'F' AND STRFTIME('%Y', T2.`Examination Date`) = '1997' AND T2.Thrombosis = 1</t>
  </si>
  <si>
    <t>What is the age gap between the youngest and oldest patient with a normal triglyceride recorded?</t>
  </si>
  <si>
    <t>age gap refers to SUBTRACT(MAX(year(Birthday)) - MIN(year(Birthday))); normal triglyceride refers to tg &gt; = 200</t>
  </si>
  <si>
    <t>ช่องว่างอายุหมายถึง SUBTRACT(MAX(ปี(วันเกิด)) - MIN(ปี(วันเกิด))); ไตรกลีเซอไรด์ปกติหมายถึง tg &gt; = 200</t>
  </si>
  <si>
    <t>SELECT STRFTIME('%Y', MAX(T1.Birthday)) - STRFTIME('%Y', MIN(T1.Birthday)) FROM Patient AS T1 INNER JOIN Laboratory AS T2 ON T1.ID = T2.ID WHERE T2.TG &gt;= 200</t>
  </si>
  <si>
    <t>What are the symptoms observed by the youngest patient to ever did a medical examination? Identify their diagnosis.</t>
  </si>
  <si>
    <t>The larger the birthday value, the younger the person is, and vice versa; symptoms observed refers to the symptoms is not NULL</t>
  </si>
  <si>
    <t>ยิ่งค่าวันเกิดมีค่ามาก บุคคลนั้นจะอายุน้อยกว่า และในทางกลับกัน อาการที่สังเกตหมายถึงอาการไม่เป็นโมฆะ</t>
  </si>
  <si>
    <t>SELECT T2.Symptoms, T1.Diagnosis FROM Patient AS T1 INNER JOIN Examination AS T2 ON T1.ID = T2.ID WHERE T2.Symptoms IS NOT NULL ORDER BY T1.Birthday DESC LIMIT 1</t>
  </si>
  <si>
    <t>For the year that concluded on December 31, 1998, how many male patients on average were tested in the lab each month?</t>
  </si>
  <si>
    <t>the year that concluded on December 31, 1998 refers to Date BETWEEN '1998-01-01' AND '1998-12-31'; male refers to SEX = 'M'; calculation = DIVIDE(COUNT(ID), 12)</t>
  </si>
  <si>
    <t>ปีที่สิ้นสุดในวันที่ 31 ธันวาคม พ.ศ. 2541 หมายถึงวันที่ระหว่าง '1998-01-01' และ '1998-12-31'; ชาย หมายถึง SEX = 'M'; การคำนวณ = หาร(นับ(ID), 12)</t>
  </si>
  <si>
    <t>SELECT CAST(COUNT(T1.ID) AS REAL) / 12 FROM Patient AS T1 INNER JOIN Laboratory AS T2 ON T1.ID = T2.ID WHERE STRFTIME('%Y', T2.Date) = '1998' AND T1.SEX = 'M'</t>
  </si>
  <si>
    <t>The oldest SJS patient's medical laboratory work was completed on what date, and what age was the patient when they initially arrived at the hospital?</t>
  </si>
  <si>
    <t>The larger the birthday value, the younger the person is, and vice versa; 'SJS' refers to diagnosis; (SUBTRACT(year(`First Date`)), year(Birthday)); age of the patients when they initially arrived at the hospital refers to year(Birthday)</t>
  </si>
  <si>
    <t>ยิ่งค่าวันเกิดมีค่ามาก บุคคลนั้นจะอายุน้อยกว่า และในทางกลับกัน 'SJS' หมายถึงการวินิจฉัย (ลบ(ปี(`วันแรก`)), ปี(วันเกิด)); อายุของผู้ป่วยเมื่อมาถึงโรงพยาบาลครั้งแรก หมายถึง ปี (วันเกิด)</t>
  </si>
  <si>
    <t>SELECT T1.Date, STRFTIME('%Y', T2.`First Date`) - STRFTIME('%Y', T2.Birthday),T2.Birthday FROM Laboratory AS T1 INNER JOIN Patient AS T2 ON T1.ID = T2.ID WHERE T2.Diagnosis = 'SJS' AND T2.Birthday IS NOT NULL ORDER BY T2.Birthday ASC LIMIT 1</t>
  </si>
  <si>
    <t>What is the ratio of male to female patients among all those with abnormal uric acid counts?</t>
  </si>
  <si>
    <t>male refers to SEX = 'M'; female refers to SEX = 'F'; abnormal uric acid refers to UA &lt; = '8.0' where SEX = 'M', UA &lt; = '6.5' where SEX = 'F'; calculation = DIVIDE(SUM(UA &lt;= '8.0' and SEX = 'M'), SUM(UA &lt;= '6.5 and SEX = 'F'))</t>
  </si>
  <si>
    <t>ชาย หมายถึง SEX = 'M'; หญิง หมายถึง SEX = 'F'; กรดยูริกผิดปกติหมายถึง UA &lt; = '8.0' โดยที่ SEX = 'M', UA &lt; = '6.5' โดยที่ SEX = 'F'; การคำนวณ = หาร(SUM(UA &lt;= '8.0' และ SEX = 'M'), SUM(UA &lt;= '6.5 และ SEX = 'F'))</t>
  </si>
  <si>
    <t>SELECT CAST(SUM(CASE WHEN T2.UA &lt;= 8.0 AND T1.SEX = 'M' THEN 1 ELSE 0 END) AS REAL) / SUM(CASE WHEN T2.UA &lt;= 6.5 AND T1.SEX = 'F' THEN 1 ELSE 0 END) FROM Patient AS T1 INNER JOIN Laboratory AS T2 ON T1.ID = T2.ID</t>
  </si>
  <si>
    <t>How many patients hadn't undergone a medical examination until at least a year following their initial hospital visit?</t>
  </si>
  <si>
    <t>hadn't undergone a medical examination until at least a year refers to SUBTRACT(year(`Examination Date`), year(`First Date`)) &gt; = 1</t>
  </si>
  <si>
    <t>ไม่ได้รับการตรวจสุขภาพจนกระทั่งอย่างน้อยหนึ่งปี หมายถึง SUBTRACT(ปี(`วันที่ตรวจ`), ปี(`วันแรก`)) &gt; = 1</t>
  </si>
  <si>
    <t>SELECT COUNT(DISTINCT T1.ID) FROM Patient AS T1 INNER JOIN Examination AS T2 ON T1.ID = T2.ID WHERE T1.Admission = '+' AND STRFTIME('%Y', T2.`Examination Date`) - STRFTIME('%Y', T1.`First Date`) &gt;= 1</t>
  </si>
  <si>
    <t>How many underage patients were examined during the course of the three-year period from 1990 to 1993?</t>
  </si>
  <si>
    <t>underage patients refers to year(Birthday) &lt; 18; three-year period from 1990 to 1993 refers to year(`Examination Date`) between '1990' and '1993'</t>
  </si>
  <si>
    <t>ผู้ป่วยที่ยังไม่บรรลุนิติภาวะหมายถึงปี(วันเกิด) &lt; 18; ระยะเวลาสามปีตั้งแต่ปี 1990 ถึง 1993 หมายถึงปี (`วันสอบ`) ระหว่าง '1990' ถึง '1993'</t>
  </si>
  <si>
    <t>SELECT COUNT(T1.ID) FROM Patient AS T1 INNER JOIN Examination AS T2 ON T1.ID = T2.ID WHERE STRFTIME('%Y', T2.`Examination Date`) BETWEEN '1990' AND '1993' AND STRFTIME('%Y', T2.`Examination Date`) - STRFTIME('%Y', T1.Birthday) &lt; 18</t>
  </si>
  <si>
    <t>How many male patients have elevated total bilirubin count?</t>
  </si>
  <si>
    <t>male refers to SEX = 'M'; elevated means above the normal range; total bilirubin above the normal range refers to `T-BIL` &gt;= '2.0'</t>
  </si>
  <si>
    <t>ชาย หมายถึง SEX = 'M'; ยกระดับ หมายถึง สูงกว่าช่วงปกติ บิลิรูบินทั้งหมดที่สูงกว่าช่วงปกติหมายถึง `T-BIL` &gt;= '2.0'</t>
  </si>
  <si>
    <t>SELECT COUNT(DISTINCT T1.ID) FROM Patient AS T1 INNER JOIN Laboratory AS T2 ON T1.ID = T2.ID WHERE T2.`T-BIL` &gt;= 2.0 AND T1.SEX = 'M'</t>
  </si>
  <si>
    <t>What is the most common illness that doctors identified among the patients whose lab work was done between 1/1/1985, and 12/31/1995?</t>
  </si>
  <si>
    <t>the most common illness refers to MAX(COUNT(Diagnosis)); lab work between 1/1/1985 and 12/31/1995 refers to `Examination Date` between '1985-01-01' and '1995-12-31 '</t>
  </si>
  <si>
    <t>ความเจ็บป่วยที่พบบ่อยที่สุดหมายถึง MAX(COUNT(การวินิจฉัย)); งานห้องปฏิบัติการระหว่างวันที่ 1/1/2528 ถึง 31/12/2538 หมายถึง `วันสอบ` ระหว่าง '1985-01-01' และ '1995-12-31 '</t>
  </si>
  <si>
    <t>SELECT T2.Diagnosis FROM Examination AS T1 INNER JOIN Patient AS T2 ON T1.ID = T2.ID WHERE T1.`Examination Date` BETWEEN '1985-01-01' AND '1995-12-31' GROUP BY T2.Diagnosis ORDER BY COUNT(T2.Diagnosis) DESC LIMIT 1</t>
  </si>
  <si>
    <t>What is the average age of patients as of year 1999 examined in the laboratory for the October of the year 1991?</t>
  </si>
  <si>
    <t>average age of patients as of year 1999 refers to AVG(SUBTRACT('1999', year(Birthday))); October of 1991 refers to Date BETWEEN '1991-10-01' AND '1991-10-30'</t>
  </si>
  <si>
    <t>อายุเฉลี่ยของผู้ป่วย ณ ปี 2542 อ้างอิงถึง AVG(SUBTRACT('1999', ปี(วันเกิด))); ตุลาคม 1991 หมายถึงวันที่ระหว่าง '1991-10-01' และ '1991-10-30'</t>
  </si>
  <si>
    <t>SELECT AVG('1999'  - STRFTIME('%Y', T2.Birthday)) FROM Laboratory AS T1 INNER JOIN Patient AS T2 ON T1.ID = T2.ID WHERE T1.Date BETWEEN '1991-10-01' AND '1991-10-30'</t>
  </si>
  <si>
    <t>How old was the patient who had the highest hemoglobin count at the time of the examination, and what is the doctor's diagnosis?</t>
  </si>
  <si>
    <t>How old the patient refers to SUBTRACT(year(`Examination Date`), year(Birthday)); the highest hemoglobin count refers to MAX(HGB)</t>
  </si>
  <si>
    <t>ผู้ป่วยอ้างถึงอายุเท่าใด ลบ(ปี(`วันที่ตรวจ`), ปี(วันเกิด)); จำนวนฮีโมโกลบินสูงสุดหมายถึง MAX (HGB)</t>
  </si>
  <si>
    <t>SELECT STRFTIME('%Y', T2.Date) - STRFTIME('%Y', T1.Birthday), T1.Diagnosis FROM Patient AS T1 INNER JOIN Laboratory AS T2 ON T1.ID = T2.ID ORDER BY T2.HGB DESC LIMIT 1</t>
  </si>
  <si>
    <t>What was the anti-nucleus antibody concentration level for the patient id 3605340 on 1996/12/2?</t>
  </si>
  <si>
    <t>anti-nucleus antibody refers to ANA; 1996/12/2 refers to `Examination Date` = '1996-12-02'</t>
  </si>
  <si>
    <t>แอนติบอดีต่อต้านนิวเคลียสหมายถึง ANA; 2/12/2539 หมายถึง `วันสอบ` = '1996-12-02'</t>
  </si>
  <si>
    <t>SELECT ANA FROM Examination WHERE ID = 3605340 AND `Examination Date` = '1996-12-02'</t>
  </si>
  <si>
    <t>Was the total cholesterol status for the patient id 2927464 on 1995-9-4 at the normal level?</t>
  </si>
  <si>
    <t>total cholesterol normal level refers to N &lt; 250</t>
  </si>
  <si>
    <t>ระดับคอเลสเตอรอลรวมปกติหมายถึง N &lt; 250</t>
  </si>
  <si>
    <t>SELECT CASE WHEN `T-CHO` &lt; 250 THEN 'Normal' ELSE 'Abnormal' END FROM Laboratory WHERE ID = 2927464 AND Date = '1995-09-04'</t>
  </si>
  <si>
    <t>What was the gender of the first AORTITIS diagnosed patient?</t>
  </si>
  <si>
    <t>gender means SEX; 'AORTITIS' refers to Diagnosis;</t>
  </si>
  <si>
    <t>เพศหมายถึงเพศ; 'AORTITIS' หมายถึงการวินิจฉัย</t>
  </si>
  <si>
    <t>SELECT SEX FROM Patient WHERE Diagnosis = 'AORTITIS' AND `First Date` IS NOT NULL ORDER BY `First Date` ASC LIMIT 1</t>
  </si>
  <si>
    <t>For the patient who was diagnosed with SLE on 1994/2/19, what was his/her anti-Cardiolipin antibody concentration status on 1993/11/12?</t>
  </si>
  <si>
    <t>diagnosed with SLE refers to Diagnosis = 'SLE'; 1994/2/19 refers to Description = '1994-02-19'; anti-Cardiolipin refers to aCL IgM; 1993/11/12 refers to Examination Date = '1993/11/12'</t>
  </si>
  <si>
    <t>ที่ได้รับการวินิจฉัยว่าเป็นโรค SLE หมายถึง การวินิจฉัย = 'SLE'; 1994/2/19 อ้างถึงคำอธิบาย = '1994-02-19'; anti-Cardiolipin หมายถึง aCL IgM; 1993/11/55 หมายถึง วันสอบ = '1993/11/55'</t>
  </si>
  <si>
    <t>SELECT `aCL IgA`, `aCL IgG`, `aCL IgM` FROM Examination WHERE ID IN ( SELECT ID FROM Patient WHERE Diagnosis = 'SLE' AND Description = '1994-02-19' ) AND `Examination Date` = '1993-11-12'</t>
  </si>
  <si>
    <t>Was the patient a man or a women whose ALT glutamic pylvic transaminase status got 9 on 1992-6-12?</t>
  </si>
  <si>
    <t>man refers to SEX = 'M'; women refers to SEX = 'F'; ALT glutamic pylvic transaminase status got 9 GPT = '9'; 1992/6/12 refers to Date = '1992-06-12'</t>
  </si>
  <si>
    <t>ผู้ชายหมายถึง SEX = 'M'; ผู้หญิงหมายถึง SEX = 'F'; สถานะ ALT glutamic pylvic transaminase มี 9 GPT = '9'; 1992/6/55 หมายถึงวันที่ = '1992-06-12'</t>
  </si>
  <si>
    <t>SELECT T1.SEX FROM Patient AS T1 INNER JOIN Laboratory AS T2 ON T1.ID = T2.ID WHERE T2.GPT = 9.0 AND T2.Date = '1992-06-12'</t>
  </si>
  <si>
    <t>For the patient who got the laboratory test of uric acid level as 8.4 on 1991-10-21, how old was he/she at that time?</t>
  </si>
  <si>
    <t>how old at that time refers to SUBTRACT(year(test date), year(Birthday)); uric acid level as 8.4 refers to UA = '8.4'; 1991/10/21 refers to Date = '1991-10-21'</t>
  </si>
  <si>
    <t>อายุในขณะนั้นหมายถึง SUBTRACT(ปี(วันที่ทดสอบ), ปี(วันเกิด)); ระดับกรดยูริกเท่ากับ 8.4 หมายถึง UA = '8.4'; 1991/10/21 หมายถึง วันที่ = '1991-10-21'</t>
  </si>
  <si>
    <t>SELECT STRFTIME('%Y', T2.Date) - STRFTIME('%Y', T1.Birthday) FROM Patient AS T1 INNER JOIN Laboratory AS T2 ON T1.ID = T2.ID WHERE T2.UA = 8.4 AND T2.Date = '1991-10-21'</t>
  </si>
  <si>
    <t>For the patient who first came to the hospital on 1991/6/13 who was diagnosed with SJS, what is the total number of his/her Laboratory tests in 1995?</t>
  </si>
  <si>
    <t>1991/6/13 refers to `First Date` = '1991-06-13'; 'SJS' refers to Diagnosis; total number of his/her Laboratory tests refers to COUNT(ID); 1995 refers to Date</t>
  </si>
  <si>
    <t>1991/06/56 หมายถึง `วันแรก` = '1991-06-13'; 'SJS' หมายถึงการวินิจฉัย จำนวนการทดสอบในห้องปฏิบัติการทั้งหมดของเขา/เธออ้างอิงถึง COUNT (ID); 1995 หมายถึงวันที่</t>
  </si>
  <si>
    <t>SELECT COUNT(*) FROM Laboratory WHERE ID = ( SELECT ID FROM Patient WHERE `First Date` = '1991-06-13' AND Diagnosis = 'SJS' ) AND STRFTIME('%Y', Date) = '1995'</t>
  </si>
  <si>
    <t>For the patient who was diagnosed SLE on 1997/1/27, what was his/her original diagnose when he/she came to the hospital for the first time?</t>
  </si>
  <si>
    <t>SLE' AND original diagnose refers to diagnosis; 1997/1/27 refer to `Examination Date` = '1997-01-27'; first came to the hospital refers to patient.`First Date`</t>
  </si>
  <si>
    <t>SLE' และการวินิจฉัยดั้งเดิมหมายถึงการวินิจฉัย 27/1/1997 อ้างถึง `วันสอบ` = '1997-01-27'; มาโรงพยาบาลครั้งแรก หมายถึง คนไข้.`First Date`</t>
  </si>
  <si>
    <t>SELECT T1.Diagnosis FROM Patient AS T1 INNER JOIN Examination AS T2 ON T1.ID = T2.ID WHERE T1.ID = ( SELECT ID FROM Examination WHERE `Examination Date` = '1997-01-27' AND Diagnosis = 'SLE' ) AND T2.`Examination Date` = T1.`First Date`</t>
  </si>
  <si>
    <t>For the patient whose birthday was 1959/3/1, what symptoms did he/she have during the examination on 1993/9/27?</t>
  </si>
  <si>
    <t>SELECT T2.Symptoms FROM Patient AS T1 INNER JOIN Examination AS T2 ON T1.ID = T2.ID WHERE T1.Birthday = '1959-03-01' AND T2.`Examination Date` = '1993-09-27'</t>
  </si>
  <si>
    <t>For the patient who was born on 1959/2/18, what is the decrease rate for his/her total cholesterol from November to December in 1981?</t>
  </si>
  <si>
    <t>born on 1959/2/18 refers to Birthday = '1959-02-18'; calculation = SUBTRACT(SUM(Birthday = '1959-02-18' and Date like '1981-11-%' THEN `T-CHO`), SUM(Birthday = '1959-02-18' and Date like '1981-12-%' THEN `T-CHO`))</t>
  </si>
  <si>
    <t>เกิดวันที่ 2/2/2502 หมายถึง วันเกิด = '1959-02-61'; การคำนวณ = SUBTRACT(SUM(Birthday = '1959-02-18' และ Date like '1981-11-%' THEN `T-CHO`), SUM(Birthday = '1959-02-18' and Date like '1981-12-%' THEN `T-CHO`))</t>
  </si>
  <si>
    <t>SELECT CAST((SUM(CASE WHEN T2.Date LIKE '1981-11-%' THEN T2.`T-CHO` ELSE 0 END) - SUM(CASE WHEN T2.Date LIKE '1981-12-%' THEN T2.`T-CHO` ELSE 0 END)) AS REAL) / SUM(CASE WHEN T2.Date LIKE '1981-12-%' THEN T2.`T-CHO` ELSE 0 END) FROM Patient AS T1 INNER JOIN Laboratory AS T2 ON T1.ID = T2.ID WHERE T1.Birthday = '1959-02-18'</t>
  </si>
  <si>
    <t>Lists all patients by ID who were diagnosed with Behcet's and had their exams between 01/01/197 and 12/31/1997.</t>
  </si>
  <si>
    <t>Behcet' refers to diagnosis; exam between 01/01/1997 and 12/31/1997 refers to YEAR(Description) &gt; = '1997-1-1' AND YEAR(Description) &lt; '1998-1-1'</t>
  </si>
  <si>
    <t>Behcet' หมายถึงการวินิจฉัย; การสอบระหว่างวันที่ 01/01/2540 ถึง 31/12/2540 หมายถึง YEAR(คำอธิบาย) &gt; = '1997-1-1' และ YEAR(คำอธิบาย) &lt; '1998-1-1'</t>
  </si>
  <si>
    <t>SELECT ID FROM Examination WHERE `Examination Date` BETWEEN '1997-01-01' AND '1997-12-31' AND Diagnosis = 'Behcet'</t>
  </si>
  <si>
    <t>How many patients who were examined between 1987/7/6 and 1996/1/31 had a GPT level greater than 30 and an ALB level less than 4? List them by their ID.</t>
  </si>
  <si>
    <t>examined between 1987/7/6 and 1996/1/31 refers to Date BETWEEN '1987-07-06' AND '1996-01-31'; GPT level greater than 30 refers to GPT &gt; 30; ALB level less than 4 ALB &lt; 4</t>
  </si>
  <si>
    <t>ตรวจสอบระหว่าง 6/7/1987 และ 31/1/1996 หมายถึงวันที่ระหว่าง '1987-07-06' และ '1996-01-31'; ระดับ GPT ที่มากกว่า 30 หมายถึง GPT &gt; 30; ระดับ ALB น้อยกว่า 4 ALB &lt; 4</t>
  </si>
  <si>
    <t>SELECT DISTINCT ID FROM Laboratory WHERE Date BETWEEN '1987-07-06' AND '1996-01-31' AND GPT &gt; 30 AND ALB &lt; 4</t>
  </si>
  <si>
    <t>How many female patients born in 1964 were admitted to the hospital? List them by ID.</t>
  </si>
  <si>
    <t>female refers to SEX = 'F'; born in 1964 refers to YEAR(Birthday) = 1964; admitted to the hospital refers to Admission = '+'</t>
  </si>
  <si>
    <t>หญิง หมายถึง SEX = 'F'; เกิดในปี พ.ศ. 2507 หมายถึง ปี (วันเกิด) = พ.ศ. 2507; เข้ารับการรักษาในโรงพยาบาล หมายถึง Admission = '+'</t>
  </si>
  <si>
    <t>SELECT ID FROM Patient WHERE STRFTIME('%Y', Birthday) = '1964' AND SEX = 'F' AND Admission = '+'</t>
  </si>
  <si>
    <t>What number of patients with a degree of thrombosis level 2 and ANA pattern of only S, have a level of anti-Cardiolip in antibody (IgM) 20% higher than average?</t>
  </si>
  <si>
    <t>thrombosis level 2 refers to Thrombosis = 2; ANA pattern of only S refers to ANA = 'S'; average anti-Cardiolip in antibody (IgM) refers to AVG(`aCL IgM`); calculation = MULTIPLY(AVG + AVG, 0.2)</t>
  </si>
  <si>
    <t>การเกิดลิ่มเลือดระดับ 2 หมายถึงการเกิดลิ่มเลือด = 2; รูปแบบ ANA ของ S เท่านั้นหมายถึง ANA = 'S'; ค่าเฉลี่ยของสารต้านคาร์ดิโอลิปในแอนติบอดี (IgM) อ้างอิงถึง AVG(`aCL IgM`); การคำนวณ = ทวีคูณ(AVG + AVG, 0.2)</t>
  </si>
  <si>
    <t>SELECT COUNT(*) FROM Examination WHERE Thrombosis = 2 AND `ANA Pattern` = 'S' AND `aCL IgM` &gt; (SELECT AVG(`aCL IgM`) * 1.2 FROM Examination WHERE Thrombosis = 2 AND `ANA Pattern` = 'S')</t>
  </si>
  <si>
    <t>What percentage of patients with a proteinuria level within the normal range have a uric acid level below the normal range?</t>
  </si>
  <si>
    <t>proteinuria level within the normal range refers to `U-PRO` &gt; 0 AND `U-PRO` &lt; 30; uric acid level below the normal range refers to UA &lt; = 6.5; calculation = MULTIPLY(DIVIDE(UA &lt; = 6.5, `U-PRO` &gt; 0 AND `U-PRO` &lt; 30)，100)</t>
  </si>
  <si>
    <t>ระดับโปรตีนในปัสสาวะในช่วงปกติหมายถึง `U-PRO` &gt; 0 และ `U-PRO` &lt; 30; ระดับกรดยูริกต่ำกว่าช่วงปกติหมายถึง UA &lt; = 6.5; การคำนวณ = การคูณ(หาร(UA &lt; = 6.5, `U-PRO` &gt; 0 และ `U-PRO` &lt; 30),100)</t>
  </si>
  <si>
    <t>SELECT CAST(SUM(CASE WHEN UA &lt;= 6.5 THEN 1 ELSE 0 END) AS REAL) * 100 / COUNT(ID) FROM Laboratory WHERE `U-PRO` &gt; 0 AND `U-PRO` &lt; 30</t>
  </si>
  <si>
    <t>What percentage of male patients who first presented to the hospital in 1981 were diagnosed with BEHCET?</t>
  </si>
  <si>
    <t>male refers to SEX = 'M'; first presented to the hospital in 1981 refers to YEAR(`FIRST DATE`) = '1981'; BEHCET refers to diagnosis; calculation = DIVIDE(SUM(DIAGNOSIS = 'BEHCET') where YEAR(`FIRST DATE`) = '1981', MULTIPLY(COUNT(YEAR(`FIRST DATE`) = '1981')), 100)</t>
  </si>
  <si>
    <t>ชาย หมายถึง SEX = 'M'; นำเสนอต่อโรงพยาบาลครั้งแรกในปี 1981 หมายถึง YEAR(`FIRST DATE`) = '1981'; BEHCET หมายถึงการวินิจฉัย การคำนวณ = หาร(SUM(DIAGNOSIS = 'BEHCET') โดยที่ YEAR(`FIRST DATE`) = '1981', MULTIPLY(COUNT(YEAR(`FIRST DATE`) = '1981')), 100)</t>
  </si>
  <si>
    <t>SELECT CAST(SUM(CASE WHEN Diagnosis = 'BEHCET' THEN 1 ELSE 0 END) AS REAL) * 100 / COUNT(ID) FROM Patient WHERE STRFTIME('%Y', `First Date`) = '1981' AND SEX = 'M'</t>
  </si>
  <si>
    <t>List all patients who were followed up at the outpatient clinic who underwent a laboratory test in October 1991 and had a total blood bilirubin level within the normal range.</t>
  </si>
  <si>
    <t>followed up at the outpatient clinic refers to Admission = '-'; laboratory test in April 1981 refers to Date like '1991-10%'; blood bilirubin level within the normal range refers to T-BIL &lt; 2.0;</t>
  </si>
  <si>
    <t>ติดตามผลที่คลินิกผู้ป่วยนอกหมายถึง Admission = '-'; การทดสอบในห้องปฏิบัติการในเดือนเมษายน พ.ศ. 2524 อ้างอิงถึงวันที่เช่น '1991-10%'; ระดับบิลิรูบินในเลือดในช่วงปกติหมายถึง T-BIL &lt; 2.0;</t>
  </si>
  <si>
    <t>SELECT DISTINCT T1.ID FROM Patient AS T1 INNER JOIN Laboratory AS T2 ON T1.ID = T2.ID WHERE T1.Admission = '-' AND T2.`T-BIL` &lt; 2.0 AND T2.Date LIKE '1991-10-%'</t>
  </si>
  <si>
    <t>Excluding all P only ANA Pattern patients, how many of the remainder are women born between 1980 and 1989?</t>
  </si>
  <si>
    <t>Excluding all P only ANA Pattern refers to `ANA Pattern`! = 'P'; women refers to SEX = 'F'; born between 1980 and 1989 refers to BIRTHDAY</t>
  </si>
  <si>
    <t>ไม่รวมรูปแบบ P ทั้งหมดเท่านั้น ANA หมายถึง `รูปแบบ ANA'! = 'พ'; ผู้หญิงหมายถึง SEX = 'F'; เกิดระหว่างปี 1980 ถึง 1989 หมายถึง วันเกิด</t>
  </si>
  <si>
    <t>SELECT COUNT(DISTINCT T1.ID) FROM Patient AS T1 INNER JOIN Examination AS T2 ON T1.ID = T2.ID WHERE T2.`ANA Pattern` != 'P' AND STRFTIME('%Y', T1.Birthday) BETWEEN '1980' AND '1989' AND T1.SEX = 'F'</t>
  </si>
  <si>
    <t>What sex is the patient who in a medical examination was diagnosed with PSS and in a laboratory examination had a blood level of C-reactive protein de 2+, createnine 1 and LDH 123?</t>
  </si>
  <si>
    <t>PSS' refers to diagnosis; blood level of C-reactive protein de 2+refers to CRP &gt; 2; createnine 1 refers to CRE = 1; LDH 123 refers to LDH = 123</t>
  </si>
  <si>
    <t>PSS' หมายถึงการวินิจฉัย ระดับเลือดของโปรตีน C-reactive de 2+หมายถึง CRP &gt; 2; createnine 1 หมายถึง CRE = 1; LDH 123 หมายถึง LDH = 123</t>
  </si>
  <si>
    <t>SELECT T1.SEX FROM Patient AS T1 INNER JOIN Examination AS T2 ON T1.ID = T2.ID INNER JOIN Laboratory AS T3 ON T3.ID = T2.ID WHERE T2.Diagnosis = 'PSS' AND T3.CRP = '2+' AND T3.CRE = 1.0 AND T3.LDH = 123</t>
  </si>
  <si>
    <t>What is the average blood albumin level for female patients with a PLT greater than 400 who have been diagnosed with SLE?</t>
  </si>
  <si>
    <t>average blood albumin level refers to AVG(ALB); female refers to SEX = 'F'; PLT greater than 400 refers to PLT &gt; 400; diagnosed with SLE refers to Diagnosis= 'SLE'</t>
  </si>
  <si>
    <t>ระดับอัลบูมินในเลือดโดยเฉลี่ยหมายถึง AVG (ALB); หญิง หมายถึง SEX = 'F'; PLT ที่มากกว่า 400 หมายถึง PLT &gt; 400; ที่ได้รับการวินิจฉัยว่าเป็นโรค SLE หมายถึง Diagnosis= 'SLE'</t>
  </si>
  <si>
    <t>SELECT AVG(T2.ALB) FROM Patient AS T1 INNER JOIN Laboratory AS T2 ON T1.ID = T2.ID WHERE T2.PLT &gt; 400 AND T1.Diagnosis = 'SLE' AND T1.SEX = 'F'</t>
  </si>
  <si>
    <t>What is the most common sign of patients with SLE disease?</t>
  </si>
  <si>
    <t>the most common sign refers to MAX(symptoms); 'SLE' refers to diagnosis</t>
  </si>
  <si>
    <t>สัญญาณที่พบบ่อยที่สุดหมายถึง MAX(อาการ); 'SLE' หมายถึงการวินิจฉัย</t>
  </si>
  <si>
    <t>SELECT Symptoms FROM Examination WHERE Diagnosis = 'SLE' GROUP BY Symptoms ORDER BY COUNT(Symptoms) DESC LIMIT 1</t>
  </si>
  <si>
    <t>When was the medical information on patient number 48473 first documented, and what disease did she have?</t>
  </si>
  <si>
    <t>medical information first documented refers to Description; disease refers to diagnosis; patient number refers to id</t>
  </si>
  <si>
    <t>ข้อมูลทางการแพทย์ที่จัดทำเอกสารครั้งแรกหมายถึงคำอธิบาย; โรคหมายถึงการวินิจฉัย หมายเลขผู้ป่วยหมายถึงรหัส</t>
  </si>
  <si>
    <t>SELECT `First Date`, Diagnosis FROM Patient WHERE ID = 48473</t>
  </si>
  <si>
    <t>How many female patients were given an APS diagnosis?</t>
  </si>
  <si>
    <t>female refers to SEX = 'F'; APS diagnosis refers to Diagnosis='APS'</t>
  </si>
  <si>
    <t>หญิง หมายถึง SEX = 'F'; การวินิจฉัย APS หมายถึง Diagnosis='APS'</t>
  </si>
  <si>
    <t>SELECT COUNT(ID) FROM Patient WHERE SEX = 'F' AND Diagnosis = 'APS'</t>
  </si>
  <si>
    <t>How many patients who underwent testing in 1997 had protein levels outside the normal range?</t>
  </si>
  <si>
    <t>underwent testing in 1997 refers to YEAR(DATE) = '1997'; protein levels within the normal range refers to tp &gt; 6 and tp &lt; 8.5</t>
  </si>
  <si>
    <t>เข้ารับการทดสอบในปี 1997 หมายถึง YEAR(DATE) = '1997'; ระดับโปรตีนในช่วงปกติหมายถึง tp &gt; 6 และ tp &lt; 8.5</t>
  </si>
  <si>
    <t>SELECT COUNT(ID) FROM Laboratory WHERE (ALB &lt;= 6.0 OR ALB &gt;= 8.5) AND STRFTIME('%Y', Date) = '1997'</t>
  </si>
  <si>
    <t>What proportion of patients who had signs of thrombocytopenia had SLE diagnosed?</t>
  </si>
  <si>
    <t>thrombocytopenia' refers to symptoms; 'SLE' refers to diagnosis; calculation =  DIVIDE(SUM(DIAGNOSIS LIKE '%ITP%'), SUM(DIAGNOSIS LIKE '%SLE%')) MULTIPLY 100</t>
  </si>
  <si>
    <t>ภาวะเกล็ดเลือดต่ำ 'หมายถึงอาการ; 'SLE' หมายถึงการวินิจฉัย การคำนวณ = หาร (SUM (การวินิจฉัยเช่น '% ITP%'), SUM (การวินิจฉัยเช่น '% SLE%')) คูณ 100</t>
  </si>
  <si>
    <t>SELECT CAST(SUM(CASE WHEN Diagnosis = 'SLE' THEN 1 ELSE 0 END) AS REAL) * 100 / COUNT(ID) FROM Examination WHERE Symptoms = 'thrombocytopenia'</t>
  </si>
  <si>
    <t>What percentage of patients who were born in 1980 and were diagnosed with RA are women?</t>
  </si>
  <si>
    <t>born in 1980 refers to YEAR(BIRTHDAY) = '1980'; 'RA' refers to Diagnosis='RA' ; women refers to SEX = 'F'; calculation = DIVIDE(SUM(SEX = 'F'), COUNT(SEX)) * 100</t>
  </si>
  <si>
    <t>เกิดในปี 1980 หมายถึง YEAR(BIRTHDAY) = '1980'; 'RA' หมายถึง การวินิจฉัย='RA' ; ผู้หญิงหมายถึง SEX = 'F'; การคำนวณ = หาร(SUM(SEX = 'F'), นับ(SEX)) * 100</t>
  </si>
  <si>
    <t>SELECT CAST(SUM(CASE WHEN SEX = 'F' THEN 1 ELSE 0 END) AS REAL) * 100 / COUNT(ID) FROM Patient WHERE Diagnosis = 'RA' AND STRFTIME('%Y', Birthday) = '1980'</t>
  </si>
  <si>
    <t>How many male patients who underwent testing between 1995 and 1997 and were subsequently diagnosed with Behcet disease did not stay in the hospital for treatment?</t>
  </si>
  <si>
    <t>male refers to SEX = 'M'; underwent testing between 1995 and 1997 refers to `Examination Date` between '1995' and '1997'; Behcet refers to diagnosis; did not stay in the hospital refers to Admission = '-'</t>
  </si>
  <si>
    <t>ชาย หมายถึง SEX = 'M'; เข้ารับการทดสอบระหว่างปี 1995 ถึง 1997 หมายถึง 'วันสอบ' ระหว่าง '1995' ถึง '1997'; Behcet หมายถึงการวินิจฉัย ไม่ได้พักรักษาตัวในโรงพยาบาล หมายถึง Admission = '-'</t>
  </si>
  <si>
    <t>SELECT COUNT(T1.ID) FROM Patient AS T1 INNER JOIN Examination AS T2 ON T1.ID = T2.ID WHERE T2.Diagnosis = 'Behcet' AND T1.SEX = 'M' AND STRFTIME('%Y', T2.`Examination Date`) BETWEEN '1995' AND '1997' AND T1.Admission = '-'</t>
  </si>
  <si>
    <t>How many patients who were female got white blood cells that were below 3.5?</t>
  </si>
  <si>
    <t>female refers to SEX = 'F'; white blood cells that were below 3.5 refers to WBC &lt; 3.5</t>
  </si>
  <si>
    <t>หญิง หมายถึง SEX = 'F'; เซลล์เม็ดเลือดขาวที่ต่ำกว่า 3.5 หมายถึง WBC &lt; 3.5</t>
  </si>
  <si>
    <t>SELECT COUNT(T1.ID) FROM Patient AS T1 INNER JOIN Laboratory AS T2 ON T1.ID = T2.ID WHERE T2.WBC &lt; 3.5 AND T1.SEX = 'F'</t>
  </si>
  <si>
    <t>How long did it take after patient number 821298 arrived at the hospital for the first time before her evaluation began?</t>
  </si>
  <si>
    <t>DATEDIFF(`Examination Date`, `First Date`)</t>
  </si>
  <si>
    <t>DATEDIFF(`วันสอบ`, `วันแรก`)</t>
  </si>
  <si>
    <t>SELECT STRFTIME('%d', T3.`Examination Date`) - STRFTIME('%d', T1.`First Date`) FROM Patient AS T1 INNER JOIN Examination AS T3 ON T1.ID = T3.ID WHERE T1.ID = 821298</t>
  </si>
  <si>
    <t>Was the patient with the number 57266's uric acid within a normal range?</t>
  </si>
  <si>
    <t>uric acid within a normal range refers to UA &gt; 8.0 and SEX = 'M'OR UA &gt; 6.5 and SEX = 'F'</t>
  </si>
  <si>
    <t>กรดยูริกในช่วงปกติหมายถึง UA &gt; 8.0 และ SEX = 'M'OR UA &gt; 6.5 และ SEX = 'F'</t>
  </si>
  <si>
    <t>SELECT CASE WHEN (T1.SEX = 'F' AND T2.UA &gt; 6.5) OR (T1.SEX = 'M' AND T2.UA &gt; 8.0) THEN true ELSE false END FROM Patient AS T1 INNER JOIN Laboratory AS T2 ON T1.ID = T2.ID WHERE T1.ID = 57266</t>
  </si>
  <si>
    <t>When is the laboratory examination of patient '48473' where his/her AST glutamic oxaloacetic transaminase (GOT) index is above the normal range.</t>
  </si>
  <si>
    <t>AST glutamic oxaloacetic transaminase (GOT) index is above the normal range refers to GOT &gt; = 60; when refers to DATE</t>
  </si>
  <si>
    <t>ดัชนี AST glutamic oxaloacetic transaminase (GOT) อยู่เหนือช่วงปกติ หมายถึง GOT &gt; = 60; เมื่อหมายถึง DATE</t>
  </si>
  <si>
    <t>SELECT Date FROM Laboratory WHERE ID = 48473 AND GOT &gt;= 60</t>
  </si>
  <si>
    <t>List all patients with their sex and date of birthday, whose AST glutamic oxaloacetic transaminase (GOT) index is within normal range for loboratory examination in 1994.</t>
  </si>
  <si>
    <t>AST glutamic oxaloacetic transaminase (GOT) index is within normal range refers to GOT &lt; 60; examination in 1994 refers to year(Date) = 1994</t>
  </si>
  <si>
    <t>ดัชนี AST glutamic oxaloacetic transaminase (GOT) อยู่ในช่วงปกติหมายถึง GOT &lt; 60; การสอบในปี พ.ศ. 2537 หมายถึง ปี (วันที่) = พ.ศ. 2537</t>
  </si>
  <si>
    <t>SELECT DISTINCT T1.SEX, T1.Birthday FROM Patient AS T1 INNER JOIN Laboratory AS T2 ON T1.ID = T2.ID WHERE T2.GOT &lt; 60 AND STRFTIME('%Y', T2.Date) = '1994'</t>
  </si>
  <si>
    <t>Provide IDs for male patients with ALT glutamic pylvic transaminase (GPT) that have history of ALT glutamic pylvic transaminase (GPT) exceed the normal range.</t>
  </si>
  <si>
    <t>male refers to SEX = 'M'; ALT glutamic pylvic transaminase (GPT) exceed the normal range refers to GPT &gt; = 60</t>
  </si>
  <si>
    <t>ชาย หมายถึง SEX = 'M'; ALT glutamic pylvic transaminase (GPT) เกินช่วงปกติหมายถึง GPT &gt; = 60</t>
  </si>
  <si>
    <t>SELECT DISTINCT T1.ID FROM Patient AS T1 INNER JOIN Laboratory AS T2 ON T1.ID = T2.ID WHERE T1.SEX = 'M' AND T2.GPT &gt;= 60</t>
  </si>
  <si>
    <t>Please provide the diagnosis of patients with ALT glutamic pylvic transaminase beyond the normal range by ascending order of their date of birth.</t>
  </si>
  <si>
    <t xml:space="preserve">ALT glutamic pylvic transaminase beyond the normal range refers to GPT &gt; 60; The larger the birthday value, the younger the person is, and vice versa; </t>
  </si>
  <si>
    <t xml:space="preserve">ALT glutamic pylvic transaminase เกินช่วงปกติหมายถึง GPT &gt; 60; ยิ่งค่าวันเกิดมีค่ามาก บุคคลนั้นจะอายุน้อยกว่า และในทางกลับกัน </t>
  </si>
  <si>
    <t>SELECT DISTINCT T1.Diagnosis FROM Patient AS T1 INNER JOIN Laboratory AS T2 ON T1.ID = T2.ID WHERE T2.GPT &gt; 60 ORDER BY T1.Birthday ASC</t>
  </si>
  <si>
    <t>What is the average index of the lactate dehydrogenase (LDH) for all patients with lactate dehydrogenase (LDH) within the normal range.</t>
  </si>
  <si>
    <t>average index of the lactate dehydrogenase (LDH) refers to AVG(LDH); (LDH) within the normal range refers to LDH &lt; 500</t>
  </si>
  <si>
    <t>ดัชนีเฉลี่ยของแลคเตตดีไฮโดรจีเนส (LDH) หมายถึง AVG (LDH); (LDH) ภายในช่วงปกติหมายถึง LDH &lt; 500</t>
  </si>
  <si>
    <t>SELECT AVG(LDH) FROM Laboratory WHERE LDH &lt; 500</t>
  </si>
  <si>
    <t>Provide the ID and age of patient with lactate dehydrogenase (LDH) between 100-300 index above the normal range.</t>
  </si>
  <si>
    <t>age refers to SUBTRACT(year(current_timestamp), year(Birthday)); lactate dehydrogenase (LDH) between 100-300 index above the normal range refers to LDH between 600 and 800;</t>
  </si>
  <si>
    <t>อายุ หมายถึง SUBTRACT(ปี(current_timestamp), ปี(วันเกิด)); แลคเตตดีไฮโดรจีเนส (LDH) ระหว่าง 100-300 ดัชนีเหนือช่วงปกติหมายถึง LDH ระหว่าง 600 ถึง 800;</t>
  </si>
  <si>
    <t>SELECT DISTINCT T1.ID, STRFTIME('%Y', CURRENT_TIMESTAMP) - STRFTIME('%Y', T1.Birthday) FROM Patient AS T1 INNER JOIN Laboratory AS T2 ON T1.ID = T2.ID WHERE T2.LDH &gt; 600 AND T2.LDH &lt; 800</t>
  </si>
  <si>
    <t>For patients with alkaliphophatase (ALP) within normal range, were they treated as inpatient or outpatient?</t>
  </si>
  <si>
    <t>alkaliphophatase (ALP) within normal range refers to ALP &lt; 300; inpatient refers to admission = '+'; outpatient refers to admission = '-'</t>
  </si>
  <si>
    <t>อัลคาไลโฟฟาเตส (ALP) ภายในช่วงปกติหมายถึง ALP &lt; 300; ผู้ป่วยในหมายถึงการรับเข้า = '+'; ผู้ป่วยนอก หมายถึง การรับเข้า = '-'</t>
  </si>
  <si>
    <t>SELECT T1.Admission FROM Patient AS T1 INNER JOIN Laboratory AS T2 ON T1.ID = T2.ID WHERE T2.ALP &lt; 300</t>
  </si>
  <si>
    <t>Name the ID of the patient who is born on the April 1st, 1982. Is his/her alkaliphophatase (ALP) within normal range?</t>
  </si>
  <si>
    <t>alkaliphophatase (ALP) within normal range refers to ALP &lt; 300</t>
  </si>
  <si>
    <t>อัลคาไลโฟฟาเตส (ALP) ภายในช่วงปกติหมายถึง ALP &lt; 300</t>
  </si>
  <si>
    <t>SELECT T1.ID , CASE WHEN T2.ALP &lt; 300 THEN 'normal' ELSE 'abNormal' END FROM Patient AS T1 INNER JOIN Laboratory AS T2 ON T1.ID = T2.ID WHERE T1.Birthday = '1982-04-01'</t>
  </si>
  <si>
    <t>List ID, sex and date of birth of patient whose total protein (TP) below the lower range of the normal index.</t>
  </si>
  <si>
    <t>total protein (TP) below the lower range of the normal index refers to TP &lt; 6.0</t>
  </si>
  <si>
    <t>โปรตีนทั้งหมด (TP) ต่ำกว่าช่วงล่างของดัชนีปกติหมายถึง TP &lt; 6.0</t>
  </si>
  <si>
    <t>SELECT DISTINCT T1.ID, T1.SEX, T1.Birthday FROM Patient AS T1 INNER JOIN Laboratory AS T2 ON T1.ID = T2.ID WHERE T2.TP &lt; 6.0</t>
  </si>
  <si>
    <t>For all female patient with total protein (TP) beyond the normal index, what is the deviation of their TP idex from the normal.</t>
  </si>
  <si>
    <t>female refers to SEX = 'F'; total protein (TP) beyond the normal index refers to TP &gt; 8.5; deviation of TP index from normal refers to SUBTRACT(TP, 8.5)</t>
  </si>
  <si>
    <t>หญิง หมายถึง SEX = 'F'; โปรตีนทั้งหมด (TP) เกินกว่าดัชนีปกติหมายถึง TP &gt; 8.5; ส่วนเบี่ยงเบนของดัชนี TP จากปกติหมายถึง SUBTRACT(TP, 8.5)</t>
  </si>
  <si>
    <t>SELECT T2.TP - 8.5 FROM Patient AS T1 INNER JOIN Laboratory AS T2 ON T1.ID = T2.ID WHERE T1.SEX = 'F' AND T2.TP &gt; 8.5</t>
  </si>
  <si>
    <t>Sort in descending order all patients by birthday for male patient with albumin not within range.</t>
  </si>
  <si>
    <t>male = SEX = 'M'; albumin not within range refers to ALB &lt; = 3.5 or ALB &gt; = 5.5</t>
  </si>
  <si>
    <t>ชาย = เพศ = 'ม'; อัลบูมินไม่อยู่ในช่วงหมายถึง ALB &lt; = 3.5 หรือ ALB &gt; = 5.5</t>
  </si>
  <si>
    <t>SELECT DISTINCT T1.ID FROM Patient AS T1 INNER JOIN Laboratory AS T2 ON T1.ID = T2.ID WHERE T1.SEX = 'M' AND (T2.ALB &lt;= 3.5 OR T2.ALB &gt;= 5.5) ORDER BY T1.Birthday DESC</t>
  </si>
  <si>
    <t>For all patient born in 1982, state if their albumin is within normal range.</t>
  </si>
  <si>
    <t>Year(Birthday) = '1982'; albumin is within normal range refers to ALB between 3.5 and 5.5</t>
  </si>
  <si>
    <t>ปี(วันเกิด) = '1982'; อัลบูมินอยู่ในช่วงปกติหมายถึง ALB ระหว่าง 3.5 ถึง 5.5</t>
  </si>
  <si>
    <t>SELECT CASE WHEN T2.ALB &gt;= 3.5 AND T2.ALB &lt;= 5.5 THEN 'normal' ELSE 'abnormal' END FROM Patient AS T1 INNER JOIN Laboratory AS T2 ON T1.ID = T2.ID WHERE STRFTIME('%Y', T1.Birthday) = '1982'</t>
  </si>
  <si>
    <t>What is the percentage of the female patient whose uric acid (UA) beyond the normal range?</t>
  </si>
  <si>
    <t>uric acid (UA) beyond the normal range refers to UA &gt; 8.0 and SEX = 'M' or UA &gt; 6.5 and SEX = 'F'; female refers to Sex = 'F'</t>
  </si>
  <si>
    <t>กรดยูริก (UA) เกินช่วงปกติหมายถึง UA &gt; 8.0 และ SEX = 'M' หรือ UA &gt; 6.5 และ SEX = 'F'; หญิงหมายถึงเพศ = 'F'</t>
  </si>
  <si>
    <t>SELECT CAST(SUM(CASE WHEN T2.UA &gt; 6.5 THEN 1 ELSE 0 END) AS REAL) * 100 / COUNT(T1.ID) FROM Patient AS T1 INNER JOIN Laboratory AS T2 ON T1.ID = T2.ID WHERE T1.SEX = 'F'</t>
  </si>
  <si>
    <t>For all patients with normal uric acid (UA), what is the average UA index based on their latest laboratory examination result?</t>
  </si>
  <si>
    <t>uric acid (UA) with normal range refers to UA &lt; 8.0 and SEX = 'M' or UA &lt; 6.5 and SEX = 'F'; average UA index refers to AVG(UA)</t>
  </si>
  <si>
    <t>กรดยูริก (UA) ที่มีช่วงปกติหมายถึง UA &lt; 8.0 และ SEX = 'M' หรือ UA &lt; 6.5 และ SEX = 'F'; ดัชนี UA เฉลี่ยอ้างอิงถึง AVG(UA)</t>
  </si>
  <si>
    <t>SELECT AVG(T2.UA) FROM Patient AS T1 INNER JOIN Laboratory AS T2 ON T1.ID = T2.ID WHERE (T2.UA &lt; 6.5 AND T1.SEX = 'F') OR (T2.UA &lt; 8.0 AND T1.SEX = 'M') AND T2.Date = ( SELECT MAX(Date) FROM Laboratory )</t>
  </si>
  <si>
    <t>Provide all ID, sex and birthday of patients whose urea nitrogen (UN) just within the borderline of passing?</t>
  </si>
  <si>
    <t>urea nitrogen (UN) just within the borderline of passing refers to UN = 29;</t>
  </si>
  <si>
    <t>ยูเรียไนโตรเจน (UN) ภายในขอบเขตของการผ่านหมายถึง UN = 29;</t>
  </si>
  <si>
    <t>SELECT DISTINCT T1.ID, T1.SEX, T1.Birthday FROM Patient AS T1 INNER JOIN Laboratory AS T2 ON T1.ID = T2.ID WHERE T2.UN = 29</t>
  </si>
  <si>
    <t>Provide the ID, sex, birthday of all patients diagnosed with 'RA' that are within the UN normal index.</t>
  </si>
  <si>
    <t>within the UN normal index refers to UN &lt; 30; Diagnosis = 'RA'</t>
  </si>
  <si>
    <t>ภายในดัชนีปกติของสหประชาชาติหมายถึง UN &lt; 30; การวินิจฉัย = 'RA'</t>
  </si>
  <si>
    <t>SELECT DISTINCT T1.ID, T1.SEX, T1.Birthday FROM Patient AS T1 INNER JOIN Laboratory AS T2 ON T1.ID = T2.ID WHERE T2.UN &lt; 30 AND T1.Diagnosis = 'RA'</t>
  </si>
  <si>
    <t>How many male patients are are with creatinine index out of the normal range?</t>
  </si>
  <si>
    <t>creatinine (CRE) out of the normal range refers to CRE &gt; = 1.5; Male refers to Sex = 'M'</t>
  </si>
  <si>
    <t>creatinine (CRE) อยู่นอกช่วงปกติหมายถึง CRE &gt; = 1.5; ชายหมายถึงเพศ = 'M'</t>
  </si>
  <si>
    <t>SELECT COUNT(T1.ID) FROM Patient AS T1 INNER JOIN Laboratory AS T2 ON T1.ID = T2.ID WHERE T2.CRE &gt;= 1.5 AND T1.SEX = 'M'</t>
  </si>
  <si>
    <t>Are there more male patients with creatinine not within the normal range than female? True or False?</t>
  </si>
  <si>
    <t>creatinine (CRE) not within the normal range refers to CRE &gt; = 1.5; male refers to Sex = 'M'; female refers to Sex = 'F'; calculation = (SUM(SEX = 'M') &gt; SUM(SEX = 'F')) where CRE &gt; = 1.5</t>
  </si>
  <si>
    <t>creatinine (CRE) ไม่อยู่ในช่วงปกติ หมายถึง CRE &gt; = 1.5; ชายหมายถึงเพศ = 'M'; หญิงหมายถึงเพศ = 'F'; การคำนวณ = (SUM(SEX = 'M') &gt; SUM(SEX = 'F')) โดยที่ CRE &gt; = 1.5</t>
  </si>
  <si>
    <t>SELECT CASE WHEN SUM(CASE WHEN T1.SEX = 'M' THEN 1 ELSE 0 END) &gt; SUM(CASE WHEN T1.SEX = 'F' THEN 1 ELSE 0 END) THEN 'True' ELSE 'False' END FROM Patient AS T1 INNER JOIN Laboratory AS T2 ON T1.ID = T2.ID WHERE T2.CRE &gt;= 1.5</t>
  </si>
  <si>
    <t>What is the highest total bilirubin level recorded? List out the patient details with ID, sex and birthday with that index.</t>
  </si>
  <si>
    <t>the highest total bilirubin refers to MAX(T-BIL)</t>
  </si>
  <si>
    <t>บิลิรูบินรวมสูงสุดหมายถึง MAX(T-BIL)</t>
  </si>
  <si>
    <t>SELECT T2.`T-BIL`, T1.ID, T1.SEX, T1.Birthday FROM Patient AS T1 INNER JOIN Laboratory AS T2 ON T1.ID = T2.ID ORDER BY T2.`T-BIL` DESC LIMIT 1</t>
  </si>
  <si>
    <t>List and group all patients by sex for total bilirubin (T-BIL) level not within the normal range.</t>
  </si>
  <si>
    <t>List refers to GROUP_CONCAT(DISTINCT ID); total bilirubin (T-BIL) not within normal range refers to T-BIL &gt; = 2.0</t>
  </si>
  <si>
    <t>รายการอ้างถึง GROUP_CONCAT (DISTINCT ID); บิลิรูบินรวม (T-BIL) ที่ไม่อยู่ในช่วงปกติ หมายถึง T-BIL &gt; = 2.0</t>
  </si>
  <si>
    <t>SELECT T1.ID,T1.SEX FROM Patient AS T1 INNER JOIN Laboratory AS T2 ON T1.ID = T2.ID WHERE T2.`T-BIL` &gt;= 2.0 GROUP BY T1.SEX,T1.ID</t>
  </si>
  <si>
    <t>Who is the oldest patient with the highest total cholesterol (T-CHO). State the patient ID and T-CHO index.</t>
  </si>
  <si>
    <t>oldest patient refers to MIN(birthday); highest total cholesterol refers to MAX(T-CHO);</t>
  </si>
  <si>
    <t>ผู้ป่วยที่อายุมากที่สุดหมายถึง MIN (วันเกิด); คอเลสเตอรอลรวมสูงสุดหมายถึง MAX(T-CHO);</t>
  </si>
  <si>
    <t>SELECT T1.ID, T2.`T-CHO` FROM Patient AS T1 INNER JOIN Laboratory AS T2 ON T1.ID = T2.ID ORDER BY T2.`T-CHO` DESC, T1.Birthday ASC LIMIT 1</t>
  </si>
  <si>
    <t>What is the average age of the male patient with high cholesterol?</t>
  </si>
  <si>
    <t>average age = DIVIDE(SUM(SUBTRACT(YEAR(NOW()), YEAR(birthday))), COUNT(ID)); male patient refers to sex = 'M'; high cholesterol refers to `T-CHO` &gt; = 250;</t>
  </si>
  <si>
    <t>อายุเฉลี่ย = DIVIDE(SUM(SUBTRACT(YEAR(NOW()), YEAR(birthday))), COUNT(ID)); ผู้ป่วยชายหมายถึงเพศ = 'M'; คอเลสเตอรอลสูงหมายถึง `T-CHO` &gt; = 250;</t>
  </si>
  <si>
    <t>SELECT AVG(STRFTIME('%Y', date('NOW')) - STRFTIME('%Y', T1.Birthday)) FROM Patient AS T1 INNER JOIN Laboratory AS T2 ON T1.ID = T2.ID WHERE T2.`T-CHO` &gt;= 250 AND T1.SEX = 'M'</t>
  </si>
  <si>
    <t>Provide list of patients and their diagnosis with triglyceride (TG) index greater than 100 of the normal range?</t>
  </si>
  <si>
    <t>triglyceride (TG) index greater than 100 of the normal range refers to TG &gt; 300;</t>
  </si>
  <si>
    <t>ดัชนีไตรกลีเซอไรด์ (TG) มากกว่า 100 ของช่วงปกติหมายถึง TG &gt; 300;</t>
  </si>
  <si>
    <t>SELECT T1.ID, T1.Diagnosis FROM Patient AS T1 INNER JOIN Laboratory AS T2 ON T1.ID = T2.ID WHERE T2.TG &gt; 300</t>
  </si>
  <si>
    <t>For all patients with triglyceride (TG) level beyond the normal range, how many are age more than 50 years?</t>
  </si>
  <si>
    <t>triglyceride (TG) level beyond the normal range refers to TG &gt; = 200; more than 50 years of age = SUBTRACT(year(current_timestamp), year(Birthday)) &gt; 50; Should consider DISTINCT in the final result;</t>
  </si>
  <si>
    <t>ระดับไตรกลีเซอไรด์ (TG) เกินช่วงปกติหมายถึง TG &gt; = 200; อายุมากกว่า 50 ปี = SUBTRACT(ปี(current_timestamp), ปี(วันเกิด)) &gt; 50; ควรพิจารณา DISTINCT ในผลลัพธ์สุดท้าย</t>
  </si>
  <si>
    <t>SELECT COUNT(DISTINCT T1.ID) FROM Patient AS T1 INNER JOIN Laboratory AS T2 ON T1.ID = T2.ID WHERE T2.TG &gt;= 200 AND STRFTIME('%Y', CURRENT_TIMESTAMP) - STRFTIME('%Y', T1.Birthday) &gt; 50</t>
  </si>
  <si>
    <t>List all outpatient within normal range of creatinine phosphokinase. Give me the distinct ids.</t>
  </si>
  <si>
    <t>outpatient refers to Admission = '-'; normal range of creatinine phosphokinase refers to CPK &lt; 250;</t>
  </si>
  <si>
    <t>ผู้ป่วยนอกหมายถึง Admission = '-'; ช่วงปกติของ creatinine phosphokinase หมายถึง CPK &lt;250;</t>
  </si>
  <si>
    <t>SELECT DISTINCT T1.ID FROM Patient AS T1 INNER JOIN Laboratory AS T2 ON T1.ID = T2.ID WHERE T2.CPK &lt; 250 AND T1.Admission = '-'</t>
  </si>
  <si>
    <t>For patient born between 1936-1956, how many male patients have creatinine phosphokinase beyond the normal range?</t>
  </si>
  <si>
    <t>born between 1936-1956 refers to year(Birthday) BETWEEN '1936' AND '1956'; male patients refers to sex = 'M'; creatinine phosphokinase beyond the normal range refers to CPK &gt; = 250; Should consider DISTINCT in the final result;</t>
  </si>
  <si>
    <t>เกิดระหว่าง พ.ศ. 2479-2499 หมายถึง ปี (วันเกิด) ระหว่าง '1936' และ '1956'; ผู้ป่วยชายหมายถึงเพศ = 'M'; creatinine phosphokinase เกินช่วงปกติหมายถึง CPK &gt; = 250; ควรพิจารณา DISTINCT ในผลลัพธ์สุดท้าย</t>
  </si>
  <si>
    <t>SELECT COUNT(DISTINCT T1.ID) FROM Patient AS T1 INNER JOIN Laboratory AS T2 ON T1.ID = T2.ID WHERE STRFTIME('%Y', T1.Birthday) BETWEEN '1936' AND '1956' AND T1.SEX = 'M' AND T2.CPK &gt;= 250</t>
  </si>
  <si>
    <t>Provide ID, sex and age of patient who has blood glucose (GLU) not within normal range but with total cholesterol(T-CHO) within normal range.</t>
  </si>
  <si>
    <t xml:space="preserve">age = SUBTRACT(year(current_timestamp), year(Birthday)); blood glucose (GLU) not within normal range refers to GLU &gt; = 180; total cholesterol(T-CHO) within normal range refers to `T-CHO` &lt; 250; </t>
  </si>
  <si>
    <t xml:space="preserve">อายุ = SUBTRACT (ปี (current_timestamp), ปี (วันเกิด)); ระดับน้ำตาลในเลือด (GLU) ไม่อยู่ในช่วงปกติ หมายถึง GLU &gt; = 180; คอเลสเตอรอลรวม (T-CHO) ภายในช่วงปกติหมายถึง `T-CHO` &lt; 250; </t>
  </si>
  <si>
    <t>SELECT DISTINCT T1.ID, T1.SEX , STRFTIME('%Y', CURRENT_TIMESTAMP) - STRFTIME('%Y', T1.Birthday) FROM Patient AS T1 INNER JOIN Laboratory AS T2 ON T1.ID = T2.ID WHERE T2.GLU &gt;= 180 AND T2.`T-CHO` &lt; 250</t>
  </si>
  <si>
    <t>List each patient's ID and blood glucose (GLU) index that were within normal range for patient's whose data was first recorded in 1991.</t>
  </si>
  <si>
    <t>blood glucose (GLU) index that were within normal range refers to GLU &lt; 180; data that was first recorded in 1991 refers to year(Description) = 1991;</t>
  </si>
  <si>
    <t>ดัชนีน้ำตาลในเลือด (GLU) ที่อยู่ในช่วงปกติหมายถึง GLU &lt; 180; ข้อมูลที่บันทึกครั้งแรกในปี 1991 หมายถึง ปี(คำอธิบาย) = 1991;</t>
  </si>
  <si>
    <t>SELECT DISTINCT T1.ID, T2.GLU FROM Patient AS T1 INNER JOIN Laboratory AS T2 ON T1.ID = T2.ID WHERE STRFTIME('%Y', T1.`First Date`) = '1991' AND T2.GLU &lt; 180</t>
  </si>
  <si>
    <t>List the patient ID, sex and birthday who has abnormal white blood cell count. Group them by sex and list the patient by age in ascending order.</t>
  </si>
  <si>
    <t>abnormal white blood cell count refers to WBC &lt; = 3.5 or WBC &gt; = 9.0;</t>
  </si>
  <si>
    <t>จำนวนเม็ดเลือดขาวผิดปกติ หมายถึง WBC &lt; = 3.5 หรือ WBC &gt; = 9.0;</t>
  </si>
  <si>
    <t>SELECT DISTINCT T1.ID, T1.SEX, T1.Birthday FROM Patient AS T1 INNER JOIN Laboratory AS T2 ON T1.ID = T2.ID WHERE T2.WBC &lt;= 3.5 OR T2.WBC &gt;= 9.0 GROUP BY T1.SEX,T1.ID ORDER BY T1.Birthday ASC</t>
  </si>
  <si>
    <t>What are the patient's diagnosis for those who has lower red blood blood cell? State their ID and age.</t>
  </si>
  <si>
    <t xml:space="preserve">patient's diagnosis refers to Diagnosis; lower red blood cell refers to RBC &lt; 3.5; age = SUBTRACT(year(current_timestamp), year(Birthday)); </t>
  </si>
  <si>
    <t xml:space="preserve">การวินิจฉัยผู้ป่วยหมายถึงการวินิจฉัย เซลล์เม็ดเลือดแดงล่างหมายถึง RBC &lt;3.5; อายุ = SUBTRACT (ปี (current_timestamp), ปี (วันเกิด)); </t>
  </si>
  <si>
    <t>SELECT DISTINCT T1.Diagnosis, T1.ID , STRFTIME('%Y', CURRENT_TIMESTAMP) -STRFTIME('%Y', T1.Birthday) FROM Patient AS T1 INNER JOIN Laboratory AS T2 ON T1.ID = T2.ID WHERE T2.RBC &lt; 3.5</t>
  </si>
  <si>
    <t>For all the female patient age 50 and above, who has abnormal red blood cell count. State if they were admitted to hospital.</t>
  </si>
  <si>
    <t>female patient refers to Sex = 'F'; age 50 and above = SUBTRACT(year(current_timestamp), year(Birthday)) &gt; = 50; abnormal red blood cell count refers to RBC &lt; = 3.5 or RBC &gt; = 6.0; Admission = '+' means the patient was admitted to the hospital; Admission = '-' means the patient was not admitted to the hospital;</t>
  </si>
  <si>
    <t>ผู้ป่วยหญิงหมายถึงเพศ = 'F'; อายุ 50 ปีขึ้นไป = SUBTRACT(ปี(current_timestamp), ปี(วันเกิด)) &gt; = 50; จำนวนเม็ดเลือดแดงผิดปกติหมายถึง RBC &lt; = 3.5 หรือ RBC &gt; = 6.0; Admission = '+' หมายถึง ผู้ป่วยเข้ารับการรักษาในโรงพยาบาล Admission = '-' หมายถึงผู้ป่วยไม่ได้เข้ารับการรักษาในโรงพยาบาล</t>
  </si>
  <si>
    <t>SELECT DISTINCT T1.ID, T1.Admission FROM Patient AS T1 INNER JOIN Laboratory AS T2 ON T1.ID = T2.ID WHERE T1.SEX = 'F' AND (T2.RBC &lt;= 3.5 OR T2.RBC &gt;= 6.0) AND STRFTIME('%Y', CURRENT_TIMESTAMP) - STRFTIME('%Y', T1.Birthday) &gt;= 50</t>
  </si>
  <si>
    <t>Among all outpatients, list out those have low hemoglobin level. State the different IDs and their sex.</t>
  </si>
  <si>
    <t>outpatients refers to Admission = '-'; low hemoglobin level refers to HBG &lt; 10;</t>
  </si>
  <si>
    <t>ผู้ป่วยนอกหมายถึง Admission = '-'; ระดับฮีโมโกลบินต่ำหมายถึง HBG &lt;10;</t>
  </si>
  <si>
    <t>SELECT DISTINCT T1.ID, T1.SEX FROM Patient AS T1 INNER JOIN Laboratory AS T2 ON T1.ID = T2.ID WHERE T2.HGB &lt; 10 AND T1.Admission = '-'</t>
  </si>
  <si>
    <t>Among the patients who were diagnosed with SLE, who is the oldest with normal hemoglobin level. Provide the ID and sex.</t>
  </si>
  <si>
    <t>diagnosed with SLE refers to Diagnosis = 'SLE'; The larger the birthday value, the younger the person is, and vice versa; normal hemoglobin level refers to 10 &lt; HGB &lt; 17;</t>
  </si>
  <si>
    <t>ที่ได้รับการวินิจฉัยว่าเป็นโรค SLE หมายถึง การวินิจฉัย = 'SLE'; ยิ่งค่าวันเกิดมีค่ามาก บุคคลนั้นจะอายุน้อยกว่า และในทางกลับกัน ระดับฮีโมโกลบินปกติหมายถึง 10 &lt; HGB &lt; 17;</t>
  </si>
  <si>
    <t>SELECT T1.ID, T1.SEX FROM Patient AS T1 INNER JOIN Laboratory AS T2 ON T1.ID = T2.ID WHERE T1.Diagnosis = 'SLE' AND T2.HGB &gt; 10 AND T2.HGB &lt; 17 ORDER BY T1.Birthday ASC LIMIT 1</t>
  </si>
  <si>
    <t>Name the ID and age of patient with two or more laboratory examinations which show their hematoclit level exceeded the normal range.</t>
  </si>
  <si>
    <t>age = SUBTRACT(year(current_timestamp), year(Birthday)); patient with two or more laboratory examinations refers to COUNT(ID) &gt; 2; hematoclit level exceeded the normal range refers to HCT &gt; = 52;</t>
  </si>
  <si>
    <t>อายุ = SUBTRACT (ปี (current_timestamp), ปี (วันเกิด)); ผู้ป่วยที่มีการตรวจทางห้องปฏิบัติการสองครั้งขึ้นไป หมายถึง COUNT(ID) &gt; 2; ระดับฮีมาโตคลิตเกินช่วงปกติหมายถึง HCT &gt; = 52;</t>
  </si>
  <si>
    <t>SELECT DISTINCT T1.ID, STRFTIME('%Y', CURRENT_TIMESTAMP) - STRFTIME('%Y', T1.Birthday) FROM Patient AS T1 INNER JOIN Laboratory AS T2 ON T1.ID = T2.ID WHERE T1.ID IN ( SELECT ID FROM Laboratory WHERE HCT &gt;= 52 GROUP BY ID HAVING COUNT(ID) &gt;= 2 )</t>
  </si>
  <si>
    <t>From laboratory examinations in 1991, what is the average hematoclit level that is lower than the normal range.</t>
  </si>
  <si>
    <t>laboratory examinations in 1991 refers to Date like '1991%'; average hematoclit level = AVG(HCT); hematoclit level that is lower than the normal range refers to HCT &lt; 29;</t>
  </si>
  <si>
    <t>การตรวจทางห้องปฏิบัติการในปี 1991 หมายถึงวันที่เช่น '1991%'; ระดับฮีมาโตคลิตเฉลี่ย = AVG(HCT); ระดับฮีมาโตคลิตที่ต่ำกว่าช่วงปกติหมายถึง HCT &lt; 29;</t>
  </si>
  <si>
    <t>SELECT AVG(T2.HCT) FROM Patient AS T1 INNER JOIN Laboratory AS T2 ON T1.ID = T2.ID WHERE T2.HCT &lt; 29 AND STRFTIME('%Y', T2.Date) = '1991'</t>
  </si>
  <si>
    <t>For patients with abnormal platelet level, state the number of patients with lower than normal range. How is it compare to the number of patients with higher than normal range?</t>
  </si>
  <si>
    <t>abnormal platelet level refers to PLT &lt;= 100 or PLT &gt;= 400; platelet level lower than normal range refers to PLT &lt; 100; calculation = SUBTRACT(SUM(PLT &lt; 100), SUM(PLT &gt; 400)); platelet level higher than normal range refers to PLT &gt; 400;</t>
  </si>
  <si>
    <t>ระดับเกล็ดเลือดผิดปกติหมายถึง PLT &lt;= 100 หรือ PLT &gt;= 400; ระดับเกล็ดเลือดต่ำกว่าช่วงปกติหมายถึง PLT &lt; 100; การคำนวณ = ลบ (SUM (PLT &lt; 100), SUM (PLT &gt; 400)); ระดับเกล็ดเลือดสูงกว่าช่วงปกติหมายถึง PLT &gt; 400;</t>
  </si>
  <si>
    <t>SELECT SUM(CASE WHEN T2.PLT &lt;= 100 THEN 1 ELSE 0 END) - SUM(CASE WHEN T2.PLT &gt;= 400 THEN 1 ELSE 0 END) FROM Patient AS T1 INNER JOIN Laboratory AS T2 ON T1.ID = T2.ID</t>
  </si>
  <si>
    <t>For laboratory examinations take in 1984, list all patients below 50 years old with normal platelet level.</t>
  </si>
  <si>
    <t xml:space="preserve">laboratory examinations take in 1984 refers to YEAR(Date) = '1984'; below 50 years old = SUBTRACT(year(current_timestamp), year(Birthday)) &lt; 50; normal platelet level refers to PLT between 100 and 400; </t>
  </si>
  <si>
    <t xml:space="preserve">การตรวจทางห้องปฏิบัติการใช้เวลาในปี 1984 หมายถึง YEAR(Date) = '1984'; อายุต่ำกว่า 50 ปี = SUBTRACT(ปี(current_timestamp), ปี(วันเกิด)) &lt; 50; ระดับเกล็ดเลือดปกติหมายถึง PLT ระหว่าง 100 ถึง 400 </t>
  </si>
  <si>
    <t>SELECT DISTINCT T1.ID FROM Patient AS T1 INNER JOIN Laboratory AS T2 ON T1.ID = T2.ID WHERE T2.PLT BETWEEN 100 AND 400 AND STRFTIME('%Y', T2.Date) - STRFTIME('%Y', T1.Birthday) &lt; 50 AND STRFTIME('%Y', T2.Date) = '1984'</t>
  </si>
  <si>
    <t>For all patients who are older than 55 years old, what is the percentage of female who has abnormal prothrombin time (PT)?</t>
  </si>
  <si>
    <t xml:space="preserve">older than 55 years old = SUBTRACT(year(current_timestamp), year(Birthday)) &gt; 55; abnormal prothrombin time (PT) refers to PT &gt; = 14; percentage = DIVIDE(SUM(PT &gt; = 14 AND SEX = 'F'), SUM(PT &gt; = 14)) * 100; female refers to sex = 'F'; </t>
  </si>
  <si>
    <t xml:space="preserve">อายุมากกว่า 55 ปี = SUBTRACT(ปี(current_timestamp), ปี(วันเกิด)) &gt; 55; เวลา prothrombin ผิดปกติ (PT) หมายถึง PT &gt; = 14; เปอร์เซ็นต์ = หาร(SUM(PT &gt; = 14 AND SEX = 'F'), SUM(PT &gt; = 14)) * 100; หญิงหมายถึงเพศ = 'F'; </t>
  </si>
  <si>
    <t>SELECT CAST(SUM(CASE WHEN T2.PT &gt;= 14 AND T1.SEX = 'F' THEN 1 ELSE 0 END) AS REAL) * 100 / COUNT(*) FROM Patient AS T1 INNER JOIN Laboratory AS T2 ON T1.ID = T2.ID WHERE STRFTIME('%Y', CURRENT_TIMESTAMP) - STRFTIME('%Y', T1.Birthday) &gt; 55</t>
  </si>
  <si>
    <t>List all patients who first came to the hospital after year 1992 with prothrombin time (PT) level that are normal.</t>
  </si>
  <si>
    <t>first came to the hospital after year 1992 refers to year(`First Date`) &gt; 1992; prothrombin time (PT) level that are normal refers to PT &lt; 14;</t>
  </si>
  <si>
    <t>มาโรงพยาบาลครั้งแรกหลังจากปี 2535 หมายถึง ปี(`วันแรก`) &gt; 1992; ระดับ prothrombin time (PT) ที่เป็นปกติหมายถึง PT &lt;14;</t>
  </si>
  <si>
    <t>SELECT T1.ID FROM Patient AS T1 INNER JOIN Laboratory AS T2 ON T1.ID = T2.ID WHERE STRFTIME('%Y', T1.`First Date`) &gt; '1992' AND T2.PT &lt; 14</t>
  </si>
  <si>
    <t>For the examinations done after 1997/1/1, how many of them have the result of an inactivated partial prothrom bin time?</t>
  </si>
  <si>
    <t>examinations done after 1997/1/1 refers to `Examination Date` &gt; '1997-01-01'; normal activated partial prothrom bin time refesr to APTT &lt; 45;</t>
  </si>
  <si>
    <t>การสอบที่ทำหลังวันที่ 1/1/1997 อ้างถึง `วันสอบ` &gt; '1997-01-01'; เวลาถัง prothrom บางส่วนที่เปิดใช้งานตามปกติอ้างอิงถึง APTT &lt;45;</t>
  </si>
  <si>
    <t>SELECT COUNT(T1.ID) FROM Patient AS T1 INNER JOIN Laboratory AS T2 ON T1.ID = T2.ID WHERE T2.Date &gt; '1997-01-01' AND T2.APTT &gt;= 45</t>
  </si>
  <si>
    <t>For the patients with an abnormal activated partial prothrom bin time, how many of them does not have thrombosis?</t>
  </si>
  <si>
    <t>abnormal activated partial prothrom bin time refers to APTT &gt; 45; does not have thrombosis refers to Thrombosis = 0; Only count ones without repetitive.</t>
  </si>
  <si>
    <t>เวลาถัง prothrom บางส่วนที่ทำงานผิดปกติอ้างอิงถึง APTT &gt; 45; ไม่มีการเกิดลิ่มเลือดหมายถึงการเกิดลิ่มเลือด = 0; นับเฉพาะอันที่ไม่ซ้ำกัน</t>
  </si>
  <si>
    <t>SELECT COUNT(DISTINCT T1.ID) FROM Patient AS T1 INNER JOIN Laboratory AS T2 ON T1.ID = T2.ID INNER JOIN Examination AS T3 ON T3.ID = T2.ID WHERE T3.Thrombosis = 0 AND T2.APTT &gt; 45</t>
  </si>
  <si>
    <t>Among the male patients who have a normal level of white blood cells, how many of them have an abnormal fibrinogen level?</t>
  </si>
  <si>
    <t>male patients refers to Sex = 'M'; normal level of white blood cells refers to WBC &gt; 3.5 and WBC &lt;9.0; abnormal fibrinogen level refers to FG &lt; = 150 or FG &gt; = 450; Don't compute repetitive ones.</t>
  </si>
  <si>
    <t>ผู้ป่วยชายหมายถึงเพศ = 'M'; ระดับเม็ดเลือดขาวปกติหมายถึง WBC &gt; 3.5 และ WBC &lt;9.0; ระดับไฟบริโนเจนที่ผิดปกติอ้างอิงถึง FG &lt; = 150 หรือ FG &gt; = 450; อย่าคำนวณสิ่งที่ซ้ำกัน</t>
  </si>
  <si>
    <t>SELECT COUNT(DISTINCT T1.ID) FROM Patient AS T1 INNER JOIN Laboratory AS T2 ON T1.ID = T2.ID WHERE T2.FG &lt;= 150 OR T2.FG &gt;= 450 AND T2.WBC &gt; 3.5 AND T2.WBC &lt; 9.0 AND T1.SEX = 'M'</t>
  </si>
  <si>
    <t>How many patients born after 1980/1/1 have an abnormal fibrinogen level?</t>
  </si>
  <si>
    <t>born after 1980/1/1 refers to Birthday &gt; '1980-01-01'; normal fibrinogen level refers to FG between 150 and 450; Should return the number of distinct patients.</t>
  </si>
  <si>
    <t>เกิดหลัง 1/1/2523 หมายถึง วันเกิด &gt; '1980-01-01'; ระดับไฟบริโนเจนปกติหมายถึง FG ระหว่าง 150 ถึง 450; ควรส่งคืนจำนวนผู้ป่วยที่แตกต่างกัน</t>
  </si>
  <si>
    <t>SELECT COUNT(DISTINCT T1.ID) FROM Patient AS T1 INNER JOIN Laboratory AS T2 ON T1.ID = T2.ID WHERE T2.FG &lt;= 150 OR T2.FG &gt;= 450 AND T1.Birthday &gt; '1980-01-01'</t>
  </si>
  <si>
    <t>Please list the disease names of the patients that have a proteinuria level higher than normal.</t>
  </si>
  <si>
    <t>disease names refers to Diagnosis; proteinuria level higher than normal refers to `U-PRO` &gt; = 30;</t>
  </si>
  <si>
    <t>ชื่อโรคหมายถึงการวินิจฉัย ระดับโปรตีนในปัสสาวะสูงกว่าปกติหมายถึง `U-PRO` &gt; = 30;</t>
  </si>
  <si>
    <t>SELECT T1.Diagnosis FROM Patient AS T1 INNER JOIN Laboratory AS T2 ON T1.ID = T2.ID WHERE T2.`U-PRO` &gt;= 30</t>
  </si>
  <si>
    <t>Which patient has a normal proteinuria level and is diagnosed with SLE? Please give his or her patient ID.</t>
  </si>
  <si>
    <t>normal proteinuria level refers to 0 &lt; `U-PRO` &lt; 30; diagnosed with SLE refers to Diagnosis = 'SLE';</t>
  </si>
  <si>
    <t>ระดับโปรตีนในปัสสาวะปกติหมายถึง 0 &lt; `U-PRO` &lt; 30; ที่ได้รับการวินิจฉัยว่าเป็นโรค SLE หมายถึง การวินิจฉัย = 'SLE';</t>
  </si>
  <si>
    <t>SELECT DISTINCT T1.ID FROM Patient AS T1 INNER JOIN Laboratory AS T2 ON T1.ID = T2.ID WHERE T2.`U-PRO` &gt; 0 AND T2.`U-PRO` &lt; 30 AND T1.Diagnosis = 'SLE'</t>
  </si>
  <si>
    <t>How many patients with an Ig G higher than normal?</t>
  </si>
  <si>
    <t>Ig G higher than normal refers to IGG &gt;= 2000; Should consider DISTINCT in the final result;</t>
  </si>
  <si>
    <t>Ig G สูงกว่าปกติ หมายถึง IGG &gt;= 2000; ควรพิจารณา DISTINCT ในผลลัพธ์สุดท้าย</t>
  </si>
  <si>
    <t>SELECT COUNT(DISTINCT T1.ID) FROM Patient AS T1 INNER JOIN Laboratory AS T2 ON T1.ID = T2.ID INNER JOIN Examination AS T3 ON T3.ID = T2.ID WHERE T2.IGG &gt;= 2000</t>
  </si>
  <si>
    <t>Among the patients with a normal Ig G level, how many of them have symptoms?</t>
  </si>
  <si>
    <t>normal Ig G level refers to IGG &gt; 900 and IGG &lt; 2000; have symptoms refers to Symptoms IS NOT NULL;</t>
  </si>
  <si>
    <t>ระดับ Ig G ปกติหมายถึง IGG &gt; 900 และ IGG &lt; 2000; มีอาการ หมายถึง อาการไม่เป็นโมฆะ;</t>
  </si>
  <si>
    <t>SELECT COUNT(T1.ID) FROM Patient AS T1 INNER JOIN Laboratory AS T2 ON T1.ID = T2.ID INNER JOIN Examination AS T3 ON T3.ID = T2.ID WHERE T2.IGG BETWEEN 900 AND 2000 AND T3.Symptoms IS NOT NULL</t>
  </si>
  <si>
    <t>For the patient who has the highest Ig A within the normal range, what is his or her diagnosis?</t>
  </si>
  <si>
    <t>highest Ig A within the normal range refers to MAX(IGA BETWEEN 80 AND 500);</t>
  </si>
  <si>
    <t>Ig A สูงสุดในช่วงปกติหมายถึง MAX (IGA ระหว่าง 80 ถึง 500)</t>
  </si>
  <si>
    <t>SELECT patientData.Diagnosis FROM Patient AS patientData INNER JOIN Laboratory AS labData ON patientData.ID = labData.ID WHERE labData.IGA BETWEEN 80 AND 500 ORDER BY labData.IGA DESC LIMIT 1</t>
  </si>
  <si>
    <t>How many patients with a normal Ig A level came to the hospital after 1990/1/1?</t>
  </si>
  <si>
    <t>normal Ig A level refers to IGA &gt; 80 AND IGA &lt; 500; came to the hospital after 1990/1/1 refers to YEAR(`First Date`) &gt; = 1990;</t>
  </si>
  <si>
    <t>ระดับ Ig A ปกติหมายถึง IGA &gt; 80 และ IGA &lt; 500; มาโรงพยาบาลหลังปี 1990/1/1 หมายถึง YEAR(`First Date`) &gt; = 1990;</t>
  </si>
  <si>
    <t>SELECT COUNT(T1.ID) FROM Patient AS T1 INNER JOIN Laboratory AS T2 ON T1.ID = T2.ID WHERE T2.IGA BETWEEN 80 AND 500 AND  strftime('%Y',  T1.`First Date`) &gt; '1990'</t>
  </si>
  <si>
    <t>For the patients with an abnormal Ig M level, what is the most common disease they are diagnosed with?</t>
  </si>
  <si>
    <t>abnormal Ig M level refers to IGM &lt;=40 OR IGM &gt;= 400; most common disease refers to MAX(COUNT(Diagnosis));</t>
  </si>
  <si>
    <t>ระดับ Ig M ที่ผิดปกติหมายถึง IGM &lt;=40 หรือ IGM &gt;= 400; โรคที่พบบ่อยที่สุดหมายถึง MAX(COUNT(การวินิจฉัย));</t>
  </si>
  <si>
    <t>SELECT T1.Diagnosis FROM Patient AS T1 INNER JOIN Laboratory AS T2 ON T1.ID = T2.ID WHERE T2.IGM NOT BETWEEN 40 AND 400 GROUP BY T1.Diagnosis ORDER BY COUNT(T1.Diagnosis) DESC LIMIT 1</t>
  </si>
  <si>
    <t>How many patients with a abnormal C-reactive protein don't have their data recorded?</t>
  </si>
  <si>
    <t>abnormal C-reactive protein refers to CRP ='+'; don't have data recorded refers to Description IS NULL;</t>
  </si>
  <si>
    <t>โปรตีน C-reactive ที่ผิดปกติหมายถึง CRP = '+'; ไม่มีข้อมูลที่บันทึกไว้อ้างถึง Description IS NULL;</t>
  </si>
  <si>
    <t>SELECT COUNT(T1.ID) FROM Patient AS T1 INNER JOIN Laboratory AS T2 ON T1.ID = T2.ID WHERE (T2.CRP = '+' ) AND T1.Description IS NULL</t>
  </si>
  <si>
    <t>Among the patients whose creatinine level is abnormal, how many of them aren't 70 yet?</t>
  </si>
  <si>
    <t xml:space="preserve">creatinine level is abnormal refers to CRE &gt;= 1.5; aren't 70 yet refers to SUBTRACT((YEAR(CURDATE()), YEAR(Birthday))) &lt; 70; </t>
  </si>
  <si>
    <t xml:space="preserve">ระดับครีเอตินีนผิดปกติ หมายถึง CRE &gt;= 1.5; ยังไม่ 70 ยังอ้างถึง SUBTRACT((YEAR(CURDATE()), YEAR(Birthday))) &lt; 70; </t>
  </si>
  <si>
    <t>SELECT COUNT(DISTINCT T1.ID) FROM Patient AS T1 INNER JOIN Laboratory AS T2 ON T1.ID = T2.ID WHERE T2.CRE &gt;= 1.5 AND STRFTIME('%Y', Date('now')) - STRFTIME('%Y', T1.Birthday) &lt; 70</t>
  </si>
  <si>
    <t>How many patients with a normal Rhuematoid Factor has a positive measure of degree of coagulation?</t>
  </si>
  <si>
    <t>normal Rhuematoid Factor refers TO RA IN('-', '+-'); positive measure of degree of coagulation refers to KCT = '+'; Should compute the number of distinct ones</t>
  </si>
  <si>
    <t>ปัจจัยรูมาตอยด์ปกติหมายถึง RA IN('-', '+-'); การวัดระดับการแข็งตัวของเลือดเชิงบวกหมายถึง KCT = '+'; ควรคำนวณจำนวนที่แตกต่างกัน</t>
  </si>
  <si>
    <t>SELECT COUNT(DISTINCT T1.ID) FROM Patient AS T1 INNER JOIN Laboratory AS T2 ON T1.ID = T2.ID INNER JOIN Examination AS T3 ON T3.ID = T2.ID WHERE (T2.RA = '-' OR T2.RA = '+-') AND T3.KCT = '+'</t>
  </si>
  <si>
    <t>Please list the diseases of the patients born after 1985-1-1 and have a normal Rhuematoid Factor.</t>
  </si>
  <si>
    <t>diseases refers to Diagnosis; born after 1985/1/1 refers to YEAR(Birthday) &gt; = 1985; normal Rhuematoid Factor refers to RA IN('-', '+-');</t>
  </si>
  <si>
    <t>โรคหมายถึงการวินิจฉัย เกิดหลังปี 1985/1/1 หมายถึง ปี(วันเกิด) &gt; = 1985; ปัจจัยรูมาตอยด์ปกติหมายถึง RA IN('-', '+-');</t>
  </si>
  <si>
    <t>SELECT T1.Diagnosis FROM Patient AS T1 INNER JOIN Laboratory AS T2 ON T1.ID = T2.ID WHERE (T2.RA = '-' OR T2.RA = '+-') AND T1.Birthday &gt; '1985-01-01'</t>
  </si>
  <si>
    <t>Please list the ID of the patient whose RF is normal and who is older than 60.</t>
  </si>
  <si>
    <t>RF is normal refers to RF &lt; 20; older than 60 = SUBTRACT((YEAR(CURDATE()), YEAR(Birthday))) &gt; 60;</t>
  </si>
  <si>
    <t>RF เป็นเรื่องปกติหมายถึง RF &lt;20; เก่ากว่า 60 = SUBTRACT((YEAR(CURDATE()), YEAR(Birthday))) &gt; 60;</t>
  </si>
  <si>
    <t>SELECT T1.ID FROM Patient AS T1 INNER JOIN Laboratory AS T2 ON T1.ID = T2.ID WHERE T2.RF &lt; 20 AND STRFTIME('%Y', DATE('now')) - STRFTIME('%Y', T1.Birthday) &gt; 60</t>
  </si>
  <si>
    <t>How many patients with a normal RF don't have thrombosis?</t>
  </si>
  <si>
    <t>normal RF refers to RF &lt; 20; don't have thrombosis refers to Thrombosis = '0';</t>
  </si>
  <si>
    <t>RF ปกติหมายถึง RF &lt;20; ไม่มีการเกิดลิ่มเลือดหมายถึงการเกิดลิ่มเลือด = '0';</t>
  </si>
  <si>
    <t>SELECT COUNT(DISTINCT T1.ID) FROM Examination AS T1 INNER JOIN Laboratory AS T2 ON T1.ID = T2.ID WHERE T2.RF &lt; 20 AND T1.Thrombosis = 0</t>
  </si>
  <si>
    <t>How many patients with a normal level of complement 3 have a P pattern observed in the sheet of ANA examination?</t>
  </si>
  <si>
    <t>normal level of complement 3 refers to C3 &gt; 35; have a P pattern observed in the sheet of ANA examination refers to ANA Pattern = 'P'; Should compute the number of distinct ones</t>
  </si>
  <si>
    <t>ระดับปกติของส่วนเสริม 3 หมายถึง C3 &gt; 35; มีรูปแบบ P ที่สังเกตได้ในแผ่นการตรวจสอบของ ANA หมายถึงรูปแบบ ANA = 'P'; ควรคำนวณจำนวนที่แตกต่างกัน</t>
  </si>
  <si>
    <t>SELECT COUNT(DISTINCT T1.ID) FROM Examination AS T1 INNER JOIN Laboratory AS T2 ON T1.ID = T2.ID WHERE T2.C3 &gt; 35 AND T1.`ANA Pattern` = 'P'</t>
  </si>
  <si>
    <t>Among the patients whose level of Hematoclit isn't normal, which patient has the highest anti-Cardiolipin antibody concentration? Please list his or her ID.</t>
  </si>
  <si>
    <t>Hematoclit is normal refers to 29 &lt; N &lt; 52; highest anti-Cardiolipin antibody concentration refers to MAX(`aCL IgA`);</t>
  </si>
  <si>
    <t>Hematoclit เป็นปกติหมายถึง 29 &lt; N &lt; 52; ความเข้มข้นของแอนติบอดีต่อต้าน Cardiolipin สูงสุดหมายถึง MAX (`aCL IgA`);</t>
  </si>
  <si>
    <t>SELECT DISTINCT T1.ID FROM Patient AS T1 INNER JOIN Examination AS T2 ON T1.ID = T2.ID INNER JOIN Laboratory AS T3 on T1.ID = T3.ID WHERE (T3.HCT &gt;= 52 OR T3.HCT &lt;= 29) ORDER BY T2.`aCL IgA` DESC LIMIT 1</t>
  </si>
  <si>
    <t>Among the patients have blood clots in veins, how many of them have a normal level of complement 4?</t>
  </si>
  <si>
    <t>APS will result in Blood Clots in veins; normal level of complement 4 refers to C4 &gt; 10; Should compute the number of different ones</t>
  </si>
  <si>
    <t>APS จะส่งผลให้เกิดลิ่มเลือดในหลอดเลือดดำ ระดับปกติของส่วนเสริม 4 หมายถึง C4 &gt; 10; ควรคำนวณจำนวนที่แตกต่างกัน</t>
  </si>
  <si>
    <t>SELECT COUNT(DISTINCT T1.ID) FROM Patient AS T1 INNER JOIN Laboratory AS T2 ON T1.ID = T2.ID WHERE T2.C4 &gt; 10 AND T1.Diagnosis = 'APS'</t>
  </si>
  <si>
    <t>How many patients have a normal level of anti-ribonuclear protein and have been admitted to the hospital?</t>
  </si>
  <si>
    <t>normal level of anti-ribonuclear protein refers to RNP = '-', '+-'; And'-' means 'negative'; '+-' refers to '0'; admitted to the hospital refers to Admission = '+'; Should consider DISTINCT in the final result;</t>
  </si>
  <si>
    <t>ระดับปกติของโปรตีนต่อต้านไรโบนิวเคลียร์หมายถึง RNP = '-', '+-'; และ'-' หมายถึง 'เชิงลบ'; '+-' หมายถึง '0'; เข้ารับการรักษาในโรงพยาบาลหมายถึง Admission = '+'; ควรพิจารณา DISTINCT ในผลลัพธ์สุดท้าย</t>
  </si>
  <si>
    <t>SELECT COUNT(DISTINCT T1.ID) FROM Patient AS T1 INNER JOIN Laboratory AS T2 ON T1.ID = T2.ID WHERE T2.RNP = 'negative' OR T2.RNP = '0' AND T1.Admission = '+'</t>
  </si>
  <si>
    <t>Which is the youngest patient with an abnormal anti-ribonuclear protein level? Please list his or her date of birth.</t>
  </si>
  <si>
    <t>youngest patient refers to MAX(Birthday); abnormal anti-ribonuclear protein level refers to RNP NOT IN('-', '+-'); date of birth refers to Birthday;</t>
  </si>
  <si>
    <t>ผู้ป่วยที่อายุน้อยที่สุดหมายถึง MAX (วันเกิด); ระดับโปรตีนต่อต้านไรโบนิวเคลียร์ที่ผิดปกติหมายถึง RNP NOT IN ('-', '+-'); วันเดือนปีเกิดหมายถึงวันเกิด</t>
  </si>
  <si>
    <t>SELECT T1.Birthday FROM Patient AS T1 INNER JOIN Laboratory AS T2 ON T1.ID = T2.ID WHERE T2.RNP != '-' OR '+-' ORDER BY T1.Birthday DESC LIMIT 1</t>
  </si>
  <si>
    <t>Among the patients with normal anti-SM, how many of them does not have thrombosis?</t>
  </si>
  <si>
    <t>normal anti-SM refers to SM IN('-', '+-'); SM = 'negative' means '-'; SM = '0' means '+-'; SM = '1' means '+'; does not have thrombosis refers to Thrombosis = 0;</t>
  </si>
  <si>
    <t>anti-SM ปกติหมายถึง SM IN('-', '+-'); เอสเอ็ม = 'ลบ' หมายถึง '-'; เอสเอ็ม = '0' หมายถึง '+-'; เอสเอ็ม = '1' หมายถึง '+'; ไม่มีการเกิดลิ่มเลือดหมายถึงการเกิดลิ่มเลือด = 0;</t>
  </si>
  <si>
    <t>SELECT COUNT(T1.ID) FROM Examination AS T1 INNER JOIN Laboratory AS T2 ON T1.ID = T2.ID WHERE T2.SM IN ('negative','0') AND T1.Thrombosis = 0</t>
  </si>
  <si>
    <t>For the patients with an abnormal anti-SM, please list the IDs of the three youngest ones.</t>
  </si>
  <si>
    <t>abnormal anti-SM refers to SM NOT IN ('negative', '0'); youngest refers to MAX(Birthday);</t>
  </si>
  <si>
    <t>การต่อต้าน SM ที่ผิดปกติหมายถึง SM ไม่ได้อยู่ใน ('ลบ', '0'); อายุน้อยที่สุดหมายถึง MAX (วันเกิด);</t>
  </si>
  <si>
    <t>SELECT T1.ID FROM Patient AS T1 INNER JOIN Laboratory AS T2 ON T1.ID = T2.ID WHERE T2.SM NOT IN ('negative','0') ORDER BY T1.Birthday DESC LIMIT 3</t>
  </si>
  <si>
    <t>Please list the IDs of the patients who had the examination done after 1997/1/1 and had a normal anti-scl70.</t>
  </si>
  <si>
    <t>examination done after 1997/1/1 refers to `Examination Date` &gt;  1997-01-01; normal anti-scl70 refers to SC170 IN('negative','0');</t>
  </si>
  <si>
    <t>การสอบที่ทำหลังวันที่ 1/1/1997 หมายถึง `วันสอบ` &gt; 1997-01-01; anti-scl70 ปกติอ้างถึง SC170 IN('negative','0');</t>
  </si>
  <si>
    <t>SELECT T1.ID FROM Patient AS T1 INNER JOIN Laboratory AS T2 ON T1.ID = T2.ID WHERE T2.SC170 IN ('negative','0') AND T2.Date &gt; 1997-01-01</t>
  </si>
  <si>
    <t>Among the patients who has a normal anti-scl70, how many of them are female and does not have any symptom?</t>
  </si>
  <si>
    <t>normal anti-scl70 refers to SC170 IN('negative', '0'); female refers to Sex = 'F'; does not have any symptom refers to symptoms IS NULL; Should consider DISTINCT in the final result;</t>
  </si>
  <si>
    <t>anti-scl70 ปกติอ้างถึง SC170 IN('negative', '0'); หญิงหมายถึงเพศ = 'F'; ไม่มีอาการใด ๆ หมายถึงอาการที่เป็นโมฆะ; ควรพิจารณา DISTINCT ในผลลัพธ์สุดท้าย</t>
  </si>
  <si>
    <t>SELECT COUNT(DISTINCT T1.ID) FROM Patient AS T1 INNER JOIN Laboratory AS T2 ON T1.ID = T2.ID INNER JOIN Examination AS T3 ON T3.ID = T2.ID WHERE (T2.SC170 = 'negative' OR T2.SC170 = '0') AND T1.SEX = 'F' AND T3.Symptoms IS NULL</t>
  </si>
  <si>
    <t>How many patients with a normal anti-SSA came to the hospital before 2000?</t>
  </si>
  <si>
    <t>normal anti-SSA refers to SSA IN('-','+-'); came to the hospital before 2000 refers to YEAR(`First Date`) &lt; 2000; Should compute the number of distinct ones</t>
  </si>
  <si>
    <t>การต่อต้าน SSA ปกติหมายถึง SSA IN('-','+-'); มาโรงพยาบาลก่อนปี 2000 หมายถึง YEAR(`First Date`) &lt; 2000; ควรคำนวณจำนวนที่แตกต่างกัน</t>
  </si>
  <si>
    <t>SELECT COUNT(DISTINCT T1.ID) FROM Patient AS T1 INNER JOIN Laboratory AS T2 ON T1.ID = T2.ID WHERE T2.SSA IN ('negative', '0') AND STRFTIME('%Y', T2.Date) &lt; '2000'</t>
  </si>
  <si>
    <t>Which patient is the first patient with an abnormal anti-SSA to come to the hospital? Please give his or her ID.</t>
  </si>
  <si>
    <t>first patient refers to ID with MIN(`First Date`); abnormal anti-SSA refers to SSA NOT IN('negative', '0');</t>
  </si>
  <si>
    <t>ผู้ป่วยรายแรกอ้างถึง ID ที่มี MIN(`First Date`); การต่อต้าน SSA ที่ผิดปกติหมายถึง SSA ไม่ได้อยู่ใน ('ลบ', '0');</t>
  </si>
  <si>
    <t>SELECT T1.ID FROM Patient AS T1 INNER JOIN Laboratory AS T2 ON T1.ID = T2.ID WHERE T1.`First Date` IS NOT NULL AND T2.SSA NOT IN ('negative', '0') ORDER BY T1.`First Date` ASC LIMIT 1</t>
  </si>
  <si>
    <t>How many patients have a normal anti-SSB and are diagnosed with SLE in the examination?</t>
  </si>
  <si>
    <t>normal anti-SSB refers to SSB IN('-', '+-'); '-' is expressed as 'negative' and '+-' is expressed as '0' in the database ; diagnosed with SLE refers to Diagnosis = 'SLE'; Should compute the number of distinct ones</t>
  </si>
  <si>
    <t>การต่อต้าน SSB ปกติหมายถึง SSB IN('-', '+-'); '-' แสดงเป็น 'negative' และ '+-' แสดงเป็น '0' ในฐานข้อมูล ที่ได้รับการวินิจฉัยว่าเป็นโรค SLE หมายถึง การวินิจฉัย = 'SLE'; ควรคำนวณจำนวนที่แตกต่างกัน</t>
  </si>
  <si>
    <t>SELECT COUNT(DISTINCT T1.ID) FROM Patient AS T1 INNER JOIN Laboratory AS T2 ON T1.ID = T2.ID WHERE T2.SSB = 'negative' OR '0' AND T1.Diagnosis = 'SLE'</t>
  </si>
  <si>
    <t>For the patients whose anti-SSB are normal, how many of them have other symptoms observed in their examination?</t>
  </si>
  <si>
    <t>anti-SSB are normal refers to SSB IN ('negative', '0'); have other symptoms refers to Symptoms IS NOT NULL; Should compute the number of distinct ones</t>
  </si>
  <si>
    <t>anti-SSB เป็นเรื่องปกติหมายถึง SSB IN ('ลบ', '0'); มีอาการอื่น ๆ หมายถึง อาการไม่เป็นโมฆะ; ควรคำนวณจำนวนที่แตกต่างกัน</t>
  </si>
  <si>
    <t>SELECT COUNT(DISTINCT T1.ID) FROM Examination AS T1 INNER JOIN Laboratory AS T2 ON T1.ID = T2.ID WHERE T2.SSB = 'negative' OR '0' AND T1.Symptoms IS NOT NULL</t>
  </si>
  <si>
    <t>Among the patients who has a normal level of anti-centromere and a normal level of anti-SSB, how many of them are male?</t>
  </si>
  <si>
    <t>normal level of anti-centromere refers to CENTROMEA IN('-', '+-'); normal level of anti-SSB refers to SSB IN('-', '+-'); male refers to Sex = 'M'; Should consider DISTINCT in the final result;</t>
  </si>
  <si>
    <t>การต่อต้านเซนโทรเมียร์ในระดับปกติหมายถึง CENTROMEA IN('-', '+-'); ระดับการต่อต้าน SSB ปกติหมายถึง SSB IN('-', '+-'); ชายหมายถึงเพศ = 'M'; ควรพิจารณา DISTINCT ในผลลัพธ์สุดท้าย</t>
  </si>
  <si>
    <t>SELECT COUNT(DISTINCT T1.ID) FROM Patient AS T1 INNER JOIN Laboratory AS T2 ON T1.ID = T2.ID WHERE T2.CENTROMEA IN ('negative', '0') AND T2.SSB IN ('negative', '0') AND T1.SEX = 'M'</t>
  </si>
  <si>
    <t>For the patients who have an abnormal level of anti-DNA, please list the diseases they are diagnosed with.</t>
  </si>
  <si>
    <t>abnormal level of anti-DNA refers to DNA &gt; = 8; diseases refers to Diagnosis;</t>
  </si>
  <si>
    <t>ระดับการต่อต้าน DNA ที่ผิดปกติหมายถึง DNA &gt; = 8; โรคหมายถึงการวินิจฉัย</t>
  </si>
  <si>
    <t>SELECT DISTINCT(T1.Diagnosis) FROM Patient AS T1 INNER JOIN Laboratory AS T2 ON T1.ID = T2.ID WHERE T2.DNA &gt;= 8</t>
  </si>
  <si>
    <t>How many patients have a normal anti-DNA level, yet their data are not recorded.</t>
  </si>
  <si>
    <t>normal anti-DNA level refers to DNA &lt; 8; data are not recorded refers to Description IS NULL; Should compute the number of unique ones</t>
  </si>
  <si>
    <t>ระดับต่อต้าน DNA ปกติหมายถึง DNA &lt;8; ข้อมูลไม่ได้ถูกบันทึกหมายถึงคำอธิบายเป็นโมฆะ; ควรคำนวณจำนวนที่ไม่ซ้ำ</t>
  </si>
  <si>
    <t>SELECT COUNT(DISTINCT T1.ID) FROM Patient AS T1 INNER JOIN Laboratory AS T2 ON T1.ID = T2.ID WHERE T2.DNA &lt; 8 AND T1.Description IS NULL</t>
  </si>
  <si>
    <t>Of the patients with an normal level of IGG, how many of them admitted to the hospital?</t>
  </si>
  <si>
    <t>normal level of IGG refers to 900 &lt; IGG &lt; 2000; admitted to the hospital refers to Admission = '+';</t>
  </si>
  <si>
    <t>ระดับปกติของ IGG หมายถึง 900 &lt; IGG &lt; 2000; เข้ารับการรักษาในโรงพยาบาลหมายถึง Admission = '+';</t>
  </si>
  <si>
    <t>SELECT COUNT(T1.ID) FROM Patient AS T1 INNER JOIN Laboratory AS T2 ON T1.ID = T2.ID WHERE T2.IGG &gt; 900 AND T2.IGG &lt;2000 AND  T1.Admission = '+'</t>
  </si>
  <si>
    <t>What is the percentage of patient who has a abnormal level of glutamic oxaloacetic transaminase level, yet he or she is diagnosed with SLE?</t>
  </si>
  <si>
    <t>abnormal level of glutamic oxaloacetic transaminase refers to GOT &gt; = 60; percentage = MULTIPLY(DIVIDE(COUNT(ID WHERE GOT &gt; = 60 AND Diagnosis = 'SLE'), COUNT(ID WHERE GOT &gt; = 60)), 1.0);</t>
  </si>
  <si>
    <t>ระดับที่ผิดปกติของ glutamic oxaloacetic transaminase หมายถึง GOT &gt; = 60; เปอร์เซ็นต์ = คูณ (หาร (นับ (ID ที่ได้รับ &gt; = 60 และการวินิจฉัย = 'SLE'), COUNT (ID ที่ได้รับ &gt; = 60)), 1.0);</t>
  </si>
  <si>
    <t>SELECT COUNT(CASE WHEN T1.Diagnosis LIKE '%SLE%' THEN T1.ID ELSE 0 END) / COUNT(T1.ID) FROM Patient AS T1 INNER JOIN Laboratory AS T2 ON T1.ID = T2.ID WHERE T2.`GOT` &gt;= 60</t>
  </si>
  <si>
    <t>How many male patients have their glutamic oxaloacetic transaminase in the normal range?</t>
  </si>
  <si>
    <t>male refers to Sex = 'M'; glutamic oxaloacetic transaminase in the normal range refers to GOT &lt; 60;</t>
  </si>
  <si>
    <t>ชายหมายถึงเพศ = 'M'; กลูตามิก oxaloacetic transaminase ในช่วงปกติหมายถึง GOT &lt; 60;</t>
  </si>
  <si>
    <t>SELECT COUNT(T1.ID) FROM Patient AS T1 INNER JOIN Laboratory AS T2 ON T1.ID = T2.ID WHERE T2.GOT &lt; 60 AND T1.SEX = 'M'</t>
  </si>
  <si>
    <t>Among the patients who have an abnormal level of glutamic oxaloacetic transaminase, when was the youngest of them born?</t>
  </si>
  <si>
    <t>abnormal level of glutamic oxaloacetic transaminase refers to GOT &gt; = 60; The larger the birthday value, the younger the person is, and vice versa;</t>
  </si>
  <si>
    <t>ระดับที่ผิดปกติของ glutamic oxaloacetic transaminase หมายถึง GOT &gt; = 60; ยิ่งค่าวันเกิดมีค่ามาก บุคคลนั้นจะอายุน้อยกว่า และในทางกลับกัน</t>
  </si>
  <si>
    <t>SELECT T1.Birthday FROM Patient AS T1 INNER JOIN Laboratory AS T2 ON T1.ID = T2.ID WHERE T2.GOT &gt;= 60 ORDER BY T1.Birthday DESC LIMIT 1</t>
  </si>
  <si>
    <t>Please list the top three patients' birthdays with the highest glutamic pylvic transaminase in the normal range.</t>
  </si>
  <si>
    <t>highest glutamic pylvic transaminase in the normal range refers to MAX(GPT &lt; 60);</t>
  </si>
  <si>
    <t>กลูตามิก pylvic transaminase สูงสุดในช่วงปกติหมายถึง MAX (GPT &lt;60);</t>
  </si>
  <si>
    <t>SELECT T1.Birthday FROM Patient AS T1 INNER JOIN Laboratory AS T2 ON T1.ID = T2.ID WHERE T2.GPT &lt; 60 ORDER BY T2.GPT DESC LIMIT 3</t>
  </si>
  <si>
    <t>For the patients with the normal glutamic pylvic transaminase level, how many of them are male?</t>
  </si>
  <si>
    <t>normal glutamic pylvic transaminase level refers to GOT &lt; 60; male refers to Sex = 'M';</t>
  </si>
  <si>
    <t>ระดับกลูตามิกไพลวิคทรานซามิเนสปกติหมายถึง GOT &lt; 60; ชายหมายถึงเพศ = 'M';</t>
  </si>
  <si>
    <t>For the patient with the highest lactate dehydrogenase in the normal range, when was his or her data first recorded?</t>
  </si>
  <si>
    <t>highest lactate dehydrogenase in the normal range refers to MAX(LDH &lt; 500); when the data first recorded refers to MIN(First Date);</t>
  </si>
  <si>
    <t>แลคเตตดีไฮโดรจีเนสสูงสุดในช่วงปกติหมายถึง MAX (LDH &lt; 500); เมื่อข้อมูลที่บันทึกครั้งแรกอ้างอิงถึง MIN (วันแรก);</t>
  </si>
  <si>
    <t>SELECT T1.`First Date` FROM Patient AS T1 INNER JOIN Laboratory AS T2 ON T1.ID = T2.ID WHERE T2.LDH &lt; 500 ORDER BY T2.LDH ASC LIMIT 1</t>
  </si>
  <si>
    <t>When is the latest patient's medical data recorded? This patient should have an abnormal level of lactate dehydrogenase.</t>
  </si>
  <si>
    <t>latest patient refers to ID with MAX('First Date'); abnormal level of lactate dehydrogenase refers to LDH &gt; = 500;</t>
  </si>
  <si>
    <t>ผู้ป่วยรายล่าสุดอ้างถึง ID ที่มี MAX ('วันแรก'); ระดับแลคเตตดีไฮโดรจีเนสที่ผิดปกติหมายถึง LDH &gt; = 500;</t>
  </si>
  <si>
    <t>SELECT T1.`First Date` FROM Patient AS T1 INNER JOIN Laboratory AS T2 ON T1.ID = T2.ID WHERE T2.LDH &gt;= 500 ORDER BY T1.`First Date` DESC LIMIT 1</t>
  </si>
  <si>
    <t>For the patient with an abnormal alkaliphophatase level, how many of them are admitted to the hospital?</t>
  </si>
  <si>
    <t>abnormal alkaliphophatase level refers to ALP &gt; = 300; admitted to the hospital refers to Admission = '+';</t>
  </si>
  <si>
    <t>ระดับอัลคาไลโฟฟาเตสที่ผิดปกติหมายถึง ALP &gt; = 300; เข้ารับการรักษาในโรงพยาบาลหมายถึง Admission = '+';</t>
  </si>
  <si>
    <t>SELECT COUNT(T1.ID) FROM Patient AS T1 INNER JOIN Laboratory AS T2 ON T1.ID = T2.ID WHERE T2.ALP &gt;= 300 AND T1.Admission = '+'</t>
  </si>
  <si>
    <t>Among the patients followed at the outpatient clinic, how many of them have a normal level of alkaliphophatase?</t>
  </si>
  <si>
    <t>followed at the outpatient clinic refers to Admission = '-'; normal level of alkaliphophatase refers to ALP &lt; 300;</t>
  </si>
  <si>
    <t>ตามด้วยคลินิกผู้ป่วยนอกหมายถึง Admission = '-'; ระดับอัลคาไลโฟฟาเตสปกติหมายถึง ALP &lt;300;</t>
  </si>
  <si>
    <t>SELECT COUNT(T1.ID) FROM Patient AS T1 INNER JOIN Laboratory AS T2 ON T1.ID = T2.ID WHERE T2.ALP &lt; 300 AND T1.Admission = '-'</t>
  </si>
  <si>
    <t>Please list the diagnosis of the patients whose total protein is lower than normal.</t>
  </si>
  <si>
    <t>total protein is lower than normal refers to TP &lt; 6.0;</t>
  </si>
  <si>
    <t>โปรตีนทั้งหมดต่ำกว่าปกติหมายถึง TP &lt; 6.0;</t>
  </si>
  <si>
    <t>SELECT T1.Diagnosis FROM Patient AS T1 INNER JOIN Laboratory AS T2 ON T1.ID = T2.ID WHERE T2.TP &lt; 6.0</t>
  </si>
  <si>
    <t>For the patients who are diagnosed with SJS, how many of them have a normal level of total protein?</t>
  </si>
  <si>
    <t>diagnosed with SJS refers to Diagnosis = 'SJS'; normal level of total protein refers to TP &gt; 6.0 and TP &lt; 8.5;</t>
  </si>
  <si>
    <t>ที่ได้รับการวินิจฉัยว่าเป็น SJS หมายถึง Diagnosis = 'SJS'; ระดับโปรตีนรวมปกติหมายถึง TP &gt; 6.0 และ TP &lt; 8.5;</t>
  </si>
  <si>
    <t>SELECT COUNT(T1.ID) FROM Patient AS T1 INNER JOIN Laboratory AS T2 ON T1.ID = T2.ID WHERE T1.Diagnosis = 'SJS' AND T2.TP &gt; 6.0 AND T2.TP &lt; 8.5</t>
  </si>
  <si>
    <t>What is the examination date of the patient whose albumin is the highest in the normal range?</t>
  </si>
  <si>
    <t>examination date refers to Date; albumin is the highest in the normal range refers to MAX(ALB &gt; 3.5 and ALB &lt; 5.5);</t>
  </si>
  <si>
    <t>วันสอบหมายถึงวันที่; อัลบูมินมีค่าสูงสุดในช่วงปกติ หมายถึง MAX(ALB &gt; 3.5 และ ALB &lt; 5.5);</t>
  </si>
  <si>
    <t>SELECT Date FROM Laboratory WHERE ALB &gt; 3.5 AND ALB &lt; 5.5 ORDER BY ALB DESC LIMIT 1</t>
  </si>
  <si>
    <t>How many male patients have a normal level of both albumin and total protein?</t>
  </si>
  <si>
    <t>male refers to Sex = 'M'; normal level of both albumin and total protein refers to ALB &gt; 3.5 and ALB &lt; 5.5 AND TP between 6.0 and 8.5;</t>
  </si>
  <si>
    <t>ชายหมายถึงเพศ = 'M'; ระดับปกติของทั้งอัลบูมินและโปรตีนทั้งหมดอ้างอิงถึง ALB &gt; 3.5 และ ALB &lt; 5.5 และ TP ระหว่าง 6.0 ถึง 8.5;</t>
  </si>
  <si>
    <t>SELECT COUNT(T1.ID) FROM Patient AS T1 INNER JOIN Laboratory AS T2 ON T1.ID = T2.ID WHERE T1.SEX = 'M'  AND T2.ALB &gt; 3.5 AND T2.ALB &lt; 5.5 AND T2.TP BETWEEN 6.0 AND 8.5</t>
  </si>
  <si>
    <t>What is the anti Cardiolipin antibody concentration of the female patient with the highest uric acid level in the normal range?</t>
  </si>
  <si>
    <t>anti Cardiolipin antibody concentration refers to `aCL IgG`, `aCL IgM`, `aCL IgA`; female patient refers to Sex = F'; highest uric acid level in the normal range refers to MAX(UA &gt; 6.50);</t>
  </si>
  <si>
    <t>ความเข้มข้นของแอนติบอดีต่อต้าน Cardiolipin หมายถึง `aCL IgG`, `aCL IgM`, `aCL IgA`; ผู้ป่วยหญิงหมายถึงเพศ = F'; ระดับกรดยูริกสูงสุดในช่วงปกติหมายถึง MAX (UA &gt; 6.50)</t>
  </si>
  <si>
    <t>SELECT T3.`aCL IgG`, T3.`aCL IgM`, T3.`aCL IgA` FROM Patient AS T1 INNER JOIN Laboratory AS T2 ON T1.ID = T2.ID INNER JOIN Examination AS T3 ON T3.ID = T2.ID WHERE T1.SEX = 'F' AND T2.UA &gt; 6.5 ORDER BY T2.UA DESC LIMIT 1</t>
  </si>
  <si>
    <t>What is the highest anti-nucleus antibody concentration level of a patient with a normal creatinine level?</t>
  </si>
  <si>
    <t>highest anti-nucleus antibody concentration level refers to MAX(ANA); normal creatinine level refers to CRE &lt; 1.5;</t>
  </si>
  <si>
    <t>ระดับความเข้มข้นของแอนติบอดีต่อต้านนิวเคลียสสูงสุดหมายถึง MAX (ANA); ระดับครีเอตินีนปกติหมายถึง CRE &lt; 1.5;</t>
  </si>
  <si>
    <t>SELECT T2.ANA FROM Patient AS T1 INNER JOIN Examination AS T2 ON T1.ID = T2.ID INNER JOIN Laboratory AS T3 ON T1.ID = T3.ID WHERE T3.CRE &lt; 1.5 ORDER BY T2.ANA DESC LIMIT 1</t>
  </si>
  <si>
    <t>Please list the patient's ID whose creatinine level is normal and whose anti Cardiolipin antibody concentration level is the highest.</t>
  </si>
  <si>
    <t>creatinine level is normal refers to CRE &lt; 1.5; anti Cardiolipin antibody concentration level is the highest refers to MAX(aCL IgA);</t>
  </si>
  <si>
    <t>ระดับครีเอตินีนเป็นปกติหมายถึง CRE &lt; 1.5; ระดับความเข้มข้นของแอนติบอดีต่อต้าน Cardiolipin คือค่าสูงสุดอ้างอิงถึง MAX (aCL IgA);</t>
  </si>
  <si>
    <t>SELECT T2.ID FROM Laboratory AS T1 INNER JOIN Examination AS T2 ON T1.ID = T2.ID WHERE T1.CRE &lt; 1.5 ORDER BY T2.`aCL IgA` DESC LIMIT 1</t>
  </si>
  <si>
    <t>Among the patients whose total bilirubin is over the normal range, how many of them have a peripheral pattern observed in the sheet of ANA examination?</t>
  </si>
  <si>
    <t>total bilirubin is over the normal range refers to `T-BIL` &gt; = 2.0; peripheral pattern is observed in the sheet of ANA examination refers to that ANA Pattern contains 'P';</t>
  </si>
  <si>
    <t>บิลิรูบินรวมอยู่เหนือช่วงปกติหมายถึง `T-BIL` &gt; = 2.0; รูปแบบอุปกรณ์ต่อพ่วงสังเกตได้ในแผ่นการตรวจสอบของ ANA ระบุว่ารูปแบบ ANA มี 'P';</t>
  </si>
  <si>
    <t>SELECT COUNT(T1.ID) FROM Patient AS T1 INNER JOIN Laboratory AS T2 ON T1.ID = T2.ID INNER JOIN Examination AS T3 ON T1.ID = T3.ID WHERE T2.`T-BIL` &gt;= 2 AND T3.`ANA Pattern` LIKE '%P%'</t>
  </si>
  <si>
    <t>What is the anti-nucleus antibody concentration of the patient whose total bilirubin is the highest in the normal range?</t>
  </si>
  <si>
    <t>anti-nucleus antibody concentration refers to ANA; total bilirubin is the highest in the normal range refers to MAX(`T-BIL` &lt; 2.0);</t>
  </si>
  <si>
    <t>ความเข้มข้นของแอนติบอดีต่อต้านนิวเคลียสอ้างอิงถึง ANA; บิลิรูบินทั้งหมดมีค่าสูงสุดในช่วงปกติ หมายถึง MAX(`T-BIL` &lt; 2.0);</t>
  </si>
  <si>
    <t>SELECT T3.ANA FROM Patient AS T1 INNER JOIN Laboratory AS T2 ON T1.ID = T2.ID INNER JOIN Examination AS T3 ON T1.ID = T3.ID WHERE T2.`T-BIL` &lt; 2.0 ORDER BY T2.`T-BIL` DESC LIMIT 1</t>
  </si>
  <si>
    <t>For the patients whose total cholesterol is higher than normal, how many of them have a negative measure of degree of coagulation?</t>
  </si>
  <si>
    <t>total cholesterol is higher than normal refers to `T-CHO` &gt; = 250; negative measure of degree of coagulation refers to KCT = '-' ;</t>
  </si>
  <si>
    <t>คอเลสเตอรอลรวมสูงกว่าปกติหมายถึง `T-CHO` &gt; = 250; การวัดระดับเชิงลบของการแข็งตัวหมายถึง KCT = '-' ;</t>
  </si>
  <si>
    <t>SELECT COUNT(T1.ID) FROM Patient AS T1 INNER JOIN Laboratory AS T2 ON T1.ID = T2.ID INNER JOIN Examination AS T3 ON T1.ID = T3.ID WHERE T2.`T-CHO` &gt;= 250 AND T3.KCT = '-'</t>
  </si>
  <si>
    <t>Among the patients whose total cholesterol is within the normal range, how many of them have a P pattern observed in the sheet of ANA examination?</t>
  </si>
  <si>
    <t>total cholesterol is within the normal range refers to `T-CHO` &lt; 250; P pattern observed in the sheet of ANA examination refers to ANA Pattern = 'P';</t>
  </si>
  <si>
    <t>โคเลสเตอรอลรวมอยู่ในช่วงปกติหมายถึง `T-CHO` &lt; 250; รูปแบบ P ที่พบในเอกสารการตรวจสอบของ ANA หมายถึง รูปแบบ ANA = 'P';</t>
  </si>
  <si>
    <t>SELECT COUNT(T1.ID) FROM Patient AS T1 INNER JOIN Laboratory AS T2 ON T1.ID = T2.ID INNER JOIN Examination AS T3 ON T1.ID = T3.ID WHERE T3.`ANA Pattern` = 'P' AND T2.`T-CHO` &lt; 250</t>
  </si>
  <si>
    <t>Among the patients with the normal level of triglyceride, how many of them have other symptoms observed?</t>
  </si>
  <si>
    <t>normal level of triglyceride refers to TG &lt; 200; have other symptoms refers to Symptoms is not null;</t>
  </si>
  <si>
    <t>ระดับไตรกลีเซอไรด์ปกติหมายถึง TG &lt; 200; มีอาการอื่น ๆ หมายถึง อาการไม่เป็นโมฆะ;</t>
  </si>
  <si>
    <t>SELECT COUNT(T1.ID) FROM Examination AS T1 INNER JOIN Laboratory AS T2 ON T1.ID = T2.ID WHERE T2.TG &lt; 200 AND T1.Symptoms IS NOT NULL</t>
  </si>
  <si>
    <t>What is the disease name of the patient who has the highest level of triglyceride within the normal range?</t>
  </si>
  <si>
    <t>disease name referse to Diagnosis; highest level of triglyceride within the normal range refers to MAX(TG &lt; 200);</t>
  </si>
  <si>
    <t>ชื่อโรคหมายถึงการวินิจฉัย ระดับไตรกลีเซอไรด์สูงสุดในช่วงปกติหมายถึง MAX (TG &lt; 200);</t>
  </si>
  <si>
    <t>SELECT T1.Diagnosis FROM Examination AS T1 INNER JOIN Laboratory AS T2 ON T1.ID = T2.ID WHERE T2.TG &lt; 200 ORDER BY T2.TG DESC LIMIT 1</t>
  </si>
  <si>
    <t>Please list the IDs of the patients with no thrombosis and an abnormal level of creatinine phosphokinase.</t>
  </si>
  <si>
    <t>no thrombosis refers to Thrombosis = 0 ; abnormal level of creatinine phosphokinase refers to CPK &lt; 250;</t>
  </si>
  <si>
    <t>ไม่มีการเกิดลิ่มเลือดหมายถึงการเกิดลิ่มเลือด = 0 ; ระดับที่ผิดปกติของ creatinine phosphokinase หมายถึง CPK &lt;250;</t>
  </si>
  <si>
    <t>SELECT DISTINCT T1.ID FROM Laboratory AS T1 INNER JOIN Examination AS T2 ON T1.ID = T2.ID WHERE T2.Thrombosis = 0 AND T1.CPK &lt; 250</t>
  </si>
  <si>
    <t>For the patients with a normal range of creatinine phosphokinase, how many of them have a positive measure of degree of coagulation?</t>
  </si>
  <si>
    <t>normal range of creatinine phosphokinase refers to CPK &lt; 250; positive measure of degree of coagulation refers to KCT = '+' or RVVT = '+' or LAC = '+' ;</t>
  </si>
  <si>
    <t>ช่วงปกติของ creatinine phosphokinase หมายถึง CPK &lt;250; การวัดระดับการแข็งตัวของเลือดเชิงบวกหมายถึง KCT = '+' หรือ RVVT = '+' หรือ LAC = '+';</t>
  </si>
  <si>
    <t>SELECT COUNT(T1.ID) FROM Patient AS T1 INNER JOIN Laboratory AS T2 ON T1.ID = T2.ID INNER JOIN Examination AS T3 ON T1.ID = T3.ID WHERE T2.CPK &lt; 250 AND (T3.KCT = '+' OR T3.RVVT = '+' OR T3.LAC = '+')</t>
  </si>
  <si>
    <t>When is the birthday of the oldest patient whose blood glucose is abnormal?</t>
  </si>
  <si>
    <t>oldest patient refers to MIN(Birthday); blood glucose is abnormal refers to GLU &gt; 180;</t>
  </si>
  <si>
    <t>ผู้ป่วยที่อายุมากที่สุดหมายถึง MIN (วันเกิด); ระดับน้ำตาลในเลือดผิดปกติหมายถึง GLU &gt; 180;</t>
  </si>
  <si>
    <t>SELECT T1.Birthday FROM Patient AS T1 INNER JOIN Laboratory AS T2 ON T1.ID = T2.ID WHERE T2.GLU &gt; 180 ORDER BY T1.Birthday ASC LIMIT 1</t>
  </si>
  <si>
    <t>Among the patients with a normal blood glucose, how many of them don't have thrombosis?</t>
  </si>
  <si>
    <t>normal blood glucose refers to GLU &lt; 180; don't have thrombosis refers to Thrombosis = 0;</t>
  </si>
  <si>
    <t>ระดับน้ำตาลในเลือดปกติหมายถึง GLU &lt;180; ไม่มีการเกิดลิ่มเลือดหมายถึงการเกิดลิ่มเลือด = 0;</t>
  </si>
  <si>
    <t>SELECT COUNT(T1.ID) FROM Patient AS T1 INNER JOIN Laboratory AS T2 ON T1.ID = T2.ID INNER JOIN Examination AS T3 ON T1.ID = T3.ID WHERE T2.GLU &lt; 180 AND T3.Thrombosis = 0</t>
  </si>
  <si>
    <t>How many patients accepted to the hospital have a normal level of white blood cells?</t>
  </si>
  <si>
    <t>accepted to the hospital refers to Admission = '+'; normal level of white blood cells refers to WBC between 3.5 and 9.0;</t>
  </si>
  <si>
    <t>เข้ารับการรักษาในโรงพยาบาล หมายถึง Admission = '+'; ระดับเม็ดเลือดขาวปกติหมายถึง WBC ระหว่าง 3.5 ถึง 9.0;</t>
  </si>
  <si>
    <t>SELECT COUNT(T1.ID) FROM Patient AS T1 INNER JOIN Laboratory AS T2 ON T1.ID = T2.ID WHERE T2.WBC BETWEEN 3.5 AND 9 AND T1.Admission = '+'</t>
  </si>
  <si>
    <t>How many patients diagnosed with SLE have a normal white blood cell level?</t>
  </si>
  <si>
    <t>diagnosed with SLE refers to Diagnosis = 'SLE'; normal white blood cell level refers to WBC between 3.5 and 9.0;</t>
  </si>
  <si>
    <t>ที่ได้รับการวินิจฉัยว่าเป็นโรค SLE หมายถึง การวินิจฉัย = 'SLE'; ระดับเม็ดเลือดขาวปกติหมายถึง WBC ระหว่าง 3.5 ถึง 9.0;</t>
  </si>
  <si>
    <t>SELECT COUNT(T1.ID) FROM Patient AS T1 INNER JOIN Laboratory AS T2 ON T1.ID = T2.ID WHERE T1.Diagnosis = 'SLE' AND T2.WBC BETWEEN 3.5 AND 9</t>
  </si>
  <si>
    <t>Please list the patient's ID if he or she has an abnormal level of red blood cell and is followed at the outpatient clinic.</t>
  </si>
  <si>
    <t>RBC &lt; = 3.5 or RBC &gt; = 6.0 means the patient has an abnormal level of red blood cell; 3.5 &lt; RBC &lt; 6.0 means the patient has a normal level of red blood cell; followed at the outpatient clinic refers to Admission = '-';</t>
  </si>
  <si>
    <t>RBC &lt; = 3.5 หรือ RBC &gt; = 6.0 หมายความว่า ผู้ป่วยมีระดับเม็ดเลือดแดงผิดปกติ 3.5 &lt; RBC &lt; 6.0 หมายความว่า ผู้ป่วยมีระดับเม็ดเลือดแดงปกติ ตามด้วยคลินิกผู้ป่วยนอกหมายถึง Admission = '-';</t>
  </si>
  <si>
    <t>SELECT DISTINCT T1.ID FROM Patient AS T1 INNER JOIN Laboratory AS T2 ON T1.ID = T2.ID WHERE (T2.RBC &lt;= 3.5 OR T2.RBC &gt;= 6) AND T1.Admission = '-'</t>
  </si>
  <si>
    <t>Among the patients who have a normal platelet level, how many of them have other symptoms observed?</t>
  </si>
  <si>
    <t>normal platelet level refers to PLT &gt; 100 and PLT &lt; 400; have other symptoms refers to Diagnosis is not null;</t>
  </si>
  <si>
    <t>ระดับเกล็ดเลือดปกติหมายถึง PLT &gt; 100 และ PLT &lt; 400; มีอาการอื่น ๆ หมายถึงการวินิจฉัยไม่เป็นโมฆะ;</t>
  </si>
  <si>
    <t>SELECT COUNT(T1.ID) FROM Patient AS T1 INNER JOIN Laboratory AS T2 ON T1.ID = T2.ID WHERE T2.PLT &gt; 100 AND T2.PLT &lt; 400 AND T1.Diagnosis IS NOT NULL</t>
  </si>
  <si>
    <t>Please list a patient's platelet level if it is within the normal range and if he or she is diagnosed with MCTD.</t>
  </si>
  <si>
    <t>PLT &gt; 100 and PLT &lt; 400 means platelet level is within the normal range; PLT &lt; 100 and PLT &gt; 400 means platelet level is not within the normal range; diagnosed with MCTD refers to Diagnosis = 'MCTD';</t>
  </si>
  <si>
    <t>PLT &gt; 100 และ PLT &lt; 400 หมายความว่าระดับเกล็ดเลือดอยู่ในช่วงปกติ PLT &lt; 100 และ PLT &gt; 400 หมายความว่าระดับเกล็ดเลือดไม่อยู่ในช่วงปกติ การวินิจฉัยด้วย MCTD หมายถึง Diagnosis = 'MCTD';</t>
  </si>
  <si>
    <t>SELECT T2.PLT FROM Patient AS T1 INNER JOIN Laboratory AS T2 ON T1.ID = T2.ID WHERE T1.Diagnosis = 'MCTD' AND T2.PLT BETWEEN 100 AND 400</t>
  </si>
  <si>
    <t>For the male patients that have a normal prothrombin time, what is their average prothrombin time?</t>
  </si>
  <si>
    <t>male refers to Sex = 'M'; normal prothrombin time refer to PT &lt; 14; average prothrombin time = AVG(PT);</t>
  </si>
  <si>
    <t>ชายหมายถึงเพศ = 'M'; เวลา prothrombin ปกติอ้างอิงถึง PT &lt;14; เวลา prothrombin เฉลี่ย = AVG (PT);</t>
  </si>
  <si>
    <t>SELECT AVG(T2.PT) FROM Patient AS T1 INNER JOIN Laboratory AS T2 ON T1.ID = T2.ID WHERE T2.PT &lt; 14 AND T1.SEX = 'M'</t>
  </si>
  <si>
    <t>How many patients with severe thrombosis have a normal prothrombin time?</t>
  </si>
  <si>
    <t>severe thrombosis refers to Thrombosis = 2 or 1; normal prothrombin time refers to PT &lt; 14;</t>
  </si>
  <si>
    <t>การเกิดลิ่มเลือดอย่างรุนแรงหมายถึงการเกิดลิ่มเลือด = 2 หรือ 1; เวลา prothrombin ปกติหมายถึง PT &lt;14;</t>
  </si>
  <si>
    <t>SELECT COUNT(T1.ID) FROM Patient AS T1 INNER JOIN Laboratory AS T2 ON T1.ID = T2.ID INNER JOIN Examination AS T3 ON T1.ID = T3.ID WHERE T2.PT &lt; 14 AND T3.Thrombosis &lt; 3 AND T3.Thrombosis &gt; 0</t>
  </si>
  <si>
    <t>student_club</t>
  </si>
  <si>
    <t>What's Angela Sanders's major?</t>
  </si>
  <si>
    <t>Angela Sanders is the full name; full name refers to first_name, last_name; major refers to major_name.</t>
  </si>
  <si>
    <t>Angela Sanders เป็นชื่อเต็ม; ชื่อเต็มหมายถึง first_name, Last_name; หลักหมายถึง major_name</t>
  </si>
  <si>
    <t>SELECT T2.major_name FROM member AS T1 INNER JOIN major AS T2 ON T1.link_to_major = T2.major_id WHERE T1.first_name = 'Angela' AND T1.last_name = 'Sanders'</t>
  </si>
  <si>
    <t>How many students in the Student_Club are from the College of Engineering?</t>
  </si>
  <si>
    <t>SELECT COUNT(T1.member_id) FROM member AS T1 INNER JOIN major AS T2 ON T1.link_to_major = T2.major_id WHERE T2.college = 'College of Engineering'</t>
  </si>
  <si>
    <t>Please list the full names of the students in the Student_Club that come from the Art and Design Department.</t>
  </si>
  <si>
    <t>full name refers to first_name, last_name;</t>
  </si>
  <si>
    <t>ชื่อเต็มหมายถึง first_name, Last_name;</t>
  </si>
  <si>
    <t>SELECT T1.first_name, T1.last_name FROM member AS T1 INNER JOIN major AS T2 ON T1.link_to_major = T2.major_id WHERE T2.department = 'Art and Design Department'</t>
  </si>
  <si>
    <t>How many students of the Student_Club have attended the event "Women's Soccer"?</t>
  </si>
  <si>
    <t>Women's Soccer is an event name</t>
  </si>
  <si>
    <t>ฟุตบอลหญิง เป็นชื่อกิจกรรม</t>
  </si>
  <si>
    <t>SELECT COUNT(T1.event_id) FROM event AS T1 INNER JOIN attendance AS T2 ON T1.event_id = T2.link_to_event WHERE T1.event_name = 'Women''s Soccer'</t>
  </si>
  <si>
    <t>Please list the phone numbers of the students from the Student_Club that has attended the event "Women's Soccer".</t>
  </si>
  <si>
    <t>Women's Soccer is an event name; phone numbers refers to phone</t>
  </si>
  <si>
    <t>Women's Soccer เป็นชื่อกิจกรรม หมายเลขโทรศัพท์หมายถึงโทรศัพท์</t>
  </si>
  <si>
    <t>SELECT T3.phone FROM event AS T1 INNER JOIN attendance AS T2 ON T1.event_id = T2.link_to_event INNER JOIN member AS T3 ON T2.link_to_member = T3.member_id WHERE T1.event_name = 'Women''s Soccer'</t>
  </si>
  <si>
    <t>Among the students from the Student_Club who attended the event "Women's Soccer", how many of them want a T-shirt that's in medium size?</t>
  </si>
  <si>
    <t>Women's Soccer is an event name; T-shirt that is in medium size refers to t_shirt_size = 'Medium'</t>
  </si>
  <si>
    <t>Women's Soccer เป็นชื่อกิจกรรม เสื้อยืดที่มีขนาดกลางหมายถึง t_shirt_size = 'Medium'</t>
  </si>
  <si>
    <t>SELECT COUNT(T1.event_id) FROM event AS T1 INNER JOIN attendance AS T2 ON T1.event_id = T2.link_to_event INNER JOIN member AS T3 ON T2.link_to_member = T3.member_id WHERE T1.event_name = 'Women''s Soccer' AND T3.t_shirt_size = 'Medium'</t>
  </si>
  <si>
    <t>What is the event that has the highest attendance of the students from the Student_Club?</t>
  </si>
  <si>
    <t>event with highest attendance refers to MAX(COUNT(link_to_event))</t>
  </si>
  <si>
    <t>กิจกรรมที่มีผู้เข้าร่วมสูงสุดหมายถึง MAX(COUNT(link_to_event))</t>
  </si>
  <si>
    <t>SELECT T1.event_name FROM event AS T1 INNER JOIN attendance AS T2 ON T1.event_id = T2.link_to_event GROUP BY T1.event_name ORDER BY COUNT(T2.link_to_event) DESC LIMIT 1</t>
  </si>
  <si>
    <t>Which college is the vice president of the Student_Club from?</t>
  </si>
  <si>
    <t>Vice President is a position of the Student Club</t>
  </si>
  <si>
    <t>รองอธิการบดีดำรงตำแหน่งชมรมนักศึกษา</t>
  </si>
  <si>
    <t>SELECT T2.college FROM member AS T1 INNER JOIN major AS T2 ON T1.link_to_major = T2.major_id WHERE T1.position LIKE 'vice president'</t>
  </si>
  <si>
    <t>Please list the event names of all the events attended by Maya Mclean.</t>
  </si>
  <si>
    <t>SELECT T1.event_name FROM event AS T1 INNER JOIN attendance AS T2 ON T1.event_id = T2.link_to_event INNER JOIN member AS T3 ON T2.link_to_member = T3.member_id WHERE T3.first_name = 'Maya' AND T3.last_name = 'Mclean'</t>
  </si>
  <si>
    <t>How many events of the Student_Club did Sacha Harrison attend in 2019?</t>
  </si>
  <si>
    <t>events attended in 2019 refers to YEAR(event_date) = 2019</t>
  </si>
  <si>
    <t>กิจกรรมที่เข้าร่วมในปี 2562 หมายถึง YEAR(event_date) = 2019</t>
  </si>
  <si>
    <t>SELECT COUNT(T1.event_id) FROM event AS T1 INNER JOIN attendance AS T2 ON T1.event_id = T2.link_to_event INNER JOIN member AS T3 ON T2.link_to_member = T3.member_id WHERE T3.first_name = 'Sacha' AND T3.last_name = 'Harrison' AND SUBSTR(T1.event_date, 1, 4) = '2019'</t>
  </si>
  <si>
    <t>Among the events attended by more than 10 members of the Student_Club, how many of them are meetings?</t>
  </si>
  <si>
    <t>meetings events refers to type = 'Meeting'; attended by more than 10 members refers to COUNT(event_id) &gt; 10</t>
  </si>
  <si>
    <t>กิจกรรมการประชุมหมายถึงประเภท = 'การประชุม'; มีสมาชิกเข้าร่วมมากกว่า 10 คน หมายถึง COUNT(event_id) &gt; 10</t>
  </si>
  <si>
    <t>SELECT T1.event_name FROM event AS T1  INNER JOIN attendance AS T2 ON T1.event_id = T2.link_to_event GROUP BY T1.event_id  HAVING COUNT(T2.link_to_event) &gt; 10 EXCEPT SELECT T1.event_name  FROM event AS T1  WHERE T1.type = 'Meeting'</t>
  </si>
  <si>
    <t>List all the names of events that had an attendance of over 20 students but were not fundraisers.</t>
  </si>
  <si>
    <t>name of events refers to event_name; attendance of over 20 students COUNT(event_id) &gt; 20.</t>
  </si>
  <si>
    <t>ชื่อของเหตุการณ์หมายถึง event_name; การเข้าร่วมของนักเรียนมากกว่า 20 คน COUNT(event_id) &gt; 20</t>
  </si>
  <si>
    <t>SELECT T1.event_name FROM event AS T1 INNER JOIN attendance AS T2 ON T1.event_id = T2.link_to_event GROUP BY T1.event_id HAVING COUNT(T2.link_to_event) &gt; 20 EXCEPT SELECT T1.event_name FROM event AS T1  WHERE T1.type = 'Fundraiser'</t>
  </si>
  <si>
    <t>What is the average attendance of meetings in 2020?</t>
  </si>
  <si>
    <t>meetings in 2020 refers to type = 'Meeting' where YEAR(event_date) = 2020; average = DIVIDE(COUNT(event_id), COUNT(DISTINCT event_name))</t>
  </si>
  <si>
    <t>การประชุมในปี 2563 อ้างอิงถึงประเภท = 'การประชุม' โดยที่ YEAR(event_date) = 2020; ค่าเฉลี่ย = DIVIDE(COUNT(event_id), COUNT(DISTINCT event_name))</t>
  </si>
  <si>
    <t>SELECT CAST(COUNT(T2.link_to_event) AS REAL) / COUNT(DISTINCT T2.link_to_event) FROM event AS T1 INNER JOIN attendance AS T2 ON T1.event_id = T2.link_to_event WHERE SUBSTR(T1.event_date, 1, 4) = '2020' AND T1.type = 'Meeting'</t>
  </si>
  <si>
    <t>What is the most expensive item that was spent in support of club events?</t>
  </si>
  <si>
    <t>item in support of club events refers to expense_description; most expensive refers to MAX(cost)</t>
  </si>
  <si>
    <t>รายการสนับสนุนกิจกรรมของสโมสรหมายถึง allowance_description; แพงที่สุดหมายถึง MAX (ต้นทุน)</t>
  </si>
  <si>
    <t>SELECT expense_description FROM expense ORDER BY cost DESC LIMIT 1</t>
  </si>
  <si>
    <t xml:space="preserve">How many members of the Student_Club have majored Environmental Engineering?
</t>
  </si>
  <si>
    <t>Environmental Engineering' is the major name</t>
  </si>
  <si>
    <t>วิศวกรรมสิ่งแวดล้อม' เป็นชื่อหลัก</t>
  </si>
  <si>
    <t>SELECT COUNT(T1.member_id) FROM member AS T1 INNER JOIN major AS T2 ON T1.link_to_major = T2.major_id WHERE T2.major_name = 'Environmental Engineering'</t>
  </si>
  <si>
    <t>List the full name of all the members of the Student_Club who attended the "Laugh Out Loud" event.</t>
  </si>
  <si>
    <t>full name of members refers to first_name, last_name; 'Laugh Out Loud' is an event name;</t>
  </si>
  <si>
    <t>ชื่อเต็มของสมาชิกหมายถึง first_name, Last_name; 'Laugh Out Loud' เป็นชื่อกิจกรรม</t>
  </si>
  <si>
    <t>SELECT T1.first_name, T1.last_name FROM member AS T1 INNER JOIN attendance AS T2 ON T1.member_id = T2.link_to_member INNER JOIN event AS T3 ON T2.link_to_event = T3.event_id WHERE T3.event_name = 'Laugh Out Loud'</t>
  </si>
  <si>
    <t xml:space="preserve">List the last name of all the students who majored Law and Constitutional Studies. 
</t>
  </si>
  <si>
    <t>Law and Constitutional Studies' is the major name</t>
  </si>
  <si>
    <t>กฎหมายและรัฐธรรมนูญศึกษาเป็นชื่อหลัก</t>
  </si>
  <si>
    <t>SELECT T1.last_name FROM member AS T1 INNER JOIN major AS T2 ON T1.link_to_major = T2.major_id WHERE T2.major_name = 'Law and Constitutional Studies'</t>
  </si>
  <si>
    <t>What county did Sherri Ramsey grew up?</t>
  </si>
  <si>
    <t>SELECT T2.county FROM member AS T1 INNER JOIN zip_code AS T2 ON T1.zip = T2.zip_code WHERE T1.first_name = 'Sherri' AND T1.last_name = 'Ramsey'</t>
  </si>
  <si>
    <t>What college offers the major that Tyler Hewitt took?</t>
  </si>
  <si>
    <t>SELECT T2.college FROM member AS T1 INNER JOIN major AS T2 ON T1.link_to_major = T2.major_id WHERE T1.first_name = 'Tyler' AND T1.last_name = 'Hewitt'</t>
  </si>
  <si>
    <t>What is the amount of the funds that the Vice President received?</t>
  </si>
  <si>
    <t>Vice President' is a position of Student Club; funds received refers to amount.</t>
  </si>
  <si>
    <t>รองอธิการบดี ดำรงตำแหน่งชมรมนักศึกษา เงินที่ได้รับหมายถึงจำนวนเงิน</t>
  </si>
  <si>
    <t>SELECT T2.amount FROM member AS T1 INNER JOIN income AS T2 ON T1.member_id = T2.link_to_member WHERE T1.position = 'Vice President'</t>
  </si>
  <si>
    <t>How much did the Student_Club members spend on food in September Meeting?</t>
  </si>
  <si>
    <t>amount spent refers to spent; spend on food in September Meeting refers to category = 'Food' where event_name = 'September Meeting'</t>
  </si>
  <si>
    <t>จำนวนเงินที่ใช้ไปหมายถึงการใช้จ่าย ค่าอาหารในเดือนกันยายน การประชุมหมายถึงหมวด = 'อาหาร' โดยที่ event_name = 'การประชุมเดือนกันยายน'</t>
  </si>
  <si>
    <t>SELECT T2.spent FROM event AS T1 INNER JOIN budget AS T2 ON T1.event_id = T2.link_to_event WHERE T1.event_name = 'September Meeting' AND T2.category = 'Food' AND SUBSTR(T1.event_date, 6, 2) = '09'</t>
  </si>
  <si>
    <t>What city and state did the President of the Student_Club grow up?</t>
  </si>
  <si>
    <t>President' is a position of Student Club;</t>
  </si>
  <si>
    <t>นายกฯ ดำรงตำแหน่งชมรมนักศึกษา</t>
  </si>
  <si>
    <t>SELECT T2.city, T2.state FROM member AS T1 INNER JOIN zip_code AS T2 ON T1.zip = T2.zip_code WHERE T1.position = 'President'</t>
  </si>
  <si>
    <t>List the full name of the Student_Club members that grew up in Illinois state.</t>
  </si>
  <si>
    <t>full name of member refers to first_name, last_name</t>
  </si>
  <si>
    <t>ชื่อเต็มของสมาชิกหมายถึง first_name, Last_name</t>
  </si>
  <si>
    <t>SELECT T1.first_name, T1.last_name FROM member AS T1 INNER JOIN zip_code AS T2 ON T1.zip = T2.zip_code WHERE T2.state = 'Illinois'</t>
  </si>
  <si>
    <t>How much did the Student_Club members spend on advertisement in September Meeting?</t>
  </si>
  <si>
    <t>amount spent refers to spent; spend on food in September Meeting refers to category = 'Advertisement' where event_name = 'September Meeting'</t>
  </si>
  <si>
    <t>จำนวนเงินที่ใช้ไปหมายถึงการใช้จ่าย ค่าอาหารในเดือนกันยายน การประชุมหมายถึงหมวดหมู่ = 'โฆษณา' โดยที่ event_name = 'การประชุมเดือนกันยายน'</t>
  </si>
  <si>
    <t>SELECT T2.spent FROM event AS T1 INNER JOIN budget AS T2 ON T1.event_id = T2.link_to_event WHERE T1.event_name = 'September Meeting' AND T2.category = 'Advertisement' AND SUBSTR(T1.event_date, 6, 2) = '09'</t>
  </si>
  <si>
    <t>What department offers the major that Pierce and Guidi took?</t>
  </si>
  <si>
    <t>SELECT T2.department FROM member AS T1 INNER JOIN major AS T2 ON T1.link_to_major = T2.major_id WHERE T1.last_name = 'Pierce' OR T1.last_name = 'Guidi'</t>
  </si>
  <si>
    <t>What is the total budgeted amount for all category in "October Speaker" event?</t>
  </si>
  <si>
    <t>total budgeted amount refers to SUM(amount) where event_name = 'October Speaker'</t>
  </si>
  <si>
    <t>จำนวนงบประมาณทั้งหมดหมายถึง SUM (จำนวน) โดยที่ event_name = 'วิทยากรเดือนตุลาคม'</t>
  </si>
  <si>
    <t>SELECT SUM(T2.amount) FROM event AS T1 INNER JOIN budget AS T2 ON T1.event_id = T2.link_to_event WHERE T1.event_name = 'October Speaker'</t>
  </si>
  <si>
    <t>Was each expense in October Meeting on October 8, 2019 approved?</t>
  </si>
  <si>
    <t>event_name = 'October Meeting' where event_date = '2019-10-08'; approved = True means expenses was approved; approved = False means expenses was not approved</t>
  </si>
  <si>
    <t>event_name = 'การประชุมเดือนตุลาคม' โดยที่ event_date = '2019-10-08'; อนุมัติแล้ว = จริง หมายถึง ค่าใช้จ่ายได้รับการอนุมัติแล้ว อนุมัติ = เท็จ หมายถึง ค่าใช้จ่ายไม่ได้รับการอนุมัติ</t>
  </si>
  <si>
    <t>SELECT T3.approved FROM event AS T1 INNER JOIN budget AS T2 ON T1.event_id = T2.link_to_event INNER JOIN expense AS T3 ON T2.budget_id = T3.link_to_budget WHERE T1.event_name = 'October Meeting' AND T1.event_date LIKE '2019-10-08%'</t>
  </si>
  <si>
    <t>Calculate the total average cost that Elijah Allen spent in the events on September and October.</t>
  </si>
  <si>
    <t>Elijah Allen is the full name; full name refers to first_name, last_name; The 5th and 6th string of the expense_date in the expense table can refer to month; events in September and October refers to month(expense_date) = 9 OR month(expense_date) = 10</t>
  </si>
  <si>
    <t>Elijah Allen เป็นชื่อเต็ม; ชื่อเต็มหมายถึง first_name, Last_name; สตริงที่ 5 และ 6 ของ allowance_date ในตารางค่าใช้จ่ายสามารถอ้างอิงถึงเดือนได้ เหตุการณ์ในเดือนกันยายนและตุลาคมหมายถึงเดือน (expense_date) = 9 หรือ เดือน (expense_date) = 10</t>
  </si>
  <si>
    <t>SELECT AVG(T2.cost) FROM member AS T1 INNER JOIN expense AS T2 ON T1.member_id = T2.link_to_member WHERE T1.last_name = 'Allen' AND T1.first_name = 'Elijah' AND (SUBSTR(T2.expense_date, 6, 2) = '09' OR SUBSTR(T2.expense_date, 6, 2) = '10')</t>
  </si>
  <si>
    <t>Calculate the difference of the total amount spent in all events by the Student_Club in year 2019 and 2020.</t>
  </si>
  <si>
    <t>The first 4 strings of the event_date values in the event table can represent year; The difference of the total amount spent = SUBTRACT(spent where YEAR(event_date) = 2019, spent where YEAR(event_date) = 2020)</t>
  </si>
  <si>
    <t>4 สตริงแรกของค่า event_date ในตารางเหตุการณ์สามารถแสดงถึงปีได้ ผลต่างของจำนวนเงินทั้งหมดที่ใช้ไป = SUBTRACT(ใช้ไปโดยที่ YEAR(event_date) = 2019, ใช้จ่ายโดยที่ YEAR(event_date) = 2020)</t>
  </si>
  <si>
    <t>SELECT SUM(CASE WHEN SUBSTR(T1.event_date, 1, 4) = '2019' THEN T2.spent ELSE 0 END) - SUM(CASE WHEN SUBSTR(T1.event_date, 1, 4) = '2020' THEN T2.spent ELSE 0 END) AS num FROM event AS T1 INNER JOIN budget AS T2 ON T1.event_id = T2.link_to_event</t>
  </si>
  <si>
    <t>Give the location for "Spring Budget Review".</t>
  </si>
  <si>
    <t>Spring Budget Review' is an event name;</t>
  </si>
  <si>
    <t>Spring Budget Review' เป็นชื่อกิจกรรม</t>
  </si>
  <si>
    <t>SELECT location FROM event WHERE event_name = 'Spring Budget Review'</t>
  </si>
  <si>
    <t>What was the cost for the "Posters" on 2019/9/4?</t>
  </si>
  <si>
    <t>Poster' is an event description; on 2019/9/14 refers to event_date = '2019-09-04'</t>
  </si>
  <si>
    <t>Poster' คือคำอธิบายกิจกรรม วันที่ 9/9/2562 อ้างอิงถึง event_date = '2019-09-04'</t>
  </si>
  <si>
    <t>SELECT cost FROM expense WHERE expense_description = 'Posters' AND expense_date = '2019-09-04'</t>
  </si>
  <si>
    <t>With the biggest budget for the "Food", what was the remaining of it?</t>
  </si>
  <si>
    <t>remaining of budget refers to remaining, biggest budget for 'Food' refers to MAX(budget.amount) where category = 'Food'</t>
  </si>
  <si>
    <t>งบประมาณที่เหลือหมายถึงงบประมาณที่เหลืออยู่ งบประมาณที่ใหญ่ที่สุดสำหรับ 'อาหาร' หมายถึง MAX(budget.amount) โดยที่ category = 'อาหาร'</t>
  </si>
  <si>
    <t>SELECT remaining FROM budget WHERE category = 'Food' AND amount = ( SELECT MAX(amount) FROM budget WHERE category = 'Food' )</t>
  </si>
  <si>
    <t>What was the notes of the fundraising on 2019/9/14?</t>
  </si>
  <si>
    <t>fundraising on 2019/9/14 refers to source = 'Fundraising' where date_received = '2019-09-14'</t>
  </si>
  <si>
    <t>การระดมทุนในวันที่ 9/9/2562 อ้างอิงถึงแหล่งที่มา = 'การระดมทุน' โดยที่ date_received = '2019-09-14'</t>
  </si>
  <si>
    <t>SELECT notes FROM income WHERE source = 'Fundraising' AND date_received = '2019-09-14'</t>
  </si>
  <si>
    <t>How many majors are there in "College of Humanities and Social Sciences"?</t>
  </si>
  <si>
    <t>SELECT COUNT(major_name) FROM major WHERE college = 'College of Humanities and Social Sciences'</t>
  </si>
  <si>
    <t>Tell the phone number of "Carlo Jacobs".</t>
  </si>
  <si>
    <t>Carlo Jacobs is the full name; full name refers to first_name, last_name;</t>
  </si>
  <si>
    <t>Carlo Jacobs เป็นชื่อเต็ม; ชื่อเต็มหมายถึง first_name, Last_name;</t>
  </si>
  <si>
    <t>SELECT phone FROM member WHERE first_name = 'Carlo' AND last_name = 'Jacobs'</t>
  </si>
  <si>
    <t>Tell the hometown county for "Adela O'Gallagher".</t>
  </si>
  <si>
    <t>hometown county refers to county</t>
  </si>
  <si>
    <t>บ้านเกิด หมายถึง เทศมณฑล</t>
  </si>
  <si>
    <t>SELECT T2.county FROM member AS T1 INNER JOIN zip_code AS T2 ON T1.zip = T2.zip_code WHERE T1.first_name = 'Adela' AND T1.last_name = 'O''Gallagher'</t>
  </si>
  <si>
    <t>For all the budgets for "November Meeting", how many of them had exceeded the budget?</t>
  </si>
  <si>
    <t>November Meeting' is an event name; remaining &lt; 0 means the cost had exceeded the budget</t>
  </si>
  <si>
    <t>November Meeting' เป็นชื่องาน เหลือ &lt; 0 หมายถึง ต้นทุนเกินงบประมาณ</t>
  </si>
  <si>
    <t>SELECT COUNT(T2.event_id) FROM budget AS T1 INNER JOIN event AS T2 ON T1.link_to_event = T2.event_id WHERE T2.event_name = 'November Meeting' AND T1.remaining &lt; 0</t>
  </si>
  <si>
    <t>Provide the total number of the budget amount for "September Speaker" event.</t>
  </si>
  <si>
    <t>September Speaker' is an event name; total number of budget amount refers to SUM(amount)</t>
  </si>
  <si>
    <t>September Speaker' เป็นชื่องาน; จำนวนงบประมาณทั้งหมด หมายถึง SUM(amount)</t>
  </si>
  <si>
    <t>SELECT SUM(T1.amount) FROM budget AS T1 INNER JOIN event AS T2 ON T1.link_to_event = T2.event_id WHERE T2.event_name = 'September Speaker'</t>
  </si>
  <si>
    <t>What is the status of the event which bought "Post Cards, Posters" on 2019/8/20?</t>
  </si>
  <si>
    <t>Post Cards, Posters' is an expense description; on 2019/8/20 refers to expense_date = '2019-8-20'; status of event refers to event_status</t>
  </si>
  <si>
    <t>ไปรษณียบัตร โปสเตอร์ เป็นคำอธิบายค่าใช้จ่าย ในวันที่ 8/2019/20 อ้างอิงถึง allowance_date = '2019-8-20'; สถานะของเหตุการณ์หมายถึง event_status</t>
  </si>
  <si>
    <t>SELECT T1.event_status FROM budget AS T1 INNER JOIN expense AS T2 ON T1.budget_id = T2.link_to_budget WHERE T2.expense_description = 'Post Cards, Posters' AND T2.expense_date = '2019-08-20'</t>
  </si>
  <si>
    <t>What was Brent Thomason's major?</t>
  </si>
  <si>
    <t>Brent Thomason is the full name; full name refers to first_name, last_name; major refers to major_name</t>
  </si>
  <si>
    <t>Brent Thomason เป็นชื่อเต็ม; ชื่อเต็มหมายถึง first_name, Last_name; หลักหมายถึง major_name</t>
  </si>
  <si>
    <t>SELECT T2.major_name FROM member AS T1 INNER JOIN major AS T2 ON T1.link_to_major = T2.major_id WHERE T1.first_name = 'Brent' AND T1.last_name = 'Thomason'</t>
  </si>
  <si>
    <t>For all the club members from "Business" major, how many of them wear medium size t-shirt?</t>
  </si>
  <si>
    <t>Business' is a major name; wear medium size t-shirt refers to t_shirt_size = 'Medium'</t>
  </si>
  <si>
    <t>ธุรกิจ'เป็นชื่อหลัก สวมเสื้อยืดขนาดกลางหมายถึง t_shirt_size = 'Medium'</t>
  </si>
  <si>
    <t>SELECT COUNT(T1.member_id) FROM member AS T1 INNER JOIN major AS T2 ON T1.link_to_major = T2.major_id WHERE T2.major_name = 'Business' AND T1.t_shirt_size = 'Medium'</t>
  </si>
  <si>
    <t>What's Christof Nielson's zip code type?</t>
  </si>
  <si>
    <t>SELECT T2.type FROM member AS T1 INNER JOIN zip_code AS T2 ON T1.zip = T2.zip_code WHERE T1.first_name = 'Christof' AND T1.last_name = 'Nielson'</t>
  </si>
  <si>
    <t>State the major name for the Vice President of the club.</t>
  </si>
  <si>
    <t>Vice President' is a position of Student Club</t>
  </si>
  <si>
    <t>รองอธิการบดี ดำรงตำแหน่ง ชมรมนักศึกษา</t>
  </si>
  <si>
    <t>SELECT T2.major_name FROM member AS T1 INNER JOIN major AS T2 ON T1.link_to_major = T2.major_id WHERE T1.position = 'Vice President'</t>
  </si>
  <si>
    <t>Where is the hometown state for "Sacha Harrison"?</t>
  </si>
  <si>
    <t>hometown state refers to state;</t>
  </si>
  <si>
    <t>รัฐบ้านเกิดหมายถึงรัฐ</t>
  </si>
  <si>
    <t>SELECT T2.state FROM member AS T1 INNER JOIN zip_code AS T2 ON T1.zip = T2.zip_code WHERE T1.first_name = 'Sacha' AND T1.last_name = 'Harrison'</t>
  </si>
  <si>
    <t>Which department was the President of the club in?</t>
  </si>
  <si>
    <t>President' is a position of Student Club</t>
  </si>
  <si>
    <t>SELECT T2.department FROM member AS T1 INNER JOIN major AS T2 ON T1.link_to_major = T2.major_id WHERE T1.position = 'President'</t>
  </si>
  <si>
    <t>State the date Connor Hilton paid his/her dues.</t>
  </si>
  <si>
    <t>Connor Hilton is the full name; full name refers to first_name, last_name; date the dues was paid refers to date_received where source = 'Dues';</t>
  </si>
  <si>
    <t>Connor Hilton เป็นชื่อเต็ม; ชื่อเต็มหมายถึง first_name, Last_name; วันที่ชำระค่าธรรมเนียมหมายถึง date_received โดยที่ source = 'ค่าธรรมเนียม';</t>
  </si>
  <si>
    <t>SELECT T2.date_received FROM member AS T1 INNER JOIN income AS T2 ON T1.member_id = T2.link_to_member WHERE T1.first_name = 'Connor' AND T1.last_name = 'Hilton' AND T2.source = 'Dues'</t>
  </si>
  <si>
    <t>Who was the first one paid his/her dues? Tell the full name.</t>
  </si>
  <si>
    <t>full name refers to first_name, last_name; first paid dues refers to MIN(received_date) where source = 'Dues'</t>
  </si>
  <si>
    <t>ชื่อเต็มหมายถึง first_name, Last_name; ค่าธรรมเนียมที่ชำระครั้งแรกหมายถึง MIN(received_date) โดยที่ source = 'Dues'</t>
  </si>
  <si>
    <t>SELECT T1.first_name, T1.last_name FROM member AS T1 INNER JOIN income AS T2 ON T1.member_id = T2.link_to_member WHERE T2.source = 'Dues' ORDER BY T2.date_received LIMIT 1</t>
  </si>
  <si>
    <t>How many times was the budget in Advertisement for "Yearly Kickoff" meeting more than "October Meeting"?</t>
  </si>
  <si>
    <t>budget in Advertisement refer to category = 'Advertisement' in the budget table; DIVIDE(SUM(amount when event_name = 'Yearly Kickoff'), SUM(amount when event_name = 'October Meeting'))</t>
  </si>
  <si>
    <t>งบประมาณในการโฆษณาอ้างอิงถึงหมวดหมู่ = 'การโฆษณา' ในตารางงบประมาณ หาร(SUM(จำนวนเมื่อ event_name = 'กำหนดการเริ่มรายปี'), SUM(จำนวนเมื่อ event_name = 'การประชุมเดือนตุลาคม'))</t>
  </si>
  <si>
    <t>SELECT CAST(SUM(CASE WHEN T2.event_name = 'Yearly Kickoff' THEN T1.amount ELSE 0 END) AS REAL) / SUM(CASE WHEN T2.event_name = 'October Meeting' THEN T1.amount ELSE 0 END) FROM budget AS T1 INNER JOIN event AS T2 ON T1.link_to_event = T2.event_id WHERE T1.category = 'Advertisement' AND T2.type = 'Meeting'</t>
  </si>
  <si>
    <t>What percentage was the budget for Parking to the total budget for the "November Speaker"?</t>
  </si>
  <si>
    <t>DIVDE(SUM( amount where category = 'Parking' and event_name = 'November Speaker'), COUNT(event_name = 'November Speaker)) * 100</t>
  </si>
  <si>
    <t>DIVDE(SUM( จำนวนโดยที่ category = 'Parking' และ event_name = 'November Speaker'), COUNT(event_name = 'November Speaker)) * 100</t>
  </si>
  <si>
    <t>SELECT CAST(SUM(CASE WHEN T1.category = 'Parking' THEN T1.amount ELSE 0 END) AS REAL) * 100 / SUM(T1.amount) FROM budget AS T1 INNER JOIN event AS T2 ON T1.link_to_event = T2.event_id WHERE T2.event_name = 'November Speaker'</t>
  </si>
  <si>
    <t>What is the total cost of the pizzas for all the events?</t>
  </si>
  <si>
    <t>total cost of the pizzas refers to SUM(cost) where expense_description = 'Pizza'</t>
  </si>
  <si>
    <t>ต้นทุนรวมของพิซซ่าหมายถึง SUM (ต้นทุน) โดยที่ allowance_description = 'พิซซ่า'</t>
  </si>
  <si>
    <t>SELECT SUM(cost) FROM expense WHERE expense_description = 'Pizza'</t>
  </si>
  <si>
    <t>How many cities are there in Orange County, Virginia?</t>
  </si>
  <si>
    <t>Orange County is the county name, Virginia is the state name</t>
  </si>
  <si>
    <t>Orange County เป็นชื่อเทศมณฑล เวอร์จิเนียเป็นชื่อรัฐ</t>
  </si>
  <si>
    <t>SELECT COUNT(city) FROM zip_code WHERE county = 'Orange County' AND state = 'Virginia'</t>
  </si>
  <si>
    <t>List all of the College of Humanities and Social Sciences' departments.</t>
  </si>
  <si>
    <t>SELECT department FROM major WHERE college = 'College of Humanities and Social Sciences'</t>
  </si>
  <si>
    <t>Where is Amy Firth's hometown?</t>
  </si>
  <si>
    <t>hometown refers to city, county, state</t>
  </si>
  <si>
    <t>บ้านเกิดหมายถึงเมือง, มณฑล, รัฐ</t>
  </si>
  <si>
    <t>SELECT T2.city, T2.county, T2.state FROM member AS T1 INNER JOIN zip_code AS T2 ON T1.zip = T2.zip_code WHERE T1.first_name = 'Amy' AND T1.last_name = 'Firth'</t>
  </si>
  <si>
    <t>What are the expenses of the budget with the lowest remaining?</t>
  </si>
  <si>
    <t>expense of budget refers to expense_description; lowest remaining refers to MIN(remaining)</t>
  </si>
  <si>
    <t>ค่าใช้จ่ายด้านงบประมาณหมายถึง cost_description; ต่ำสุดที่เหลืออยู่หมายถึง MIN (คงเหลือ)</t>
  </si>
  <si>
    <t>SELECT T2.expense_description FROM budget AS T1 INNER JOIN expense AS T2 ON T1.budget_id = T2.link_to_budget ORDER BY T1.remaining LIMIT 1</t>
  </si>
  <si>
    <t>List all the members who attended the event "October Meeting".</t>
  </si>
  <si>
    <t>October Meeting' is an event name;</t>
  </si>
  <si>
    <t>October Meeting' เป็นชื่องาน;</t>
  </si>
  <si>
    <t>SELECT DISTINCT T3.member_id FROM event AS T1 INNER JOIN attendance AS T2 ON T1.event_id = T2.link_to_event INNER JOIN member AS T3 ON T2.link_to_member = T3.member_id WHERE T1.event_name = 'October Meeting'</t>
  </si>
  <si>
    <t>Which college do most of the members go to?</t>
  </si>
  <si>
    <t>college most members go refers to MAX(COUNT(major.college))</t>
  </si>
  <si>
    <t>วิทยาลัย สมาชิกส่วนใหญ่ไปหมายถึง MAX(COUNT(major.college))</t>
  </si>
  <si>
    <t>SELECT T2.college FROM member AS T1 INNER JOIN major AS T2 ON T1.link_to_major = T2.major_id GROUP BY T2.major_id ORDER BY COUNT(T2.college) DESC LIMIT 1</t>
  </si>
  <si>
    <t>What does the person with the phone number "809-555-3360" major in?</t>
  </si>
  <si>
    <t>major in refers to major_name</t>
  </si>
  <si>
    <t>หลักในการอ้างถึง major_name</t>
  </si>
  <si>
    <t>SELECT T2.major_name FROM member AS T1 INNER JOIN major AS T2 ON T1.link_to_major = T2.major_id WHERE T1.phone = '809-555-3360'</t>
  </si>
  <si>
    <t>Which event has the highest budget amount?</t>
  </si>
  <si>
    <t>event refers to event_name; highest budget amount refers to MAX(amount)</t>
  </si>
  <si>
    <t>เหตุการณ์หมายถึง event_name; จำนวนงบประมาณสูงสุดหมายถึง MAX(จำนวน)</t>
  </si>
  <si>
    <t>SELECT T2.event_name FROM budget AS T1 INNER JOIN event AS T2 ON T1.link_to_event = T2.event_id ORDER BY T1.amount DESC LIMIT 1</t>
  </si>
  <si>
    <t>List all the expenses incurred by the vice president.</t>
  </si>
  <si>
    <t>expense refers to expense_description; 'Vice President' is a position of the Student Club</t>
  </si>
  <si>
    <t>ค่าใช้จ่ายหมายถึง cost_description; 'รองประธาน' ดำรงตำแหน่งชมรมนักศึกษา</t>
  </si>
  <si>
    <t>SELECT T2.expense_id, T2.expense_description FROM member AS T1 INNER JOIN expense AS T2 ON T1.member_id = T2.link_to_member WHERE T1.position = 'Vice President'</t>
  </si>
  <si>
    <t>How many members attended the "Women's Soccer" event?</t>
  </si>
  <si>
    <t>Women's Soccer' is the event name;</t>
  </si>
  <si>
    <t>Women's Soccer' เป็นชื่องาน;</t>
  </si>
  <si>
    <t>SELECT COUNT(T2.link_to_member) FROM event AS T1 INNER JOIN attendance AS T2 ON T1.event_id = T2.link_to_event WHERE T1.event_name = 'Women''s Soccer'</t>
  </si>
  <si>
    <t>When did the member, Casey Mason, received the income?</t>
  </si>
  <si>
    <t>when the income was received refers to date_received</t>
  </si>
  <si>
    <t>เมื่อได้รับรายได้หมายถึง date_received</t>
  </si>
  <si>
    <t>SELECT T2.date_received FROM member AS T1 INNER JOIN income AS T2 ON T1.member_id = T2.link_to_member WHERE T1.first_name = 'Casey' AND T1.last_name = 'Mason'</t>
  </si>
  <si>
    <t>How many of the members' hometowns are from Maryland state?</t>
  </si>
  <si>
    <t>SELECT COUNT(T2.member_id) FROM zip_code AS T1 INNER JOIN member AS T2 ON T1.zip_code = T2.zip WHERE T1.state = 'Maryland'</t>
  </si>
  <si>
    <t>How many events did the member with the phone number "954-555-6240" attend?</t>
  </si>
  <si>
    <t>SELECT COUNT(T2.link_to_event) FROM member AS T1 INNER JOIN attendance AS T2 ON T1.member_id = T2.link_to_member WHERE T1.phone = '954-555-6240'</t>
  </si>
  <si>
    <t>List all the members of the "School of Applied Sciences, Technology and Education" department.</t>
  </si>
  <si>
    <t>list all members means to list all the full name; full name refers to first_name, last_name;</t>
  </si>
  <si>
    <t>รายชื่อสมาชิกทั้งหมด หมายถึง การแสดงชื่อเต็มทั้งหมด ชื่อเต็มหมายถึง first_name, Last_name;</t>
  </si>
  <si>
    <t>SELECT T1.first_name, T1.last_name FROM member AS T1 INNER JOIN major AS T2 ON T1.link_to_major = T2.major_id WHERE T2.department = 'School of Applied Sciences, Technology and Education'</t>
  </si>
  <si>
    <t>Among all the closed events, which event has the highest spend-to-budget ratio?</t>
  </si>
  <si>
    <t>closed events refers to event_name where status = 'Closed'; highest spend-to budget ratio refers to MAX(DIVIDE(spent, amount))</t>
  </si>
  <si>
    <t>กิจกรรมที่ปิดหมายถึง event_name โดยที่สถานะ = 'ปิด'; อัตราส่วนการใช้จ่ายต่องบประมาณสูงสุดหมายถึง MAX(DIVIDE(ที่ใช้ไป,จำนวนเงิน))</t>
  </si>
  <si>
    <t>SELECT T2.event_name FROM budget AS T1 INNER JOIN event AS T2 ON T1.link_to_event = T2.event_id WHERE T2.status = 'Closed' ORDER BY T1.spent / T1.amount DESC LIMIT 1</t>
  </si>
  <si>
    <t>How many student have the position of president?</t>
  </si>
  <si>
    <t>SELECT COUNT(member_id) FROM member WHERE position = 'President'</t>
  </si>
  <si>
    <t>What is the highest amount of budget spend for an event?</t>
  </si>
  <si>
    <t>highest amount of budget spend refers to MAX(spent)</t>
  </si>
  <si>
    <t>จำนวนการใช้จ่ายงบประมาณสูงสุดหมายถึง MAX(ใช้ไป)</t>
  </si>
  <si>
    <t>SELECT MAX(spent) FROM budget</t>
  </si>
  <si>
    <t>How many meeting events were held in 2020?</t>
  </si>
  <si>
    <t>meeting events refers to type = 'Meeting'; held in 2020 refers to YEAR(event_date) = 2020</t>
  </si>
  <si>
    <t>กิจกรรมการประชุมหมายถึงประเภท = 'การประชุม'; จัดขึ้นในปี 2563 หมายถึง YEAR(event_date) = 2020</t>
  </si>
  <si>
    <t>SELECT COUNT(event_id) FROM event WHERE type = 'Meeting' AND SUBSTR(event_date, 1, 4) = '2020'</t>
  </si>
  <si>
    <t>What is the total amount of money spent for food?</t>
  </si>
  <si>
    <t>total amount of money spent refers to SUM(spent); spent for food refers to category = 'Food'</t>
  </si>
  <si>
    <t>จำนวนเงินที่ใช้ไปทั้งหมดหมายถึง SUM (ใช้ไป) ค่าอาหารหมายถึงหมวด = 'อาหาร'</t>
  </si>
  <si>
    <t>SELECT SUM(spent) FROM budget WHERE category = 'Food'</t>
  </si>
  <si>
    <t>List the name of students that have attended more than 7 events.</t>
  </si>
  <si>
    <t>name of students means the full name; full name refers to first_name, last_name; attended more than 7 events refers to COUNT(link_to_event) &gt; 7</t>
  </si>
  <si>
    <t>ชื่อนักเรียน หมายถึง ชื่อเต็ม ชื่อเต็มหมายถึง first_name, Last_name; เข้าร่วมมากกว่า 7 กิจกรรม หมายถึง COUNT(link_to_event) &gt; 7</t>
  </si>
  <si>
    <t>SELECT T1.first_name, T1.last_name FROM member AS T1 INNER JOIN attendance AS T2 ON T1.member_id = T2.link_to_member GROUP BY T2.link_to_member HAVING COUNT(T2.link_to_event) &gt; 7</t>
  </si>
  <si>
    <t>Among the students majored in interior design, who have attended the Community Theater event?</t>
  </si>
  <si>
    <t>majored in music refers to major_name = 'Interior Design'; 'Community Theater' is the event name;</t>
  </si>
  <si>
    <t>สาขาวิชาดนตรีหมายถึง major_name = 'การออกแบบภายใน'; 'โรงละครชุมชน' เป็นชื่องาน;</t>
  </si>
  <si>
    <t>SELECT T2.first_name, T2.last_name FROM major AS T1 INNER JOIN member AS T2 ON T1.major_id = T2.link_to_major INNER JOIN attendance AS T3 ON T2.member_id = T3.link_to_member INNER JOIN event AS T4 ON T3.link_to_event = T4.event_id WHERE T4.event_name = 'Community Theater' AND T1.major_name = 'Interior Design'</t>
  </si>
  <si>
    <t>State the name of students from Georgetown, South Carolina.</t>
  </si>
  <si>
    <t>name of students means the full name; full name refers to first_name, last_name; Georgetown is a city; South Carolina is a state</t>
  </si>
  <si>
    <t>ชื่อนักเรียน หมายถึง ชื่อเต็ม ชื่อเต็มหมายถึง first_name, Last_name; จอร์จทาวน์เป็นเมือง เซาท์แคโรไลนาเป็นรัฐ</t>
  </si>
  <si>
    <t>SELECT T1.first_name, T1.last_name FROM member AS T1 INNER JOIN zip_code AS T2 ON T1.zip = T2.zip_code WHERE T2.city = 'Georgetown' AND T2.state = 'South Carolina'</t>
  </si>
  <si>
    <t>How many income generated by Grant Gilmour?</t>
  </si>
  <si>
    <t>income generated refers to income.amount</t>
  </si>
  <si>
    <t>รายได้ที่สร้างขึ้นหมายถึงรายได้จำนวน</t>
  </si>
  <si>
    <t>SELECT T2.amount FROM member AS T1 INNER JOIN income AS T2 ON T1.member_id = T2.link_to_member WHERE T1.first_name = 'Grant' AND T1.last_name = 'Gilmour'</t>
  </si>
  <si>
    <t>Which student was able to generate income more than $40?</t>
  </si>
  <si>
    <t>name of students means the full name; full name refers to first_name, last_name; generate income more than $50 refers to income.amount &gt; 40</t>
  </si>
  <si>
    <t>ชื่อนักเรียน หมายถึง ชื่อเต็ม ชื่อเต็มหมายถึง first_name, Last_name; สร้างรายได้มากกว่า $50 หมายถึง Income.amount &gt; 40</t>
  </si>
  <si>
    <t>SELECT T1.first_name, T1.last_name FROM member AS T1 INNER JOIN income AS T2 ON T1.member_id = T2.link_to_member WHERE T2.amount &gt; 40</t>
  </si>
  <si>
    <t>What is the total expense for the Yearly Kickoff?</t>
  </si>
  <si>
    <t>Yearly Kickoff' is an event name; total expense refers to SUM(cost)</t>
  </si>
  <si>
    <t>Yearly Kickoff' เป็นชื่อกิจกรรม ค่าใช้จ่ายทั้งหมดหมายถึง SUM (ต้นทุน)</t>
  </si>
  <si>
    <t>SELECT SUM(T3.cost) FROM event AS T1 INNER JOIN budget AS T2 ON T1.event_id = T2.link_to_event INNER JOIN expense AS T3 ON T2.budget_id = T3.link_to_budget WHERE T1.event_name = 'Yearly Kickoff'</t>
  </si>
  <si>
    <t>Which student has been entrusted to manage the budget for the Yearly Kickoff?</t>
  </si>
  <si>
    <t>name of students means the full name; full name refers to first_name, last_name;'Yearly Kickoff' is an event name;</t>
  </si>
  <si>
    <t>ชื่อนักเรียน หมายถึง ชื่อเต็ม ชื่อเต็มหมายถึง first_name, Last_name;'Yearly Kickoff' คือชื่อกิจกรรม</t>
  </si>
  <si>
    <t>SELECT T4.first_name, T4.last_name FROM event AS T1 INNER JOIN budget AS T2 ON T1.event_id = T2.link_to_event INNER JOIN expense AS T3 ON T2.budget_id = T3.link_to_budget INNER JOIN member AS T4 ON T3.link_to_member = T4.member_id WHERE T1.event_name = 'Yearly Kickoff'</t>
  </si>
  <si>
    <t>Which students manage to generate the highest income. State his/her full name along with the income source.</t>
  </si>
  <si>
    <t>name of students means the full name; full name refers to first_name, last_name; generate the highest income refers to MAX(income.amount);</t>
  </si>
  <si>
    <t>ชื่อนักเรียน หมายถึง ชื่อเต็ม ชื่อเต็มหมายถึง first_name, Last_name; สร้างรายได้สูงสุดหมายถึง MAX(income.amount);</t>
  </si>
  <si>
    <t>SELECT T1.first_name, T1.last_name, T2.source FROM member AS T1 INNER JOIN income AS T2 ON T1.member_id = T2.link_to_member GROUP BY T1.first_name, T1.last_name, T2.source ORDER BY SUM(T2.amount) DESC LIMIT 1</t>
  </si>
  <si>
    <t>Which event has the lowest cost?</t>
  </si>
  <si>
    <t>event refers to event_name; lowest cost means MIN(cost)</t>
  </si>
  <si>
    <t>เหตุการณ์หมายถึง event_name; ต้นทุนต่ำสุดหมายถึง MIN(ต้นทุน)</t>
  </si>
  <si>
    <t>SELECT T1.event_name FROM event AS T1 INNER JOIN budget AS T2 ON T1.event_id = T2.link_to_event INNER JOIN expense AS T3 ON T2.budget_id = T3.link_to_budget ORDER BY T3.cost LIMIT 1</t>
  </si>
  <si>
    <t>Based on the total cost for all event, what is the percentage of cost for Yearly Kickoff event?</t>
  </si>
  <si>
    <t>percentage = DIVIDE(SUM(cost where event_name = 'Yearly Kickoff'), SUM(cost)) * 100</t>
  </si>
  <si>
    <t>เปอร์เซ็นต์ = DIVIDE(SUM(ต้นทุน โดยที่ event_name = 'การแจ้งกำหนดการรายปี'), SUM(ต้นทุน)) * 100</t>
  </si>
  <si>
    <t>SELECT CAST(SUM(CASE WHEN T1.event_name = 'Yearly Kickoff' THEN T3.cost ELSE 0 END) AS REAL) * 100 / SUM(T3.cost) FROM event AS T1 INNER JOIN budget AS T2 ON T1.event_id = T2.link_to_event INNER JOIN expense AS T3 ON T2.budget_id = T3.link_to_budget</t>
  </si>
  <si>
    <t>What is the ratio between students majored in finance and physics?</t>
  </si>
  <si>
    <t>DIVDE(SUM(major_name = 'Finance'), SUM(major_name = 'Physics'))</t>
  </si>
  <si>
    <t>DIVDE(SUM(major_name = 'การเงิน'), SUM(major_name = 'ฟิสิกส์'))</t>
  </si>
  <si>
    <t>SELECT SUM(CASE WHEN major_name = 'Finance' THEN 1 ELSE 0 END) / SUM(CASE WHEN major_name = 'Physics' THEN 1 ELSE 0 END) AS ratio FROM major</t>
  </si>
  <si>
    <t>Indicate the top source of funds received in September 2019 based on their amount.</t>
  </si>
  <si>
    <t>top source funds refers to MAX(source); September 2019 means date_received BETWEEN '2019-09-01' and '2019-09-30'</t>
  </si>
  <si>
    <t>กองทุนต้นทางอ้างอิงถึง MAX(ที่มา); กันยายน 2019 หมายถึง date_received BETWEEN '2019-09-01' และ '2019-09-30'</t>
  </si>
  <si>
    <t>SELECT source FROM income WHERE date_received BETWEEN '2019-09-01' and '2019-09-30' ORDER BY source DESC LIMIT 1</t>
  </si>
  <si>
    <t>Provide the full name and email address of the Student_Club's Secretary.</t>
  </si>
  <si>
    <t>full name refers to first_name, last_name; 'Secretary' is a position of Student Club</t>
  </si>
  <si>
    <t>ชื่อเต็มหมายถึง first_name, Last_name; 'เลขาธิการ' ดำรงตำแหน่งชมรมนักศึกษา</t>
  </si>
  <si>
    <t>SELECT first_name, last_name, email FROM member WHERE position = 'Secretary'</t>
  </si>
  <si>
    <t>How many members of the Student_Club have major in 'Physics Teaching'?</t>
  </si>
  <si>
    <t>Physics Teaching' is the major_name;</t>
  </si>
  <si>
    <t>การสอนฟิสิกส์' คือชื่อวิชาเอก;</t>
  </si>
  <si>
    <t>SELECT COUNT(T2.member_id) FROM major AS T1 INNER JOIN member AS T2 ON T1.major_id = T2.link_to_major WHERE T1.major_name = 'Physics Teaching'</t>
  </si>
  <si>
    <t>How many members did attend the event 'Community Theater' in 2019?</t>
  </si>
  <si>
    <t>event 'Community Theater' in 2019 refers to event_name = 'Community Theater' where YEAR(event_date) = 2019</t>
  </si>
  <si>
    <t>กิจกรรม 'โรงละครชุมชน' ในปี 2562 อ้างอิงถึง event_name = 'โรงละครชุมชน' โดยที่ YEAR(event_date) = 2019</t>
  </si>
  <si>
    <t>SELECT COUNT(T2.link_to_member) FROM event AS T1 INNER JOIN attendance AS T2 ON T1.event_id = T2.link_to_event WHERE T1.event_name = 'Community Theater' AND SUBSTR(T1.event_date, 1, 4) = '2019'</t>
  </si>
  <si>
    <t>Provide the number of events attended by Luisa Guidi. What is her major?</t>
  </si>
  <si>
    <t>major refers to major_name;</t>
  </si>
  <si>
    <t>หลักหมายถึง major_name;</t>
  </si>
  <si>
    <t>SELECT COUNT(T3.link_to_event), T1.major_name FROM major AS T1 INNER JOIN member AS T2 ON T1.major_id = T2.link_to_major INNER JOIN attendance AS T3 ON T2.member_id = T3.link_to_member WHERE T2.first_name = 'Luisa' AND T2.last_name = 'Guidi'</t>
  </si>
  <si>
    <t>On average, how much did the Student_Club spend on food for the typical event in the past?</t>
  </si>
  <si>
    <t>DIVIDE(SUM(spent), COUNT(spent)) where category = 'Food'; 'event in the past' means event_status = 'Closed'</t>
  </si>
  <si>
    <t>DIVIDE(SUM(ใช้ไป), COUNT(ใช้ไป)) โดยที่ category = 'อาหาร'; 'เหตุการณ์ในอดีต' หมายถึง event_status = 'ปิดแล้ว'</t>
  </si>
  <si>
    <t>SELECT SUM(spent) / COUNT(spent) FROM budget WHERE category = 'Food' AND event_status = 'Closed'</t>
  </si>
  <si>
    <t>Name the event with the highest amount spent on advertisement.</t>
  </si>
  <si>
    <t>Name of event refers to event_name; highest amount spent on advertisement refers to MAX(spent) where category = 'Advertisement'</t>
  </si>
  <si>
    <t>ชื่อของเหตุการณ์อ้างถึง event_name; จำนวนเงินสูงสุดที่ใช้ในการโฆษณาหมายถึง MAX (ใช้จ่าย) โดยที่ category = 'โฆษณา'</t>
  </si>
  <si>
    <t>SELECT T2.event_name FROM budget AS T1 INNER JOIN event AS T2 ON T1.link_to_event = T2.event_id WHERE T1.category = 'Advertisement' ORDER BY T1.spent DESC LIMIT 1</t>
  </si>
  <si>
    <t>Did Maya Mclean attend the 'Women's Soccer' event?</t>
  </si>
  <si>
    <t>Maya Mclean is the full name; full name refers to first_name, last_name; 'Women's Soccer' is an event_name</t>
  </si>
  <si>
    <t>Maya Mclean เป็นชื่อเต็ม ชื่อเต็มหมายถึง first_name, Last_name; 'ฟุตบอลหญิง' เป็น event_name</t>
  </si>
  <si>
    <t>SELECT CASE WHEN T3.event_name = 'Women''s Soccer' THEN 'YES' END AS result FROM member AS T1 INNER JOIN attendance AS T2 ON T1.member_id = T2.link_to_member INNER JOIN event AS T3 ON T2.link_to_event = T3.event_id WHERE T1.first_name = 'Maya' AND T1.last_name = 'Mclean'</t>
  </si>
  <si>
    <t>Among all events hold by the Student_Club in 2019, find the percentage share of events related to 'Community Service'</t>
  </si>
  <si>
    <t>DIVIDE(SUM(type = 'Community Service'), COUNT(event_id)) * 100 where event_date BETWEEN' 2019-01-01' and '2019-12-31'</t>
  </si>
  <si>
    <t>DIVIDE(SUM(type = 'Community Service'), COUNT(event_id)) * 100 โดยที่ event_date BETWEEN' 2019-01-01' และ '2019-12-31'</t>
  </si>
  <si>
    <t>SELECT CAST(SUM(CASE WHEN type = 'Community Service' THEN 1 ELSE 0 END) AS REAL) * 100 / COUNT(type) FROM event WHERE SUBSTR(event_date, 1, 4) = '2019'</t>
  </si>
  <si>
    <t>Indicate the cost of posters for 'September Speaker' event.</t>
  </si>
  <si>
    <t>Posters' is the expense description; 'September Speaker' is an event name</t>
  </si>
  <si>
    <t>โปสเตอร์คือคำอธิบายค่าใช้จ่าย 'September Speaker' เป็นชื่องาน</t>
  </si>
  <si>
    <t>SELECT T3.cost FROM event AS T1 INNER JOIN budget AS T2 ON T1.event_id = T2.link_to_event INNER JOIN expense AS T3 ON T2.budget_id = T3.link_to_budget WHERE T1.event_name = 'September Speaker' AND T3.expense_description = 'Posters'</t>
  </si>
  <si>
    <t>What is the most popular size of t-shirt ordered by the club members?</t>
  </si>
  <si>
    <t>most popular size of t-shirt ordered refers to MAX(COUNT(t_shirt_size))</t>
  </si>
  <si>
    <t>ขนาดเสื้อยืดที่ได้รับความนิยมมากที่สุดที่สั่งซื้อคือ MAX(COUNT(t_shirt_size))</t>
  </si>
  <si>
    <t>SELECT t_shirt_size FROM member GROUP BY t_shirt_size ORDER BY COUNT(t_shirt_size) DESC LIMIT 1</t>
  </si>
  <si>
    <t>Indicate the name of the closed event whose cost has exceeded the budget the most.</t>
  </si>
  <si>
    <t>closed events refers to event_name where status = 'Closed'; exceed the budget the most refers to MIN(remaining) where remaining &lt; 0</t>
  </si>
  <si>
    <t>กิจกรรมที่ปิดหมายถึง event_name โดยที่สถานะ = 'ปิด'; เกินงบประมาณซึ่งอ้างอิงถึง MIN มากที่สุด (คงเหลือ) โดยที่คงเหลือ &lt; 0</t>
  </si>
  <si>
    <t>SELECT T2.event_name FROM budget AS T1 INNER JOIN event AS T2 ON T2.event_id = T1.link_to_event WHERE T1.event_status = 'Closed' AND T1.remaining &lt; 0 ORDER BY T1.remaining LIMIT 1</t>
  </si>
  <si>
    <t>Identify the type of expenses and their total value approved for 'October Meeting' event.</t>
  </si>
  <si>
    <t>total value refers to SUM(cost); 'October Meeting' is an event name;</t>
  </si>
  <si>
    <t>มูลค่ารวมหมายถึง SUM (ต้นทุน); 'October Meeting' เป็นชื่องาน;</t>
  </si>
  <si>
    <t>SELECT T1.type, SUM(T3.cost) FROM event AS T1 INNER JOIN budget AS T2 ON T1.event_id = T2.link_to_event INNER JOIN expense AS T3 ON T2.budget_id = T3.link_to_budget WHERE T1.event_name = 'October Meeting'</t>
  </si>
  <si>
    <t>Calculate the amount budgeted for 'April Speaker' event. List all the budgeted categories for said event in an ascending order based on their amount budgeted.</t>
  </si>
  <si>
    <t>April Speaker' is an event name; amount budgeted refers to SUM(amount); budget categories refers to category</t>
  </si>
  <si>
    <t>April Speaker' เป็นชื่องาน; จำนวนเงินที่จัดงบประมาณหมายถึง SUM (จำนวน) หมวดหมู่งบประมาณหมายถึงหมวดหมู่</t>
  </si>
  <si>
    <t>SELECT T2.category, SUM(T2.amount) FROM event AS T1 JOIN budget AS T2 ON T1.event_id = T2.link_to_event WHERE T1.event_name = 'April Speaker' GROUP BY T2.category ORDER BY SUM(T2.amount) ASC</t>
  </si>
  <si>
    <t>Among the budgets for Food, which one has the highest budgeted amount?</t>
  </si>
  <si>
    <t>MAX(amount) where category = 'Food'</t>
  </si>
  <si>
    <t>MAX(จำนวน) โดยที่หมวดหมู่ = 'อาหาร'</t>
  </si>
  <si>
    <t>SELECT budget_id FROM budget WHERE category = 'Food' AND amount = ( SELECT MAX(amount) FROM budget )</t>
  </si>
  <si>
    <t>Among the budgets for Advertising, list out top three which have the most budgeted amount?</t>
  </si>
  <si>
    <t>MAX(amount) where category = 'Advertisement'</t>
  </si>
  <si>
    <t>MAX(จำนวน) โดยที่หมวดหมู่ = 'โฆษณา'</t>
  </si>
  <si>
    <t>SELECT budget_id FROM budget WHERE category = 'Advertisement' ORDER BY amount DESC LIMIT 3</t>
  </si>
  <si>
    <t>Calculate the total cost spent for Parking in the list.</t>
  </si>
  <si>
    <t>total cost spent for Parking refers to SUM(cost) where expense_description = 'Parking'</t>
  </si>
  <si>
    <t>ค่าใช้จ่ายทั้งหมดที่ใช้ในการจอดรถหมายถึง SUM (ต้นทุน) โดยที่ allowance_description = 'ที่จอดรถ'</t>
  </si>
  <si>
    <t>SELECT SUM(cost) FROM expense WHERE expense_description = 'Parking'</t>
  </si>
  <si>
    <t>Mention the total expense used on 8/20/2019.</t>
  </si>
  <si>
    <t>total expense refers SUM(cost) where expense_date = '2019-08-20'</t>
  </si>
  <si>
    <t>ค่าใช้จ่ายทั้งหมดหมายถึง SUM(ต้นทุน) โดยที่ allowance_date = '2019-08-20'</t>
  </si>
  <si>
    <t>SELECT SUM(cost) FROM expense WHERE expense_date = '2019-08-20'</t>
  </si>
  <si>
    <t>List out the full name and total cost that member id "rec4BLdZHS2Blfp4v" incurred?</t>
  </si>
  <si>
    <t>full name refers to first_name, last name</t>
  </si>
  <si>
    <t>ชื่อเต็มหมายถึง first_name, นามสกุล</t>
  </si>
  <si>
    <t>SELECT T1.first_name, T1.last_name, SUM(T2.cost) FROM member AS T1 INNER JOIN expense AS T2 ON T1.member_id = T2.link_to_member WHERE T1.member_id = 'rec4BLdZHS2Blfp4v'</t>
  </si>
  <si>
    <t>State what kind of expenses that Sacha Harrison incurred?</t>
  </si>
  <si>
    <t>kind of expenses refers to expense_description; Sacha Harrison is the full name; full name refers to first_name, last_name;</t>
  </si>
  <si>
    <t>ประเภทของค่าใช้จ่ายหมายถึง cost_description; Sacha Harrison เป็นชื่อเต็ม; ชื่อเต็มหมายถึง first_name, Last_name;</t>
  </si>
  <si>
    <t>SELECT T2.expense_description FROM member AS T1 INNER JOIN expense AS T2 ON T1.member_id = T2.link_to_member WHERE T1.first_name = 'Sacha' AND T1.last_name = 'Harrison'</t>
  </si>
  <si>
    <t>What kind of expenses incurred by members who have X-Large in size of tee shirt?</t>
  </si>
  <si>
    <t>kind of expenses refers to expense_description; t_shirt_size = 'X-Large'</t>
  </si>
  <si>
    <t>ประเภทของค่าใช้จ่ายหมายถึง cost_description; t_shirt_size = 'X-ใหญ่'</t>
  </si>
  <si>
    <t>SELECT T2.expense_description FROM member AS T1 INNER JOIN expense AS T2 ON T1.member_id = T2.link_to_member WHERE T1.t_shirt_size = 'X-Large'</t>
  </si>
  <si>
    <t>Mention the zip code of member who incurred less than 50USD.</t>
  </si>
  <si>
    <t>incurred less than 50USD refers to cost &lt; 50</t>
  </si>
  <si>
    <t>ที่เกิดขึ้นน้อยกว่า 50USD หมายถึงต้นทุน &lt; 50</t>
  </si>
  <si>
    <t>SELECT T1.zip FROM member AS T1 INNER JOIN expense AS T2 ON T1.member_id = T2.link_to_member WHERE T2.cost &lt; 50</t>
  </si>
  <si>
    <t>State the name of major that Phillip Cullen has joined.</t>
  </si>
  <si>
    <t>name of major refers to major_name</t>
  </si>
  <si>
    <t>ชื่อของวิชาเอกหมายถึง major_name</t>
  </si>
  <si>
    <t>SELECT T1.major_name FROM major AS T1 INNER JOIN member AS T2 ON T1.major_id = T2.link_to_major WHERE T2.first_name = 'Phillip' AND T2.last_name = 'Cullen'</t>
  </si>
  <si>
    <t>List out the position of members who joined major of Business.</t>
  </si>
  <si>
    <t>Business' is the major name</t>
  </si>
  <si>
    <t>ธุรกิจ'เป็นชื่อหลัก</t>
  </si>
  <si>
    <t>SELECT T2.position FROM major AS T1 INNER JOIN member AS T2 ON T1.major_id = T2.link_to_major WHERE T1.major_name = 'Business'</t>
  </si>
  <si>
    <t>How many members of Business have the Medium size of tee shirt?</t>
  </si>
  <si>
    <t>members of Economics refers to major_name = 'Business'; t_shirt_size = 'Medium'</t>
  </si>
  <si>
    <t>สมาชิกคณะเศรษฐศาสตร์ หมายถึง major_name = 'ธุรกิจ'; t_shirt_size = 'ปานกลาง'</t>
  </si>
  <si>
    <t>SELECT COUNT(T2.member_id) FROM major AS T1 INNER JOIN member AS T2 ON T1.major_id = T2.link_to_major WHERE T1.major_name = 'Business' AND T2.t_shirt_size = 'Medium'</t>
  </si>
  <si>
    <t>List out the type of events which have remaining budget more than 30 USD.</t>
  </si>
  <si>
    <t>remaining budget more than 30 USD refers to remaining &gt; 30</t>
  </si>
  <si>
    <t>งบประมาณคงเหลือมากกว่า 30 USD หมายถึง งบประมาณคงเหลือ &gt; 30</t>
  </si>
  <si>
    <t>SELECT T1.type FROM event AS T1 INNER JOIN budget AS T2 ON T1.event_id = T2.link_to_event WHERE T2.remaining &gt; 30</t>
  </si>
  <si>
    <t>Mention the category of events which were held at MU 215.</t>
  </si>
  <si>
    <t>held at MU 215 refers to location = 'MU 215'</t>
  </si>
  <si>
    <t>จัดขึ้นที่ MU 215 หมายถึง สถานที่ = 'MU 215'</t>
  </si>
  <si>
    <t>SELECT T2.category FROM event AS T1 INNER JOIN budget AS T2 ON T1.event_id = T2.link_to_event WHERE T1.location = 'MU 215'</t>
  </si>
  <si>
    <t>What is the category of event which was taken place in 2020-03-24T12:00:00?</t>
  </si>
  <si>
    <t>taken place in 2020-03-24T12:00:00 refers to event_date = '2020-03-24T12:00:00'</t>
  </si>
  <si>
    <t>เกิดขึ้นในปี 2020-03-24T12:00:00 หมายถึง event_date = '2020-03-24T12:00:00'</t>
  </si>
  <si>
    <t>SELECT T2.category FROM event AS T1 INNER JOIN budget AS T2 ON T1.event_id = T2.link_to_event WHERE T1.event_date = '2020-03-24T12:00:00'</t>
  </si>
  <si>
    <t>State the name of major that Vice President has joined.</t>
  </si>
  <si>
    <t>name of major refers to major_name; 'Vice President' is position of Student Club</t>
  </si>
  <si>
    <t>ชื่อของวิชาเอกหมายถึง major_name; 'รองประธาน' ดำรงตำแหน่งชมรมนักศึกษา</t>
  </si>
  <si>
    <t>SELECT T1.major_name FROM major AS T1 INNER JOIN member AS T2 ON T1.major_id = T2.link_to_major WHERE T2.position = 'Vice President'</t>
  </si>
  <si>
    <t>Calculate the percentage of members who are major Business in the list?</t>
  </si>
  <si>
    <t>DIVIDE(SUM(position = 'Member' and major_name = 'Business'), COUNT(member_id)) * 100</t>
  </si>
  <si>
    <t>DIVIDE(SUM(position = 'สมาชิก' และ major_name = 'ธุรกิจ'), COUNT(member_id)) * 100</t>
  </si>
  <si>
    <t>SELECT CAST(SUM(CASE WHEN T2.major_name = 'Business' THEN 1 ELSE 0 END) AS REAL) * 100 / COUNT(T1.member_id) FROM member AS T1 INNER JOIN major AS T2 ON T2.major_id = T1.link_to_major WHERE T1.position = 'Member'</t>
  </si>
  <si>
    <t>State the category of events were held at MU 215.</t>
  </si>
  <si>
    <t>MU 215' is the location of event;</t>
  </si>
  <si>
    <t>MU 215' เป็นสถานที่จัดงาน</t>
  </si>
  <si>
    <t>SELECT DISTINCT T2.category FROM event AS T1 INNER JOIN budget AS T2 ON T1.event_id = T2.link_to_event WHERE T1.location = 'MU 215'</t>
  </si>
  <si>
    <t>How many income are received with an amount of 50?</t>
  </si>
  <si>
    <t>amount of 50 refers to amount = 50</t>
  </si>
  <si>
    <t>จำนวน 50 หมายถึงจำนวน = 50</t>
  </si>
  <si>
    <t>SELECT COUNT(income_id) FROM income WHERE amount = 50</t>
  </si>
  <si>
    <t>Among the members, how many of them have an extra large t-shirt size?</t>
  </si>
  <si>
    <t>among the members refers to position = 'Member'; extra large t-shirt size refers to t_shirt_size = 'X-Large'</t>
  </si>
  <si>
    <t>ในหมู่สมาชิกหมายถึงตำแหน่ง = 'สมาชิก'; ขนาดเสื้อยืดขนาดใหญ่พิเศษหมายถึง t_shirt_size = 'X-Large'</t>
  </si>
  <si>
    <t>SELECT COUNT(member_id) FROM member WHERE position = 'Member' AND t_shirt_size = 'X-Large'</t>
  </si>
  <si>
    <t>In the College of Agriculture and Applied Sciences, how many majors are under the department of School of Applied Sciences, Technology and Education?</t>
  </si>
  <si>
    <t>SELECT COUNT(major_id) FROM major WHERE department = 'School of Applied Sciences, Technology and Education' AND college = 'College of Agriculture and Applied Sciences'</t>
  </si>
  <si>
    <t>List the last name of members with a major in environmental engineering and include its department and college name.</t>
  </si>
  <si>
    <t>Environmental Engineering' is the major_name;</t>
  </si>
  <si>
    <t>วิศวกรรมสิ่งแวดล้อม' คือ major_name;</t>
  </si>
  <si>
    <t>SELECT T2.last_name, T1.department, T1.college FROM major AS T1 INNER JOIN member AS T2 ON T1.major_id = T2.link_to_major WHERE T2.position = 'Member' AND T1.major_name = 'Environmental Engineering'</t>
  </si>
  <si>
    <t>What are the budget category of the events located at MU 215 and a guest speaker type with a 0 budget spent?</t>
  </si>
  <si>
    <t>budget category refers to category; events located at refers to location; type = 'Guest Speaker'; 0 budget spent refers to spent = 0;</t>
  </si>
  <si>
    <t>หมวดหมู่งบประมาณหมายถึงหมวดหมู่ เหตุการณ์ที่ตั้งอยู่ที่หมายถึงสถานที่ type = 'วิทยากรรับเชิญ'; งบประมาณที่ใช้ไป 0 หมายถึงการใช้จ่าย = 0;</t>
  </si>
  <si>
    <t>SELECT DISTINCT T2.category, T1.type FROM event AS T1 INNER JOIN budget AS T2 ON T1.event_id = T2.link_to_event WHERE T1.location = 'MU 215' AND T2.spent = 0 AND T1.type = 'Guest Speaker'</t>
  </si>
  <si>
    <t>List the city and state of members enrolled under electrical and computer engineering department.</t>
  </si>
  <si>
    <t>Electrical and Computer Engineering Department' is the department; members enrolled refers to position = 'Member'</t>
  </si>
  <si>
    <t>ฝ่ายวิศวกรรมไฟฟ้าและคอมพิวเตอร์' เป็นหน่วยงาน; สมาชิกที่ลงทะเบียนหมายถึงตำแหน่ง = 'สมาชิก'</t>
  </si>
  <si>
    <t>SELECT city, state FROM member AS T1 INNER JOIN major AS T2 ON T2.major_id = T1.link_to_major INNER JOIN zip_code AS T3 ON T3.zip_code = T1.zip WHERE department = 'Electrical and Computer Engineering Department' AND position = 'Member'</t>
  </si>
  <si>
    <t>What is the name of the social event that was attended by the vice president of the Student_Club located at 900 E. Washington St.?</t>
  </si>
  <si>
    <t>name of social event refers to event_name where type = 'Social'; 'Vice President' is position; located at refers to location</t>
  </si>
  <si>
    <t>ชื่อของกิจกรรมทางสังคมหมายถึง event_name โดยที่ type = 'Social'; 'รองประธาน' คือตำแหน่ง; ตั้งอยู่ที่หมายถึงสถานที่</t>
  </si>
  <si>
    <t>SELECT T2.event_name FROM attendance AS T1 INNER JOIN event AS T2 ON T2.event_id = T1.link_to_event INNER JOIN member AS T3 ON T1.link_to_member = T3.member_id WHERE T3.position = 'Vice President' AND T2.location = '900 E. Washington St.' AND T2.type = 'Social'</t>
  </si>
  <si>
    <t>What is the last name and position of the student that bought pizza on 09/10/2019?</t>
  </si>
  <si>
    <t>bought pizza on 09/10/2019 refers to expense_description = 'Pizza' where expense_date = '2019-09-10'</t>
  </si>
  <si>
    <t>ซื้อพิซซ่าเมื่อวันที่ 10/9/2562 หมายถึง allowance_description = 'พิซซ่า' โดยที่ allowance_date = '2019-09-10'</t>
  </si>
  <si>
    <t>SELECT T1.last_name, T1.position FROM member AS T1 INNER JOIN expense AS T2 ON T1.member_id = T2.link_to_member WHERE T2.expense_date = '2019-09-10' AND T2.expense_description = 'Pizza'</t>
  </si>
  <si>
    <t>List the last name of the members of the club that attended the women's soccer event.</t>
  </si>
  <si>
    <t>members of the club refers to position = 'Member'; 'Women's Soccer' is event name;</t>
  </si>
  <si>
    <t>สมาชิกของสโมสรหมายถึงตำแหน่ง = 'สมาชิก'; 'Women's Soccer' คือชื่อกิจกรรม</t>
  </si>
  <si>
    <t>SELECT T3.last_name FROM attendance AS T1 INNER JOIN event AS T2 ON T2.event_id = T1.link_to_event INNER JOIN member AS T3 ON T1.link_to_member = T3.member_id WHERE T2.event_name = 'Women''s Soccer' AND T3.position = 'Member'</t>
  </si>
  <si>
    <t>Among the members with t-shirt size of medium, what is the percentage of the amount 50 received by the Student_Club?</t>
  </si>
  <si>
    <t>t_shirt_size = 'Medium' where position = 'Member'; percentage = DIVIDE(COUNT(amount = 50), COUNT(member_id)) * 100</t>
  </si>
  <si>
    <t>t_shirt_size = 'ปานกลาง' โดยที่ตำแหน่ง = 'สมาชิก'; เปอร์เซ็นต์ = DIVIDE(COUNT(จำนวน = 50), COUNT(member_id)) * 100</t>
  </si>
  <si>
    <t>SELECT CAST(SUM(CASE WHEN T2.amount = 50 THEN 1.0 ELSE 0 END) AS REAL) * 100 / COUNT(T2.income_id) FROM member AS T1 INNER JOIN income AS T2 ON T1.member_id = T2.link_to_member WHERE T1.position = 'Member' AND T1.t_shirt_size = 'Medium'</t>
  </si>
  <si>
    <t>Which countries have zip codes with post office boxes?</t>
  </si>
  <si>
    <t>zip codes that have post office boxes refers to type = 'PO Box'</t>
  </si>
  <si>
    <t>รหัสไปรษณีย์ที่มีตู้ไปรษณีย์ อ้างอิงถึงประเภท = 'ตู้ไปรษณีย์'</t>
  </si>
  <si>
    <t>SELECT DISTINCT county FROM zip_code WHERE type = 'PO Box' AND county IS NOT NULL</t>
  </si>
  <si>
    <t>What are the zip codes that have post office boxes in the country of the country of San Juan Municipio whose state is Puerto Rico?</t>
  </si>
  <si>
    <t>SELECT zip_code FROM zip_code WHERE type = 'PO Box' AND county = 'San Juan Municipio' AND state = 'Puerto Rico'</t>
  </si>
  <si>
    <t>List the names of closed event as "game" that was closed from 3/15/2019 to 3/20/2020.</t>
  </si>
  <si>
    <t>name of events refers event_name; game event that was closed refers to type = 'Game' where status = 'Closed'; event_date BETWEEN '2019-03-15' and '2020-03-20';</t>
  </si>
  <si>
    <t>ชื่อของเหตุการณ์หมายถึง event_name; กิจกรรมเกมที่ถูกปิดหมายถึง type = 'เกม' โดยที่สถานะ = 'ปิด'; event_date BETWEEN '15-03-2019' และ '2020-03-20';</t>
  </si>
  <si>
    <t>SELECT DISTINCT event_name FROM event WHERE type = 'Game' AND date(SUBSTR(event_date, 1, 10)) BETWEEN '2019-03-15' AND '2020-03-20' AND status = 'Closed'</t>
  </si>
  <si>
    <t>Please provide links to events for members who have paid more than 50 dollar.</t>
  </si>
  <si>
    <t>have paid more than 50 dollar refers to cost &gt; 50</t>
  </si>
  <si>
    <t>จ่ายเงินมากกว่า 50 ดอลลาร์ หมายถึง ต้นทุน &gt; 50</t>
  </si>
  <si>
    <t>SELECT DISTINCT T3.link_to_event FROM expense AS T1 INNER JOIN member AS T2 ON T1.link_to_member = T2.member_id INNER JOIN attendance AS T3 ON T2.member_id = T3.link_to_member WHERE T1.cost &gt; 50</t>
  </si>
  <si>
    <t>Which members who were approved from 1/10/2019 to 11/19/2019? Please identify the member who attended the event and the link to their event.</t>
  </si>
  <si>
    <t>approved from 1/10/2019 to 11/19/2019 refers to approved = 'true' and expense_date BETWEEN '2019-01-10' and '2019-11-19'</t>
  </si>
  <si>
    <t>อนุมัติตั้งแต่ 1/10/2019 ถึง 11/19/2019 หมายถึง อนุมัติ = 'true' และ allowance_date BETWEEN '2019-01-10' และ '2019-11-19'</t>
  </si>
  <si>
    <t>SELECT DISTINCT T1.link_to_member, T3.link_to_event FROM expense AS T1 INNER JOIN member AS T2 ON T1.link_to_member = T2.member_id INNER JOIN attendance AS T3 ON T2.member_id = T3.link_to_member WHERE date(SUBSTR(T1.expense_date, 1, 10)) BETWEEN '2019-01-10' AND '2019-11-19' AND T1.approved = 'true'</t>
  </si>
  <si>
    <t>Please indicate the college of the person whose first name is Katy with the link to the major "rec1N0upiVLy5esTO".</t>
  </si>
  <si>
    <t>SELECT T2.college FROM member AS T1 INNER JOIN major AS T2 ON T2.major_id = T1.link_to_major WHERE T1.link_to_major = 'rec1N0upiVLy5esTO' AND T1.first_name = 'Katy'</t>
  </si>
  <si>
    <t>Please list the phone numbers of the members who majored in business at the College of Agriculture and Applied Sciences.</t>
  </si>
  <si>
    <t>College of Agriculture and Applied Sciences' is the college; majored in business refers to major_name = 'Business'; phone numbers refers to phone</t>
  </si>
  <si>
    <t>วิทยาลัยเกษตรและวิทยาศาสตร์ประยุกต์ เป็นวิทยาลัย; สาขาวิชาเอกธุรกิจ หมายถึง major_name = 'ธุรกิจ'; หมายเลขโทรศัพท์หมายถึงโทรศัพท์</t>
  </si>
  <si>
    <t>SELECT T1.phone FROM member AS T1 INNER JOIN major AS T2 ON T2.major_id = T1.link_to_major WHERE T2.major_name = 'Business' AND T2.college = 'College of Agriculture and Applied Sciences'</t>
  </si>
  <si>
    <t>List emails of people who paid more than 20 dollars from 9/10/2019 to 11/19/2019.</t>
  </si>
  <si>
    <t>expense_date BETWEEN '2019-09-10' and '2019-11-19'; cost &gt; 20</t>
  </si>
  <si>
    <t>ค่าใช้จ่าย_วันที่ระหว่าง '10-09-2019' และ '11-19-2019'; ราคา &gt; 20</t>
  </si>
  <si>
    <t>SELECT DISTINCT T1.email FROM member AS T1 INNER JOIN expense AS T2 ON T1.member_id = T2.link_to_member WHERE date(SUBSTR(T2.expense_date, 1, 10)) BETWEEN '2019-09-10' AND '2019-11-19' AND T2.cost &gt; 20</t>
  </si>
  <si>
    <t>How many members have education major in the College of Education &amp; Human Services?</t>
  </si>
  <si>
    <t>education' is the major name; 'Member' is a position of club;</t>
  </si>
  <si>
    <t>การศึกษา'เป็นชื่อหลัก 'สมาชิก' คือตำแหน่งของสโมสร</t>
  </si>
  <si>
    <t>SELECT COUNT(T1.member_id) FROM member AS T1 INNER JOIN major AS T2 ON T2.major_id = T1.link_to_major WHERE T1.position = 'Member' AND T2.major_name LIKE '%Education%' AND T2.college = 'College of Education &amp; Human Services'</t>
  </si>
  <si>
    <t>What is the percentage of the events that went over budget?</t>
  </si>
  <si>
    <t>went over budget refers to remaining &lt; 0; percentage = DIVIDE(SUM(remaining &lt; 0), COUNT(event_id)) * 100</t>
  </si>
  <si>
    <t>เกินงบประมาณหมายถึงคงเหลือ &lt; 0; เปอร์เซ็นต์ = DIVIDE(SUM(เหลือ &lt; 0), COUNT(event_id)) * 100</t>
  </si>
  <si>
    <t>SELECT CAST(SUM(CASE WHEN remaining &lt; 0 THEN 1 ELSE 0 END) AS REAL) * 100 / COUNT(budget_id) FROM budget</t>
  </si>
  <si>
    <t>Give the event ID, location, and status of events conducted from November 2019 to March 2020.</t>
  </si>
  <si>
    <t>event_date BETWEEN '2019-11-01' and '2020-03-31'</t>
  </si>
  <si>
    <t>event_date BETWEEN '2019-11-01' และ '2020-03-31'</t>
  </si>
  <si>
    <t>SELECT event_id, location, status FROM event WHERE date(SUBSTR(event_date, 1, 10)) BETWEEN '2019-11-01' AND '2020-03-31'</t>
  </si>
  <si>
    <t>List the expenses that spend more than fifty dollars on average.</t>
  </si>
  <si>
    <t>expense refers to expense_description; spend more than fifty dollars on average refers to DIVIDE( SUM(cost), COUNT(expense_id) ) &gt; 50</t>
  </si>
  <si>
    <t>ค่าใช้จ่ายหมายถึง cost_description; ใช้จ่ายโดยเฉลี่ยมากกว่าห้าสิบดอลลาร์ หมายถึง DIVIDE( SUM(cost), COUNT(expense_id) ) &gt; 50</t>
  </si>
  <si>
    <t>SELECT expense_description FROM expense GROUP BY expense_description HAVING AVG(cost) &gt; 50</t>
  </si>
  <si>
    <t>Find the full name of members whose t-shirt size is extra large.</t>
  </si>
  <si>
    <t>full name refers to first_name, last_name; t_shirt_size = 'X-Large'</t>
  </si>
  <si>
    <t>ชื่อเต็มหมายถึง first_name, Last_name; t_shirt_size = 'X-ใหญ่'</t>
  </si>
  <si>
    <t>SELECT first_name, last_name FROM member WHERE t_shirt_size = 'X-Large'</t>
  </si>
  <si>
    <t>Calculate the percentage of zip codes that are PO boxes.</t>
  </si>
  <si>
    <t>DIVIDE(SUM(type = 'PO Box'), COUNT(zip_code)) * 100</t>
  </si>
  <si>
    <t>หาร(SUM(type = 'ตู้ไปรษณีย์'), COUNT(zip_code)) * 100</t>
  </si>
  <si>
    <t>SELECT CAST(SUM(CASE WHEN type = 'PO Box' THEN 1 ELSE 0 END) AS REAL) * 100 / COUNT(zip_code) FROM zip_code</t>
  </si>
  <si>
    <t>List the name and location of events that underspend its budget.</t>
  </si>
  <si>
    <t>name of event refers to event_name; underspend its budget refers to remaining &gt; 0</t>
  </si>
  <si>
    <t>ชื่อของเหตุการณ์หมายถึง event_name; ใช้จ่ายเกินงบประมาณหมายถึงคงเหลือ &gt; 0</t>
  </si>
  <si>
    <t>SELECT DISTINCT T1.event_name, T1.location FROM event AS T1 INNER JOIN budget AS T2 ON T1.event_id = T2.link_to_event WHERE T2.remaining &gt; 0</t>
  </si>
  <si>
    <t>Find the name and date of events with expenses for pizza that were more than fifty dollars but less than a hundred dollars.</t>
  </si>
  <si>
    <t>name of event refers to event_name; date of event refers to event_date; expenses for pizza refers to expense_description = 'Pizza' where cost &gt; 50 and cost &lt; 100</t>
  </si>
  <si>
    <t>ชื่อของเหตุการณ์หมายถึง event_name; วันที่ของเหตุการณ์หมายถึง event_date; ค่าใช้จ่ายสำหรับพิซซ่าหมายถึง allowance_description = 'พิซซ่า' โดยที่ต้นทุน &gt; 50 และต้นทุน &lt; 100</t>
  </si>
  <si>
    <t>SELECT T1.event_name, T1.event_date FROM event AS T1 INNER JOIN budget AS T2 ON T1.event_id = T2.link_to_event INNER JOIN expense AS T3 ON T2.budget_id = T3.link_to_budget WHERE T3.expense_description = 'Pizza' AND T3.cost &gt; 50 AND T3.cost &lt; 100</t>
  </si>
  <si>
    <t>What is the name and major of members who had to spend more than a hundred dollars on an expense?</t>
  </si>
  <si>
    <t>full name refers to first_name, last_name; major of members refers to major_name; spend more than a hundred dollars on an expense refers to cost &gt; 100</t>
  </si>
  <si>
    <t>ชื่อเต็มหมายถึง first_name, Last_name; สมาชิกรายใหญ่หมายถึง major_name; ใช้จ่ายมากกว่าร้อยดอลลาร์กับค่าใช้จ่าย หมายถึง ต้นทุน &gt; 100</t>
  </si>
  <si>
    <t>SELECT DISTINCT T1.first_name, T1.last_name, T2.major_name FROM member AS T1 INNER JOIN major AS T2 ON T2.major_id = T1.link_to_major INNER JOIN expense AS T3 ON T1.member_id = T3.link_to_member WHERE T3.cost &gt; 100</t>
  </si>
  <si>
    <t>In the events with more than forty incomes, list the city and country in which the event is happening.</t>
  </si>
  <si>
    <t>more than fifty incomes refers to income &gt; 40</t>
  </si>
  <si>
    <t>รายได้มากกว่าห้าสิบหมายถึงรายได้ &gt; 40</t>
  </si>
  <si>
    <t>SELECT DISTINCT T3.city, T3.county FROM income AS T1 INNER JOIN member AS T2 ON T1.link_to_member = T2.member_id INNER JOIN zip_code AS T3 ON T3.zip_code = T2.zip WHERE T1.amount &gt; 40</t>
  </si>
  <si>
    <t>Among the members who incurred expenses in more than one event, who paid the most amount?</t>
  </si>
  <si>
    <t>paid the most amount refers to for expense incurred in more than one event refers to MAX(cost where COUNT(event_id) &gt; 1)</t>
  </si>
  <si>
    <t>จำนวนเงินที่จ่ายมากที่สุด หมายถึง ค่าใช้จ่ายที่เกิดขึ้นในมากกว่าหนึ่งเหตุการณ์ หมายถึง MAX(ต้นทุนโดยที่ COUNT(event_id) &gt; 1)</t>
  </si>
  <si>
    <t>SELECT T2.member_id FROM expense AS T1 INNER JOIN member AS T2 ON T1.link_to_member = T2.member_id INNER JOIN budget AS T3 ON T1.link_to_budget = T3.budget_id INNER JOIN event AS T4 ON T3.link_to_event = T4.event_id GROUP BY T2.member_id HAVING COUNT(DISTINCT T4.event_id) &gt; 1 ORDER BY SUM(T1.cost) DESC LIMIT 1</t>
  </si>
  <si>
    <t>What is the average amount paid by students in a position other than a member?</t>
  </si>
  <si>
    <t>position other than a member refers to position ! = 'Member'; average amount paid = DIVIDE( SUM(cost), COUNT(event_id))</t>
  </si>
  <si>
    <t>ตำแหน่งอื่นที่ไม่ใช่สมาชิกหมายถึงตำแหน่ง ! = 'สมาชิก'; จำนวนเงินเฉลี่ยที่จ่าย = DIVIDE( SUM(cost), COUNT(event_id))</t>
  </si>
  <si>
    <t>SELECT AVG(T1.cost) FROM expense AS T1 INNER JOIN member as T2 ON T1.link_to_member = T2.member_id WHERE T2.position != 'Member'</t>
  </si>
  <si>
    <t>List the name of events with less than average parking cost.</t>
  </si>
  <si>
    <t>name of events refers to event_name; less than average parking cost refers to cost &lt; DIVIDE(SUM(cost), COUNT(event_id)) where category = 'Parking'</t>
  </si>
  <si>
    <t>ชื่อของเหตุการณ์หมายถึง event_name; ค่าจอดรถที่น้อยกว่าค่าเฉลี่ยหมายถึงต้นทุน &lt; DIVIDE(SUM(cost), COUNT(event_id)) โดยที่ category = 'Parking'</t>
  </si>
  <si>
    <t>SELECT T1.event_name FROM event AS T1 INNER JOIN budget AS T2 ON T1.event_id = T2.link_to_event INNER JOIN expense AS T3 ON T2.budget_id = T3.link_to_budget WHERE T2.category = 'Parking' AND T3.cost &lt; (SELECT AVG(cost) FROM expense)</t>
  </si>
  <si>
    <t>What is the percentage of the cost for the meeting events?</t>
  </si>
  <si>
    <t>meeting events refers to type = 'Meeting'; percentage = DIVIDE( SUM(cost), COUNT(event_id)) * 100</t>
  </si>
  <si>
    <t>กิจกรรมการประชุมหมายถึงประเภท = 'การประชุม'; เปอร์เซ็นต์ = DIVIDE( SUM(ต้นทุน), COUNT(event_id)) * 100</t>
  </si>
  <si>
    <t>SELECT SUM(CASE WHEN T1.type = 'Meeting' THEN T3.cost ELSE 0 END) * 100 / SUM(T3.cost) FROM event AS T1 INNER JOIN budget AS T2 ON T1.event_id = T2.link_to_event INNER JOIN expense AS T3 ON T2.budget_id = T3.link_to_budget</t>
  </si>
  <si>
    <t>Which budget allowed the most money for water, chips, and cookies?</t>
  </si>
  <si>
    <t>budget allowed refers to expense_description; expense_description = 'Water, chips, cookies'; most money refers to MAX(cost)</t>
  </si>
  <si>
    <t>งบประมาณที่อนุญาตหมายถึง cost_description; cost_description = 'น้ำ มันฝรั่งทอด คุกกี้'; เงินส่วนใหญ่หมายถึง MAX (ต้นทุน)</t>
  </si>
  <si>
    <t>SELECT T2.budget_id FROM expense AS T1 INNER JOIN budget AS T2 ON T1.link_to_budget = T2.budget_id WHERE T1.expense_description = 'Water, chips, cookies' ORDER BY T1.cost DESC LIMIT 1</t>
  </si>
  <si>
    <t>List the full name of the top five members who spend the most money in the descending order of spending.</t>
  </si>
  <si>
    <t>full name refers to first_name, last_name; spend the most money refers to MAX(expense.cost)</t>
  </si>
  <si>
    <t>ชื่อเต็มหมายถึง first_name, Last_name; ใช้เงินมากที่สุดหมายถึง MAX(expense.cost)</t>
  </si>
  <si>
    <t>SELECT T3.first_name, T3.last_name FROM expense AS T1 INNER JOIN budget AS T2 ON T1.link_to_budget = T2.budget_id INNER JOIN member AS T3 ON T1.link_to_member = T3.member_id ORDER BY T2.spent DESC LIMIT 5</t>
  </si>
  <si>
    <t>Give the full name and contact number of members who had to spend more than average on each expense.</t>
  </si>
  <si>
    <t>full name refers to first_name, last_name; contact number refers to phone; had spent more than average on each expense refers to cost &gt; AVG(cost)</t>
  </si>
  <si>
    <t>ชื่อเต็มหมายถึง first_name, Last_name; หมายเลขติดต่อหมายถึงโทรศัพท์ ได้ใช้จ่ายมากกว่าค่าเฉลี่ยในแต่ละค่าใช้จ่าย หมายถึง ต้นทุน &gt; AVG(ต้นทุน)</t>
  </si>
  <si>
    <t>SELECT DISTINCT T3.first_name, T3.last_name, T3.phone FROM expense AS T1 INNER JOIN budget AS T2 ON T1.link_to_budget = T2.budget_id INNER JOIN member AS T3 ON T3.member_id = T1.link_to_member WHERE T1.cost &gt; ( SELECT AVG(T1.cost) FROM expense AS T1 INNER JOIN budget AS T2 ON T1.link_to_budget = T2.budget_id INNER JOIN member AS T3 ON T3.member_id = T1.link_to_member )</t>
  </si>
  <si>
    <t>Calculate the difference in the percentage of members in New Jersey and Vermont.</t>
  </si>
  <si>
    <t>SUBTRACT( DIVIDE( SUM(state = 'New Jersey'), COUNT(position = 'Member')), DIVIDE( SUM(state = 'Vermont'), COUNT(position = 'Member')) )</t>
  </si>
  <si>
    <t>SUBTRACT( DIVIDE( SUM(state = 'New Jersey'), COUNT(position = 'Member')), DIVIDE( SUM(state = 'Vermont'), COUNT(position = 'สมาชิก')) )</t>
  </si>
  <si>
    <t>SELECT CAST((SUM(CASE WHEN T2.state = 'New Jersey' THEN 1 ELSE 0 END) - SUM(CASE WHEN T2.state = 'Vermont' THEN 1 ELSE 0 END)) AS REAL) * 100 / COUNT(T1.member_id) AS diff FROM member AS T1 INNER JOIN zip_code AS T2 ON T2.zip_code = T1.zip</t>
  </si>
  <si>
    <t>What is the major of Garrett Gerke and which department does it belong to?</t>
  </si>
  <si>
    <t>major refers to major name;</t>
  </si>
  <si>
    <t>สำคัญหมายถึงชื่อหลัก</t>
  </si>
  <si>
    <t>SELECT T2.major_name, T2.department FROM member AS T1 INNER JOIN major AS T2 ON T2.major_id = T1.link_to_major WHERE T1.first_name = 'Garrett' AND T1.last_name = 'Gerke'</t>
  </si>
  <si>
    <t>Write the full name of the member who spent money for water, veggie tray and supplies and include the cost of it.</t>
  </si>
  <si>
    <t>full name refers to first_name, last name; spent money for refers expense description; expense_description = 'Water, Veggie tray, supplies'</t>
  </si>
  <si>
    <t>ชื่อเต็มหมายถึง first_name, นามสกุล; ใช้จ่ายเงินเพื่ออ้างอิงคำอธิบายค่าใช้จ่าย cost_description = 'น้ำ ถาดผัก อุปกรณ์สิ้นเปลือง'</t>
  </si>
  <si>
    <t>SELECT T2.first_name, T2.last_name, T1.cost FROM expense AS T1 INNER JOIN member AS T2 ON T1.link_to_member = T2.member_id WHERE T1.expense_description = 'Water, Veggie tray, supplies'</t>
  </si>
  <si>
    <t>List the last names of students under the Elementary Education major and include their phone numbers.</t>
  </si>
  <si>
    <t>Elementary Education' is the major name; phone numbers refers to phone</t>
  </si>
  <si>
    <t>ประถมศึกษา' เป็นชื่อหลัก หมายเลขโทรศัพท์หมายถึงโทรศัพท์</t>
  </si>
  <si>
    <t>SELECT T1.last_name, T1.phone FROM member AS T1 INNER JOIN major AS T2 ON T2.major_id = T1.link_to_major WHERE T2.major_name = 'Elementary Education'</t>
  </si>
  <si>
    <t>What category was budgeted for the 'January Speaker' event and how much was the amount budgeted for that category?</t>
  </si>
  <si>
    <t>amount budgeted refers to amount, 'January Speaker' is the event name;</t>
  </si>
  <si>
    <t>จำนวนเงินที่จัดงบประมาณหมายถึงจำนวนเงิน 'January Speaker' คือชื่องาน;</t>
  </si>
  <si>
    <t>SELECT T2.category, T2.amount FROM event AS T1 INNER JOIN budget AS T2 ON T1.event_id = T2.link_to_event WHERE T1.event_name = 'January Speaker'</t>
  </si>
  <si>
    <t>List the event names which were budgeted for the food.</t>
  </si>
  <si>
    <t>budgeted for food refers to category = 'Food'</t>
  </si>
  <si>
    <t>งบประมาณสำหรับอาหารหมายถึงหมวดหมู่ = 'อาหาร'</t>
  </si>
  <si>
    <t>SELECT T1.event_name FROM event AS T1 INNER JOIN budget AS T2 ON T1.event_id = T2.link_to_event WHERE T2.category = 'Food'</t>
  </si>
  <si>
    <t>Write the full names of students who received funds on the date of 9/9/2019 and include the amount received.</t>
  </si>
  <si>
    <t>full name refers to first_name, last_name, amount of funds received refers to amount, received funds on date refers to date_received</t>
  </si>
  <si>
    <t>ชื่อเต็มหมายถึงชื่อ, นามสกุล, จำนวนเงินทุนที่ได้รับหมายถึงจำนวนเงิน, เงินที่ได้รับในวันที่หมายถึงวันที่_ได้รับ</t>
  </si>
  <si>
    <t>SELECT DISTINCT T3.first_name, T3.last_name, T4.amount FROM event AS T1 INNER JOIN attendance AS T2 ON T1.event_id = T2.link_to_event INNER JOIN member AS T3 ON T3.member_id = T2.link_to_member INNER JOIN income AS T4 ON T4.link_to_member = T3.member_id WHERE T4.date_received = '2019-09-09'</t>
  </si>
  <si>
    <t>Which budget category does the expense 'Posters' fall to?</t>
  </si>
  <si>
    <t>Posters' refers to expense description</t>
  </si>
  <si>
    <t>โปสเตอร์หมายถึงคำอธิบายค่าใช้จ่าย</t>
  </si>
  <si>
    <t>SELECT DISTINCT T2.category FROM expense AS T1 INNER JOIN budget AS T2 ON T1.link_to_budget = T2.budget_id WHERE T1.expense_description = 'Posters'</t>
  </si>
  <si>
    <t>Write the full name of the club member with the position of 'Secretary' and list which college the club member belongs to.</t>
  </si>
  <si>
    <t>SELECT T1.first_name, T1.last_name, college FROM member AS T1 INNER JOIN major AS T2 ON T2.major_id = T1.link_to_major WHERE T1.position = 'Secretary'</t>
  </si>
  <si>
    <t>Calculate the total amount spent on speaker gifts and list the name of the event they were spent on.</t>
  </si>
  <si>
    <t>total amount spent = SUM(spent) where category = 'Speaker Gifts'</t>
  </si>
  <si>
    <t>ยอดใช้จ่ายทั้งหมด = SUM (ใช้ไป) โดยที่หมวดหมู่ = 'ของขวัญจากลำโพง'</t>
  </si>
  <si>
    <t>SELECT SUM(T1.spent), T2.event_name FROM budget AS T1 INNER JOIN event AS T2 ON T1.link_to_event = T2.event_id WHERE T1.category = 'Speaker Gifts' GROUP BY T2.event_name</t>
  </si>
  <si>
    <t>Where is the hometown of Garrett Gerke?</t>
  </si>
  <si>
    <t>hometown refers to city</t>
  </si>
  <si>
    <t>บ้านเกิดหมายถึงเมือง</t>
  </si>
  <si>
    <t>SELECT T2.city FROM member AS T1 INNER JOIN zip_code AS T2 ON T2.zip_code = T1.zip WHERE T1.first_name = 'Garrett' AND T1.last_name = 'Gerke'</t>
  </si>
  <si>
    <t>Which student has the hometown of Lincolnton, North Carolina with the zip code of 28092? List their full name and position.</t>
  </si>
  <si>
    <t>full name refers to first_name, last_name, hometown of Lincolnton, North Carolina refers to city = 'Lincolnton' AND state = 'North Carolina'</t>
  </si>
  <si>
    <t>ชื่อเต็มหมายถึง first_name, Last_name, บ้านเกิดของ Lincolnton, North Carolina หมายถึงเมือง = 'Lincolnton' และ state = 'North Carolina'</t>
  </si>
  <si>
    <t>SELECT T1.first_name, T1.last_name, T1.position FROM member AS T1 INNER JOIN zip_code AS T2 ON T2.zip_code = T1.zip WHERE T2.city = 'Lincolnton' AND T2.state = 'North Carolina' AND T2.zip_code = 28092</t>
  </si>
  <si>
    <t>debit_card_specializing</t>
  </si>
  <si>
    <t>How many gas stations in CZE has Premium gas?</t>
  </si>
  <si>
    <t>SELECT COUNT(GasStationID) FROM gasstations WHERE Country = 'CZE' AND Segment = 'Premium'</t>
  </si>
  <si>
    <t>What is the ratio of customers who pay in EUR against customers who pay in CZK?</t>
  </si>
  <si>
    <t>ratio of customers who pay in EUR against customers who pay in CZK = count(Currency = 'EUR') / count(Currency = 'CZK').</t>
  </si>
  <si>
    <t>อัตราส่วนของลูกค้าที่ชำระเป็น EUR เทียบกับลูกค้าที่ชำระเป็น CZK = จำนวน (สกุลเงิน = 'EUR') / จำนวน (สกุลเงิน = 'CZK')</t>
  </si>
  <si>
    <t>SELECT CAST(SUM(IIF(Currency = 'EUR', 1, 0)) AS FLOAT) / SUM(IIF(Currency = 'CZK', 1, 0)) AS ratio FROM customers</t>
  </si>
  <si>
    <t>In 2012, who had the least consumption in LAM?</t>
  </si>
  <si>
    <t>Year 2012 can be presented as Between 201201 And 201212; The first 4 strings of the Date values in the yearmonth table can represent year.</t>
  </si>
  <si>
    <t>ปี 2555 สามารถแสดงได้ระหว่าง 201201 ถึง 201212; สตริง 4 ตัวแรกของค่าวันที่ในตารางปีเดือนสามารถแสดงถึงปีได้</t>
  </si>
  <si>
    <t>SELECT T1.CustomerID FROM customers AS T1 INNER JOIN yearmonth AS T2 ON T1.CustomerID = T2.CustomerID WHERE T1.Segment = 'LAM' AND SUBSTR(T2.Date, 1, 4) = '2012' GROUP BY T1.CustomerID ORDER BY SUM(T2.Consumption) ASC LIMIT 1</t>
  </si>
  <si>
    <t>What was the average monthly consumption of customers in SME for the year 2013?</t>
  </si>
  <si>
    <t>Average Monthly consumption = AVG(Consumption) / 12; Year 2013 can be presented as Between 201301 And 201312; The first 4 strings of the Date values in the yearmonth table can represent year.</t>
  </si>
  <si>
    <t>ปริมาณการใช้เฉลี่ยต่อเดือน = AVG (ปริมาณการใช้) / 12; ปี 2556 สามารถแสดงได้ระหว่าง 201301 ถึง 201312; สตริง 4 ตัวแรกของค่าวันที่ในตารางปีเดือนสามารถแสดงถึงปีได้</t>
  </si>
  <si>
    <t>SELECT AVG(T2.Consumption) / 12 FROM customers AS T1 INNER JOIN yearmonth AS T2 ON T1.CustomerID = T2.CustomerID WHERE SUBSTR(T2.Date, 1, 4) = '2013' AND T1.Segment = 'SME'</t>
  </si>
  <si>
    <t>Which customers, paying in CZK, consumed the most gas in 2011?</t>
  </si>
  <si>
    <t>Year 2011 can be presented as Between 201101 And 201112, which means between January and December in 2011</t>
  </si>
  <si>
    <t>ปี 2554 สามารถแสดงได้เป็น ระหว่าง 255454 ถึง 255412 ซึ่งหมายถึงระหว่างเดือนมกราคมถึงธันวาคมในปี 2554</t>
  </si>
  <si>
    <t>SELECT T1.CustomerID FROM customers AS T1 INNER JOIN yearmonth AS T2 ON T1.CustomerID = T2.CustomerID WHERE T1.Currency = 'CZK' AND T2.Date BETWEEN 201101 AND 201112 GROUP BY T1.CustomerID ORDER BY SUM(T2.Consumption) DESC LIMIT 1</t>
  </si>
  <si>
    <t>How many customers in KAM had a consumption of less than 30,000 for the year 2012?</t>
  </si>
  <si>
    <t>Year 2012 can be presented as Between 201201 And 201212, which means between January and December in 2012</t>
  </si>
  <si>
    <t>ปี 2555 สามารถแสดงได้ระหว่างปี 2555 ถึง 255512 ซึ่งหมายถึงระหว่างเดือนมกราคมถึงธันวาคมในปี 2555</t>
  </si>
  <si>
    <t>SELECT COUNT(*) FROM ( SELECT T2.CustomerID FROM customers AS T1 INNER JOIN yearmonth AS T2 ON T1.CustomerID = T2.CustomerID WHERE T1.Segment = 'KAM' AND SUBSTRING(T2.Date, 1, 4) = '2012' GROUP BY T2.CustomerID HAVING SUM(T2.Consumption) &lt; 30000 ) AS t1</t>
  </si>
  <si>
    <t>What was the difference in gas consumption between CZK-paying customers and EUR-paying customers in 2012?</t>
  </si>
  <si>
    <t>Year 2012 can be presented as Between 201201 And 201212; The first 4 strings of the Date values in the yearmonth table can represent year; Difference in Consumption = CZK customers consumption in 2012 - EUR customers consumption in 2012</t>
  </si>
  <si>
    <t>ปี 2555 สามารถแสดงได้ระหว่าง 201201 ถึง 201212; 4 สตริงแรกของค่าวันที่ในตารางปีเดือนสามารถแสดงถึงปีได้ ความแตกต่างในการบริโภค = การบริโภคของลูกค้า CZK ในปี 2555 - การบริโภคของลูกค้า EUR ในปี 2555</t>
  </si>
  <si>
    <t>SELECT SUM(IIF(T1.Currency = 'CZK', T2.Consumption, 0)) - SUM(IIF(T1.Currency = 'EUR', T2.Consumption, 0)) FROM customers AS T1 INNER JOIN yearmonth AS T2 ON T1.CustomerID = T2.CustomerID WHERE SUBSTR(T2.Date, 1, 4) = '2012'</t>
  </si>
  <si>
    <t>Which year recorded the most gas use paid in EUR?</t>
  </si>
  <si>
    <t>SELECT SUBSTRING(T2.Date, 1, 4) FROM customers AS T1 INNER JOIN yearmonth AS T2 ON T1.CustomerID = T2.CustomerID WHERE T1.Currency = 'EUR' GROUP BY SUBSTRING(T2.Date, 1, 4) ORDER BY SUM(T2.Consumption) DESC LIMIT 1</t>
  </si>
  <si>
    <t>Which segment had the least consumption?</t>
  </si>
  <si>
    <t>SELECT T1.Segment FROM customers AS T1 INNER JOIN yearmonth AS T2 ON T1.CustomerID = T2.CustomerID GROUP BY T1.Segment ORDER BY SUM(T2.Consumption) ASC LIMIT 1</t>
  </si>
  <si>
    <t>Which year recorded the most consumption of gas paid in CZK?</t>
  </si>
  <si>
    <t>The first 4 strings of the Date values in the yearmonth table can represent year.</t>
  </si>
  <si>
    <t>สตริง 4 ตัวแรกของค่าวันที่ในตารางปีเดือนสามารถแสดงถึงปีได้</t>
  </si>
  <si>
    <t>SELECT SUBSTR(T2.Date, 1, 4) FROM customers AS T1 INNER JOIN yearmonth AS T2 ON T1.CustomerID = T2.CustomerID WHERE T1.Currency = 'CZK' GROUP BY SUBSTR(T2.Date, 1, 4) ORDER BY SUM(T2.Consumption) DESC LIMIT 1</t>
  </si>
  <si>
    <t>What was the gas consumption peak month for SME customers in 2013?</t>
  </si>
  <si>
    <t>Year 2013 can be presented as Between 201301 And 201312; The first 4 strings of the Date values in the yearmonth table can represent year; The 5th and 6th string of the date can refer to month.</t>
  </si>
  <si>
    <t>ปี 2556 สามารถแสดงได้ระหว่าง 201301 ถึง 201312; 4 สตริงแรกของค่าวันที่ในตารางปีเดือนสามารถแสดงถึงปีได้ สตริงที่ 5 และ 6 ของวันที่สามารถอ้างอิงถึงเดือนได้</t>
  </si>
  <si>
    <t>SELECT SUBSTR(T2.Date, 5, 2) FROM customers AS T1 INNER JOIN yearmonth AS T2 ON T1.CustomerID = T2.CustomerID WHERE SUBSTR(T2.Date, 1, 4) = '2013' AND T1.Segment = 'SME' GROUP BY SUBSTR(T2.Date, 5, 2) ORDER BY SUM(T2.Consumption) DESC LIMIT 1</t>
  </si>
  <si>
    <t>What is the difference in the annual average consumption of the customers with the least amount of consumption paid in CZK for 2013 between SME and LAM, LAM and KAM, and KAM and SME?</t>
  </si>
  <si>
    <t>annual average consumption of customer with the lowest consumption in each segment = total consumption per year / the number of customer with lowest consumption in each segment; Difference in annual average = SME's annual average - LAM's annual average; Difference in annual average = LAM's annual average - KAM's annual average; Year 2013 can be presented as Between 201301 And 201312; The first 4 strings of the Date values in the yearmonth table can represent year.</t>
  </si>
  <si>
    <t>การบริโภคเฉลี่ยต่อปีของลูกค้าที่มีการบริโภคต่ำที่สุดในแต่ละกลุ่ม = การบริโภคทั้งหมดต่อปี / จำนวนลูกค้าที่มีการบริโภคต่ำที่สุดในแต่ละกลุ่ม ส่วนต่างของค่าเฉลี่ยรายปี = ค่าเฉลี่ยรายปีของ SME - ค่าเฉลี่ยรายปีของ LAM ส่วนต่างของค่าเฉลี่ยรายปี = ค่าเฉลี่ยรายปีของ LAM - ค่าเฉลี่ยรายปีของ KAM ปี 2556 สามารถแสดงได้ระหว่าง 201301 ถึง 201312; สตริง 4 ตัวแรกของค่าวันที่ในตารางปีเดือนสามารถแสดงถึงปีได้</t>
  </si>
  <si>
    <t>SELECT CAST(SUM(IIF(T1.Segment = 'SME', T2.Consumption, 0)) AS REAL) / COUNT(T1.CustomerID) - CAST(SUM(IIF(T1.Segment = 'LAM', T2.Consumption, 0)) AS REAL) / COUNT(T1.CustomerID) , CAST(SUM(IIF(T1.Segment = 'LAM', T2.Consumption, 0)) AS REAL) / COUNT(T1.CustomerID) - CAST(SUM(IIF(T1.Segment = 'KAM', T2.Consumption, 0)) AS REAL) / COUNT(T1.CustomerID) , CAST(SUM(IIF(T1.Segment = 'KAM', T2.Consumption, 0)) AS REAL) / COUNT(T1.CustomerID) - CAST(SUM(IIF(T1.Segment = 'SME', T2.Consumption, 0)) AS REAL) / COUNT(T1.CustomerID) FROM customers AS T1 INNER JOIN yearmonth AS T2 ON T1.CustomerID = T2.CustomerID WHERE T1.Currency = 'CZK' AND T2.Consumption = ( SELECT MIN(Consumption) FROM yearmonth ) AND T2.Date BETWEEN 201301 AND 201312</t>
  </si>
  <si>
    <t>Which of the three segments—SME, LAM and KAM—has the biggest and lowest percentage increases in consumption paid in EUR between 2012 and 2013?</t>
  </si>
  <si>
    <t>Increase or Decrease = consumption for 2013 - consumption for 2012; Percentage of Increase = (Increase or Decrease / consumption for 2013) * 100%; The first 4 strings of the Date values in the yearmonth table can represent year</t>
  </si>
  <si>
    <t>เพิ่มหรือลด = ปริมาณการใช้ในปี 2556 - ปริมาณการใช้ในปี 2555 เปอร์เซ็นต์การเพิ่มขึ้น = (เพิ่มหรือลดลง / ปริมาณการใช้สำหรับปี 2013) * 100%; 4 สตริงแรกของค่าวันที่ในตารางปีเดือนสามารถแสดงถึงปีได้</t>
  </si>
  <si>
    <t>SELECT CAST((SUM(IIF(T1.Segment = 'SME' AND T2.Date LIKE '2013%', T2.Consumption, 0)) - SUM(IIF(T1.Segment = 'SME' AND T2.Date LIKE '2012%', T2.Consumption, 0))) AS FLOAT) * 100 / SUM(IIF(T1.Segment = 'SME' AND T2.Date LIKE '2012%', T2.Consumption, 0)), CAST(SUM(IIF(T1.Segment = 'LAM' AND T2.Date LIKE '2013%', T2.Consumption, 0)) - SUM(IIF(T1.Segment = 'LAM' AND T2.Date LIKE '2012%', T2.Consumption, 0)) AS FLOAT) * 100 / SUM(IIF(T1.Segment = 'LAM' AND T2.Date LIKE '2012%', T2.Consumption, 0)) , CAST(SUM(IIF(T1.Segment = 'KAM' AND T2.Date LIKE '2013%', T2.Consumption, 0)) - SUM(IIF(T1.Segment = 'KAM' AND T2.Date LIKE '2012%', T2.Consumption, 0)) AS FLOAT) * 100 / SUM(IIF(T1.Segment = 'KAM' AND T2.Date LIKE '2012%', T2.Consumption, 0)) FROM customers AS T1 INNER JOIN yearmonth AS T2 ON T1.CustomerID = T2.CustomerID</t>
  </si>
  <si>
    <t>How much did customer 6 consume in total between August and November 2013?</t>
  </si>
  <si>
    <t>Between August And November 2013 refers to Between 201308 And 201311; The first 4 strings of the Date values in the yearmonth table can represent year; The 5th and 6th string of the date can refer to month.</t>
  </si>
  <si>
    <t>ระหว่างเดือนสิงหาคมถึงพฤศจิกายน 2556 หมายถึง ระหว่าง 201308 ถึง 201311 4 สตริงแรกของค่าวันที่ในตารางปีเดือนสามารถแสดงถึงปีได้ สตริงที่ 5 และ 6 ของวันที่สามารถอ้างอิงถึงเดือนได้</t>
  </si>
  <si>
    <t>SELECT SUM(Consumption) FROM yearmonth WHERE CustomerID = 6 AND Date BETWEEN '201308' AND '201311'</t>
  </si>
  <si>
    <t>How many more "discount" gas stations does the Czech Republic have compared to Slovakia?</t>
  </si>
  <si>
    <t>Czech Republic can be represented as the Country value in gasstations table is 'CZE'; Slovakia can be represented as the Country value in the gasstations table is 'SVK';  Computation of more "discount" gas stations= Total no. of discount gas stations in Czech Republic - Total no. of discount gas stations in Slovakia</t>
  </si>
  <si>
    <t>สาธารณรัฐเช็กสามารถแสดงเป็นค่าประเทศในตารางปั๊มน้ำมันคือ 'CZE'; สโลวาเกียสามารถแสดงเป็นค่าประเทศในตารางปั๊มน้ำมันคือ 'SVK';  การคำนวณปั๊มน้ำมันที่มี "ส่วนลด" เพิ่มเติม = จำนวนรวม ของสถานีบริการน้ำมันลดราคาในสาธารณรัฐเช็ก - จำนวนรวม ของปั๊มน้ำมันลดราคาในสโลวาเกีย</t>
  </si>
  <si>
    <t>SELECT SUM(IIF(Country = 'CZE', 1, 0)) - SUM(IIF(Country = 'SVK', 1, 0)) FROM gasstations WHERE Segment = 'Discount'</t>
  </si>
  <si>
    <t>How much more was customer 7 consuming in April 2013 than customer 5?</t>
  </si>
  <si>
    <t>April 2013 refers to 201304 in the yearmonth.date</t>
  </si>
  <si>
    <t>เมษายน 2013 อ้างอิงถึง 201304 ในปี yearmonth.date</t>
  </si>
  <si>
    <t>SELECT SUM(IIF(CustomerID = 7, Consumption, 0)) - SUM(IIF(CustomerID = 5, Consumption, 0)) FROM yearmonth WHERE Date = '201304'</t>
  </si>
  <si>
    <t>Is it true that more SMEs pay in Czech koruna than in euros? If so, how many more?</t>
  </si>
  <si>
    <t>Amount of more SMEs = Total of SMEs pay using Currency CZK - Total of SMEs pay using Currency EUR</t>
  </si>
  <si>
    <t>จำนวน SMEs ที่เพิ่มขึ้น = จำนวน SMEs ที่ชำระโดยใช้สกุลเงิน CZK - จำนวน SMEs ที่ชำระด้วยสกุลเงิน EUR ทั้งหมด</t>
  </si>
  <si>
    <t>SELECT SUM(Currency = 'CZK') - SUM(Currency = 'EUR') FROM customers WHERE Segment = 'SME'</t>
  </si>
  <si>
    <t>Which LAM customer used the Euro as their currency and had the highest consumption in October 2013?</t>
  </si>
  <si>
    <t>October 2013 refers to 201310 in the yearmonth.date</t>
  </si>
  <si>
    <t>ตุลาคม 2013 หมายถึง 201310 ในปี yearmonth.date</t>
  </si>
  <si>
    <t>SELECT T1.CustomerID FROM customers AS T1 INNER JOIN yearmonth AS T2 ON T1.CustomerID = T2.CustomerID WHERE T1.Segment = 'LAM' AND T2.Date = '201310' AND T1.Currency = 'EUR' GROUP BY T1.CustomerID ORDER BY SUM(T2.Consumption) DESC LIMIT 1</t>
  </si>
  <si>
    <t>Who among KAM's customers consumed the most? How much did it consume?</t>
  </si>
  <si>
    <t>SELECT T2.CustomerID, SUM(T2.Consumption) FROM customers AS T1 INNER JOIN yearmonth AS T2 ON T1.CustomerID = T2.CustomerID WHERE T1.Segment = 'KAM' GROUP BY T2.CustomerID ORDER BY SUM(T2.Consumption) DESC LIMIT 1</t>
  </si>
  <si>
    <t>How much did the KAM customers consume in total in May 2013?</t>
  </si>
  <si>
    <t>May 2013 refers to yearmonth.date = 201305</t>
  </si>
  <si>
    <t>พฤษภาคม 2013 อ้างอิงถึง yearmonth.date = 201305</t>
  </si>
  <si>
    <t>SELECT SUM(T2.Consumption) FROM customers AS T1 INNER JOIN yearmonth AS T2 ON T1.CustomerID = T2.CustomerID WHERE T2.Date = '201305' AND T1.Segment = 'KAM'</t>
  </si>
  <si>
    <t>How many percent of LAM customer consumed more than 46.73?</t>
  </si>
  <si>
    <t>Percentage of LAM customer consumed more than 46.73 = (Total no. of LAM customers who consumed more than 46.73 / Total no. of LAM customers) * 100.</t>
  </si>
  <si>
    <t>เปอร์เซ็นต์ของลูกค้า LAM ที่บริโภคมากกว่า 46.73 = (จำนวนลูกค้า LAM ทั้งหมดที่ใช้งานมากกว่า 46.73 / จำนวนลูกค้า LAM ทั้งหมด) * 100</t>
  </si>
  <si>
    <t>SELECT CAST(SUM(IIF(T2.Consumption &gt; 46.73, 1, 0)) AS FLOAT) * 100 / COUNT(T1.CustomerID) FROM customers AS T1 INNER JOIN yearmonth AS T2 ON T1.CustomerID = T2.CustomerID WHERE T1.Segment = 'LAM'</t>
  </si>
  <si>
    <t>Which country has more "value for money" gas stations? Please give a total number of "value for money" gas stations in each country.</t>
  </si>
  <si>
    <t>SELECT Country , ( SELECT COUNT(GasStationID) FROM gasstations WHERE Segment = 'Value for money' ) FROM gasstations WHERE Segment = 'Value for money' GROUP BY Country ORDER BY COUNT(GasStationID) DESC LIMIT 1</t>
  </si>
  <si>
    <t>What percentage of KAM customers pay in euros?</t>
  </si>
  <si>
    <t>Percentage of KAM uses Euro = (Total of KAM uses Euro / Total of KAM) * 100%.</t>
  </si>
  <si>
    <t>เปอร์เซ็นต์ของ KAM ใช้ยูโร = (จำนวน KAM ทั้งหมดใช้ยูโร / KAM ทั้งหมด) * 100%</t>
  </si>
  <si>
    <t>SELECT CAST(SUM(Currency = 'EUR') AS FLOAT) * 100 / COUNT(CustomerID) FROM customers WHERE Segment = 'KAM'</t>
  </si>
  <si>
    <t>In February 2012, what percentage of customers consumed more than 528.3?</t>
  </si>
  <si>
    <t>February 2012 refers to '201202' in yearmonth.date; The first 4 strings of the Date values in the yearmonth table can represent year; The 5th and 6th string of the date can refer to month.</t>
  </si>
  <si>
    <t>กุมภาพันธ์ 2555 อ้างอิงถึง '201202' ใน yearmonth.date; 4 สตริงแรกของค่าวันที่ในตารางปีเดือนสามารถแสดงถึงปีได้ สตริงที่ 5 และ 6 ของวันที่สามารถอ้างอิงถึงเดือนได้</t>
  </si>
  <si>
    <t>SELECT CAST(SUM(IIF(Consumption &gt; 528.3, 1, 0)) AS FLOAT) * 100 / COUNT(CustomerID) FROM yearmonth WHERE Date = '201202'</t>
  </si>
  <si>
    <t>What percentage of Slovakian gas stations are premium?</t>
  </si>
  <si>
    <t>Percentage of premium gas station = (Total of premium gas station in Slovakia / Total of gas station in Slovakia) * 100%.</t>
  </si>
  <si>
    <t>เปอร์เซ็นต์ของปั๊มน้ำมันพรีเมียม = (รวมปั๊มน้ำมันพรีเมียมในสโลวาเกีย / รวมปั๊มน้ำมันพรีเมียมในสโลวาเกีย) * 100%</t>
  </si>
  <si>
    <t>SELECT CAST(SUM(IIF(Segment = 'Premium', 1, 0)) AS FLOAT) * 100 / COUNT(GasStationID) FROM gasstations WHERE Country = 'SVK'</t>
  </si>
  <si>
    <t>Which client ID consumed the most in September 2013?</t>
  </si>
  <si>
    <t>September 2013 refers to yearmonth.date = '201309'</t>
  </si>
  <si>
    <t>กันยายน 2556 อ้างอิงถึง yearmonth.date = '201309'</t>
  </si>
  <si>
    <t>SELECT T1.CustomerID FROM customers AS T1 INNER JOIN yearmonth AS T2 ON T1.CustomerID = T2.CustomerID WHERE T2.Date = '201309' GROUP BY T1.CustomerID ORDER BY SUM(T2.Consumption) DESC LIMIT 1</t>
  </si>
  <si>
    <t>Which client segment consumed the least in September 2013?</t>
  </si>
  <si>
    <t>SELECT T1.Segment FROM customers AS T1 INNER JOIN yearmonth AS T2 ON T1.CustomerID = T2.CustomerID WHERE T2.Date = '201309' GROUP BY T1.CustomerID ORDER BY SUM(T2.Consumption) ASC LIMIT 1</t>
  </si>
  <si>
    <t>Which SME customer consumed the least in June 2012?</t>
  </si>
  <si>
    <t>June 2012 refers to yearmonth.date = '201206'</t>
  </si>
  <si>
    <t>มิถุนายน 2555 อ้างอิงถึง yearmonth.date = '201206'</t>
  </si>
  <si>
    <t>SELECT T1.CustomerID FROM customers AS T1 INNER JOIN yearmonth AS T2 ON T1.CustomerID = T2.CustomerID WHERE T2.Date = '201206' AND T1.Segment = 'SME' GROUP BY T1.CustomerID ORDER BY SUM(T2.Consumption) ASC LIMIT 1</t>
  </si>
  <si>
    <t>What is the highest monthly consumption in the year 2012?</t>
  </si>
  <si>
    <t>The first 4 strings of the Date values in the yearmonth table can represent year; The 5th and 6th string of the date can refer to month.</t>
  </si>
  <si>
    <t>4 สตริงแรกของค่าวันที่ในตารางปีเดือนสามารถแสดงถึงปีได้ สตริงที่ 5 และ 6 ของวันที่สามารถอ้างอิงถึงเดือนได้</t>
  </si>
  <si>
    <t>SELECT SUM(Consumption) FROM yearmonth WHERE SUBSTR(Date, 1, 4) = '2012' GROUP BY SUBSTR(Date, 5, 2) ORDER BY SUM(Consumption) DESC LIMIT 1</t>
  </si>
  <si>
    <t>What is the biggest monthly consumption of the customers who use euro as their currency?</t>
  </si>
  <si>
    <t>Monthly consumption = SUM(consumption) / 12</t>
  </si>
  <si>
    <t>ปริมาณการใช้ต่อเดือน = SUM(ปริมาณการใช้) / 12</t>
  </si>
  <si>
    <t>SELECT SUM(T2.Consumption) / 12 AS MonthlyConsumption FROM customers AS T1 INNER JOIN yearmonth AS T2 ON T1.CustomerID = T2.CustomerID WHERE T1.Currency = 'EUR' GROUP BY T1.CustomerID ORDER BY MonthlyConsumption DESC LIMIT 1</t>
  </si>
  <si>
    <t>Please list the product description of the products consumed in September, 2013.</t>
  </si>
  <si>
    <t>September 2013 refers to 201309; The first 4 strings of the Date values in the yearmonth table can represent year; The 5th and 6th string of the date can refer to month.</t>
  </si>
  <si>
    <t>กันยายน 2013 หมายถึง 201309; 4 สตริงแรกของค่าวันที่ในตารางปีเดือนสามารถแสดงถึงปีได้ สตริงที่ 5 และ 6 ของวันที่สามารถอ้างอิงถึงเดือนได้</t>
  </si>
  <si>
    <t>SELECT T3.Description FROM transactions_1k AS T1 INNER JOIN yearmonth AS T2 ON T1.CustomerID = T2.CustomerID INNER JOIN products AS T3 ON T1.ProductID = T3.ProductID WHERE T2.Date = '201309'</t>
  </si>
  <si>
    <t>Please list the countries of the gas stations with transactions taken place in June, 2013.</t>
  </si>
  <si>
    <t>June 2013 refers to '201306'; The first 4 strings of the Date values in the yearmonth table can represent year; The 5th and 6th string of the date can refer to month;</t>
  </si>
  <si>
    <t>มิถุนายน 2556 หมายถึง '201306'; 4 สตริงแรกของค่าวันที่ในตารางปีเดือนสามารถแสดงถึงปีได้ สายวันที่ที่ 5 และ 6 ของวันที่สามารถอ้างอิงถึงเดือนได้</t>
  </si>
  <si>
    <t>SELECT DISTINCT T2.Country FROM transactions_1k AS T1 INNER JOIN gasstations AS T2 ON T1.GasStationID = T2.GasStationID INNER JOIN yearmonth AS T3 ON T1.CustomerID = T3.CustomerID WHERE T3.Date = '201306'</t>
  </si>
  <si>
    <t>Please list the chains of the gas stations with transactions in euro.</t>
  </si>
  <si>
    <t>SELECT DISTINCT T3.ChainID FROM transactions_1k AS T1 INNER JOIN customers AS T2 ON T1.CustomerID = T2.CustomerID INNER JOIN gasstations AS T3 ON T1.GasStationID = T3.GasStationID WHERE T2.Currency = 'EUR'</t>
  </si>
  <si>
    <t>Please list the product description of the products bought in transactions in euro.</t>
  </si>
  <si>
    <t>SELECT DISTINCT T1.ProductID, T3.Description FROM transactions_1k AS T1 INNER JOIN customers AS T2 ON T1.CustomerID = T2.CustomerID INNER JOIN products AS T3 ON T1.ProductID = T3.ProductID WHERE T2.Currency = 'EUR'</t>
  </si>
  <si>
    <t>What is the average total price of the transactions taken place in January, 2012?</t>
  </si>
  <si>
    <t>In January, 2012 means Date contains '2012-01'</t>
  </si>
  <si>
    <t>ในเดือนมกราคม 2555 หมายถึงวันที่ประกอบด้วย '2012-01'</t>
  </si>
  <si>
    <t>SELECT AVG(Amount) FROM transactions_1k WHERE Date LIKE '2012-01%'</t>
  </si>
  <si>
    <t>Among the customers who paid in euro, how many of them have a monthly consumption of over 1000?</t>
  </si>
  <si>
    <t>Pays in euro = Currency = 'EUR'.</t>
  </si>
  <si>
    <t>จ่ายเป็นสกุลเงินยูโร = สกุลเงิน = 'EUR'</t>
  </si>
  <si>
    <t>SELECT COUNT(*) FROM yearmonth AS T1 INNER JOIN customers AS T2 ON T1.CustomerID = T2.CustomerID WHERE T2.Currency = 'EUR' AND T1.Consumption &gt; 1000.00</t>
  </si>
  <si>
    <t>Please list the product descriptions of the transactions taken place in the gas stations in the Czech Republic.</t>
  </si>
  <si>
    <t>Czech Republic can be represented as the Country value in the gasstations table is 'CZE';</t>
  </si>
  <si>
    <t>สาธารณรัฐเช็กสามารถแสดงเป็นค่าประเทศในตารางปั๊มน้ำมันคือ 'CZE';</t>
  </si>
  <si>
    <t>SELECT DISTINCT T3.Description FROM transactions_1k AS T1 INNER JOIN gasstations AS T2 ON T1.GasStationID = T2.GasStationID INNER JOIN products AS T3 ON T1.ProductID = T3.ProductID WHERE T2.Country = 'CZE'</t>
  </si>
  <si>
    <t>Please list the disparate time of the transactions taken place in the gas stations from chain no. 11.</t>
  </si>
  <si>
    <t>SELECT DISTINCT T1.Time FROM transactions_1k AS T1 INNER JOIN gasstations AS T2 ON T1.GasStationID = T2.GasStationID WHERE T2.ChainID = 11</t>
  </si>
  <si>
    <t>How many transactions taken place in the gas station in the Czech Republic are with a price of over 1000?</t>
  </si>
  <si>
    <t>Gas station in the Czech Republic implies that Country = 'CZE'</t>
  </si>
  <si>
    <t>ปั๊มน้ำมันในสาธารณรัฐเช็กบอกเป็นนัยว่า Country = 'CZE'</t>
  </si>
  <si>
    <t>SELECT COUNT(T1.TransactionID) FROM transactions_1k AS T1 INNER JOIN gasstations AS T2 ON T1.GasStationID = T2.GasStationID WHERE T2.Country = 'CZE' AND T1.Price &gt; 1000</t>
  </si>
  <si>
    <t>Among the transactions made in the gas stations in the Czech Republic, how many of them are taken place after 2012/1/1?</t>
  </si>
  <si>
    <t>Czech Republic can be represented as the Country value in the gasstations table is 'CZE'</t>
  </si>
  <si>
    <t>สาธารณรัฐเช็กสามารถแสดงเป็นค่าประเทศในตารางปั๊มน้ำมันคือ 'CZE'</t>
  </si>
  <si>
    <t>SELECT COUNT(T1.TransactionID) FROM transactions_1k AS T1 INNER JOIN gasstations AS T2 ON T1.GasStationID = T2.GasStationID WHERE T2.Country = 'CZE' AND STRFTIME('%Y', T1.Date) &gt;= '2012'</t>
  </si>
  <si>
    <t>What is the average total price of the transactions taken place in gas stations in the Czech Republic?</t>
  </si>
  <si>
    <t>SELECT AVG(T1.Price) FROM transactions_1k AS T1 INNER JOIN gasstations AS T2 ON T1.GasStationID = T2.GasStationID WHERE T2.Country = 'CZE'</t>
  </si>
  <si>
    <t>For the customers who paid in the euro, what is their average total price of the transactions?</t>
  </si>
  <si>
    <t>SELECT AVG(T1.Price) FROM transactions_1k AS T1 INNER JOIN gasstations AS T2 ON T1.GasStationID = T2.GasStationID INNER JOIN customers AS T3 ON T1.CustomerID = T3.CustomerID WHERE T3.Currency = 'EUR'</t>
  </si>
  <si>
    <t>Which customer paid the most in 2012/8/25?</t>
  </si>
  <si>
    <t>2012/8/25' can be represented by '2012-08-25'</t>
  </si>
  <si>
    <t>25/08/2012' สามารถแสดงโดย '25-08-2012'</t>
  </si>
  <si>
    <t>SELECT CustomerID FROM transactions_1k WHERE Date = '2012-08-25' GROUP BY CustomerID ORDER BY SUM(Price) DESC LIMIT 1</t>
  </si>
  <si>
    <t>Which country's gas station had the first paid cusomer in 2012/8/25?</t>
  </si>
  <si>
    <t>SELECT T2.Country FROM transactions_1k AS T1 INNER JOIN gasstations AS T2 ON T1.GasStationID = T2.GasStationID WHERE T1.Date = '2012-08-25' ORDER BY T1.Time DESC LIMIT 1</t>
  </si>
  <si>
    <t>What kind of currency did the customer paid at 16:25:00 in 2012/8/24?</t>
  </si>
  <si>
    <t>2012/8/24' can be represented by '2012-08-24';</t>
  </si>
  <si>
    <t>24/08/2012' สามารถแสดงโดย '24-08-2012';</t>
  </si>
  <si>
    <t>SELECT DISTINCT T3.Currency FROM transactions_1k AS T1 INNER JOIN gasstations AS T2 ON T1.GasStationID = T2.GasStationID INNER JOIN customers AS T3 ON T1.CustomerID = T3.CustomerID WHERE T1.Date = '2012-08-24' AND T1.Time = '16:25:00'</t>
  </si>
  <si>
    <t>What segment did the customer have at 2012/8/23 21:20:00?</t>
  </si>
  <si>
    <t>2012/8/23' can be represented by '2012-08-23'</t>
  </si>
  <si>
    <t>23/08/2012' สามารถแสดงโดย '23-08-2012'</t>
  </si>
  <si>
    <t>SELECT T2.Segment FROM transactions_1k AS T1 INNER JOIN customers AS T2 ON T1.CustomerID = T2.CustomerID WHERE T1.date = '2012-08-23' AND T1.time = '21:20:00'</t>
  </si>
  <si>
    <t>How many transactions were paid in CZK in the morning of 2012/8/26?</t>
  </si>
  <si>
    <t>2012/8/26' can be represented by '2012-08-26'; The morning refers to the time before '13:00:00'</t>
  </si>
  <si>
    <t>26/08/2012' สามารถแสดงโดย '26-08-2012'; เช้าหมายถึงเวลาก่อน '13:00:00'</t>
  </si>
  <si>
    <t>SELECT COUNT(T1.TransactionID) FROM transactions_1k AS T1 INNER JOIN customers AS T2 ON T1.CustomerID = T2.CustomerID WHERE T1.Date = '2012-08-26' AND T1.Time &lt; '13:00:00' AND T2.Currency = 'CZK'</t>
  </si>
  <si>
    <t>For the earliest customer, what segment did he/she have?</t>
  </si>
  <si>
    <t>SELECT T2.Segment FROM transactions_1k AS T1 INNER JOIN customers AS T2 ON T1.CustomerID = T2.CustomerID ORDER BY Date ASC LIMIT 1</t>
  </si>
  <si>
    <t>For the deal happened at 2012/8/24 12:42:00, which country was it?</t>
  </si>
  <si>
    <t>2012/8/24 12:42:00' can refer to date = '2012-08-24' AND T1.time = '12:42:00' in the database</t>
  </si>
  <si>
    <t>24/08/2012 12:42:00' สามารถอ้างถึง date = '2012-08-24' และ T1.time = '12:42:00' ในฐานข้อมูล</t>
  </si>
  <si>
    <t>SELECT T2.Country FROM transactions_1k AS T1 INNER JOIN gasstations AS T2 ON T1.GasStationID = T2.GasStationID WHERE T1.Date = '2012-08-24' AND T1.Time = '12:42:00'</t>
  </si>
  <si>
    <t>What was the product id of the transaction happened at 2012/8/23 21:20:00?</t>
  </si>
  <si>
    <t>2012/8/23 21:20:00' can refer to date = '2012-08-23' AND T1.time = '21:20:00' in the database</t>
  </si>
  <si>
    <t>23/08/2012 21:20:00' สามารถอ้างถึง date = '2012-08-23' และ T1.time = '21:20:00' ในฐานข้อมูล</t>
  </si>
  <si>
    <t>SELECT T1.ProductID FROM transactions_1k AS T1 INNER JOIN gasstations AS T2 ON T1.GasStationID = T2.GasStationID WHERE T1.Date = '2012-08-23' AND T1.Time = '21:20:00'</t>
  </si>
  <si>
    <t>For the customer who paid 124.05 in 2012/8/24, how much did he/she spend during the January of 2012? And what is the date and expenses exactly?</t>
  </si>
  <si>
    <t>2012/8/24' can be represented by '2012-08-24'; expense and the consumption has the similar meaning.</t>
  </si>
  <si>
    <t>24/08/2012' สามารถแสดงโดย '24-08-2012'; ค่าใช้จ่ายและการบริโภคมีความหมายใกล้เคียงกัน</t>
  </si>
  <si>
    <t>SELECT T1.CustomerID, T2.Date, T2.Consumption FROM transactions_1k AS T1 INNER JOIN yearmonth AS T2 ON T1.CustomerID = T2.CustomerID WHERE T1.Date = '2012-08-24' AND T1.Price = 124.05 AND T2.Date = '201201'</t>
  </si>
  <si>
    <t>For all the transactions happened during 8:00-9:00 in 2012/8/26, how many happened in CZE?</t>
  </si>
  <si>
    <t>Czech Republic can be represented as the Country value in the gasstations table is 'CZE'; '2012/8/26' can be represented by '2012-08-26'; during 8:00-9:00 can be represented as Time BETWEEN '08:00:00' AND '09:00:00'</t>
  </si>
  <si>
    <t>สาธารณรัฐเช็กสามารถแสดงเป็นค่าประเทศในตารางปั๊มน้ำมันคือ 'CZE'; '26/08/2012' สามารถแทนด้วย '26-08-2012'; ในช่วง 8:00-9:00 น. สามารถแสดงเป็นเวลาระหว่าง '08:00:00' และ '09:00:00'</t>
  </si>
  <si>
    <t>SELECT COUNT(T1.TransactionID) FROM transactions_1k AS T1 INNER JOIN gasstations AS T2 ON T1.GasStationID = T2.GasStationID WHERE T1.Date = '2012-08-26' AND T1.Time BETWEEN '08:00:00' AND '09:00:00' AND T2.Country = 'CZE'</t>
  </si>
  <si>
    <t>There's one customer spent 214582.17 in the June of 2013, which currency did he/she use?</t>
  </si>
  <si>
    <t>June of 2013 means Date contains '201306' in the yearmonth.date of the database</t>
  </si>
  <si>
    <t>มิถุนายน 2556 หมายถึง Date มี '201306' อยู่ใน yearmonth.date ของฐานข้อมูล</t>
  </si>
  <si>
    <t>SELECT T2.Currency FROM yearmonth AS T1 INNER JOIN customers AS T2 ON T1.CustomerID = T2.CustomerID WHERE T1.Date = '201306' AND T1.Consumption = 214582.17</t>
  </si>
  <si>
    <t>Which country was the card owner of No.667467 in?</t>
  </si>
  <si>
    <t>SELECT T2.Country FROM transactions_1k AS T1 INNER JOIN gasstations AS T2 ON T1.GasStationID = T2.GasStationID WHERE T1.CardID = '667467'</t>
  </si>
  <si>
    <t>What's the nationality of the customer who spent 548.4 in 2012/8/24?</t>
  </si>
  <si>
    <t>2012/8/24' can be represented by '2012-08-24'</t>
  </si>
  <si>
    <t>24/8/2012' สามารถแสดงโดย '2012-08-24'</t>
  </si>
  <si>
    <t>SELECT T2.Country FROM transactions_1k AS T1 INNER JOIN gasstations AS T2 ON T1.GasStationID = T2.GasStationID WHERE T1.Date = '2012-08-24' AND T1.Price = 548.4</t>
  </si>
  <si>
    <t>What is the percentage of the customers who used EUR in 2012/8/25?</t>
  </si>
  <si>
    <t>SELECT CAST(SUM(IIF(T2.Currency = 'EUR', 1, 0)) AS FLOAT) * 100 / COUNT(T1.CustomerID) FROM transactions_1k AS T1 INNER JOIN customers AS T2 ON T1.CustomerID = T2.CustomerID WHERE T1.Date = '2012-08-25'</t>
  </si>
  <si>
    <t>For the customer who paid 634.8 in 2012/8/25, what was the consumption decrease rate from Year 2012 to 2013?</t>
  </si>
  <si>
    <t>2012/8/24' can be represented by '2012-08-24'; Consumption decrease rate = (consumption_2012 - consumption_2013) / consumption_2012</t>
  </si>
  <si>
    <t>24/08/2012' สามารถแสดงโดย '24-08-2012'; อัตราการบริโภคลดลง = (consumption_2012 - Consumption_2013) / Consumption_2012</t>
  </si>
  <si>
    <t>SELECT CAST(SUM(IIF(SUBSTR(Date, 1, 4) = '2012', Consumption, 0)) - SUM(IIF(SUBSTR(Date, 1, 4) = '2013', Consumption, 0)) AS FLOAT) / SUM(IIF(SUBSTR(Date, 1, 4) = '2012', Consumption, 0)) FROM yearmonth WHERE CustomerID = ( SELECT T1.CustomerID FROM transactions_1k AS T1 INNER JOIN gasstations AS T2 ON T1.GasStationID = T2.GasStationID WHERE T1.Date = '2012-08-25' AND T1.Price = 634.8 )</t>
  </si>
  <si>
    <t>Which gas station has the highest amount of revenue?</t>
  </si>
  <si>
    <t>SELECT GasStationID FROM transactions_1k GROUP BY GasStationID ORDER BY SUM(Price) DESC LIMIT 1</t>
  </si>
  <si>
    <t>What is the percentage of "premium" against the overall segment in Country = "SVK"?</t>
  </si>
  <si>
    <t>SELECT CAST(SUM(IIF(Country = 'SVK' AND Segment = 'Premium', 1, 0)) AS FLOAT) * 100 / SUM(IIF(Country = 'SVK', 1, 0)) FROM gasstations</t>
  </si>
  <si>
    <t>What is the amount spent by customer "38508" at the gas stations? How much had the customer spent in January 2012?</t>
  </si>
  <si>
    <t>January 2012 refers to the Date value = '201201'</t>
  </si>
  <si>
    <t>มกราคม 2012 อ้างอิงถึงค่าวันที่ = '201201'</t>
  </si>
  <si>
    <t>SELECT SUM(T1.Price) , SUM(IIF(T3.Date = '201201', T1.Price, 0)) FROM transactions_1k AS T1 INNER JOIN gasstations AS T2 ON T1.GasStationID = T2.GasStationID INNER JOIN yearmonth AS T3 ON T1.CustomerID = T3.CustomerID WHERE T1.CustomerID = '38508'</t>
  </si>
  <si>
    <t>Which are the top five best selling products? Please state the full name of them.</t>
  </si>
  <si>
    <t>Description of products contains full name</t>
  </si>
  <si>
    <t>คำอธิบายของผลิตภัณฑ์มีชื่อเต็ม</t>
  </si>
  <si>
    <t>SELECT T2.Description FROM transactions_1k AS T1 INNER JOIN products AS T2 ON T1.ProductID = T2.ProductID ORDER BY T1.Amount DESC LIMIT 5</t>
  </si>
  <si>
    <t>Who is the top spending customer and how much is the average price per single item purchased by this customer? What currency was being used?</t>
  </si>
  <si>
    <t>average price per single item = Total(price) / Total(amount)</t>
  </si>
  <si>
    <t>ราคาเฉลี่ยต่อรายการเดียว = รวม (ราคา) / รวม (จำนวน)</t>
  </si>
  <si>
    <t>SELECT T2.CustomerID, SUM(T2.Price / T2.Amount), T1.Currency FROM customers AS T1 INNER JOIN transactions_1k AS T2 ON T1.CustomerID = T2.CustomerID WHERE T2.CustomerID = ( SELECT CustomerID FROM yearmonth ORDER BY Consumption DESC LIMIT 1 ) GROUP BY T2.CustomerID, T1.Currency</t>
  </si>
  <si>
    <t>Which country had the gas station that sold the most expensive product id No.2 for one unit?</t>
  </si>
  <si>
    <t>SELECT T2.Country FROM transactions_1k AS T1 INNER JOIN gasstations AS T2 ON T1.GasStationID = T2.GasStationID WHERE T1.ProductID = 2 ORDER BY T1.Price DESC LIMIT 1</t>
  </si>
  <si>
    <t>For all the people who paid more than 29.00 per unit of product id No.5. Give their consumption status in the August of 2012.</t>
  </si>
  <si>
    <t>August of 2012 refers to the Date value = '201208' ; Price per unit of product = Price / Amount;</t>
  </si>
  <si>
    <t>สิงหาคม 2555 อ้างอิงถึงค่าวันที่ = '201208' ; ราคาต่อหน่วยของผลิตภัณฑ์ = ราคา / จำนวน;</t>
  </si>
  <si>
    <t>SELECT T2.Consumption FROM transactions_1k AS T1 INNER JOIN yearmonth AS T2 ON T1.CustomerID = T2.CustomerID WHERE T1.Price / T1.Amount &gt; 29.00 AND T1.ProductID = 5 AND T2.Date = '201208'</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</si>
</sst>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4.38"/>
    <col customWidth="1" min="4" max="4" width="84.25"/>
    <col customWidth="1" min="5" max="5" width="107.38"/>
    <col customWidth="1" min="6" max="6" width="57.13"/>
  </cols>
  <sheetData>
    <row r="1">
      <c r="A1" s="1" t="s">
        <v>0</v>
      </c>
      <c r="B1" s="1" t="s">
        <v>1</v>
      </c>
      <c r="C1" s="1" t="s">
        <v>2</v>
      </c>
      <c r="D1" s="1" t="s">
        <v>3</v>
      </c>
      <c r="E1" s="1" t="s">
        <v>4</v>
      </c>
      <c r="F1" s="1" t="s">
        <v>5</v>
      </c>
      <c r="G1" s="1" t="s">
        <v>6</v>
      </c>
      <c r="H1" s="1" t="s">
        <v>7</v>
      </c>
    </row>
    <row r="2">
      <c r="A2" s="1">
        <v>0.0</v>
      </c>
      <c r="B2" s="1" t="s">
        <v>8</v>
      </c>
      <c r="C2" s="1" t="s">
        <v>9</v>
      </c>
      <c r="D2" s="1" t="s">
        <v>10</v>
      </c>
      <c r="E2" s="2" t="str">
        <f>IFERROR(__xludf.DUMMYFUNCTION("GOOGLETRANSLATE(C2, ""en"", ""th"")"),"อัตราฟรีที่มีสิทธิ์สูงสุดสำหรับนักเรียนระดับอนุบาลถึงมัธยมศึกษา (K-12) ในโรงเรียนใน Alameda County คือเท่าใด")</f>
        <v>อัตราฟรีที่มีสิทธิ์สูงสุดสำหรับนักเรียนระดับอนุบาลถึงมัธยมศึกษา (K-12) ในโรงเรียนใน Alameda County คือเท่าใด</v>
      </c>
      <c r="F2" s="1" t="s">
        <v>11</v>
      </c>
      <c r="G2" s="1" t="s">
        <v>12</v>
      </c>
      <c r="H2" s="1" t="s">
        <v>13</v>
      </c>
    </row>
    <row r="3">
      <c r="A3" s="1">
        <v>1.0</v>
      </c>
      <c r="B3" s="1" t="s">
        <v>8</v>
      </c>
      <c r="C3" s="1" t="s">
        <v>14</v>
      </c>
      <c r="D3" s="1" t="s">
        <v>15</v>
      </c>
      <c r="E3" s="2" t="str">
        <f>IFERROR(__xludf.DUMMYFUNCTION("GOOGLETRANSLATE(C3, ""en"", ""th"")"),"โปรดระบุอัตราค่าเรียนฟรีที่มีสิทธิ์ต่ำสุดสามรายการสำหรับนักเรียนอายุ 5-17 ปีในโรงเรียนต่อเนื่อง")</f>
        <v>โปรดระบุอัตราค่าเรียนฟรีที่มีสิทธิ์ต่ำสุดสามรายการสำหรับนักเรียนอายุ 5-17 ปีในโรงเรียนต่อเนื่อง</v>
      </c>
      <c r="F3" s="1" t="s">
        <v>16</v>
      </c>
      <c r="G3" s="1" t="s">
        <v>17</v>
      </c>
      <c r="H3" s="1" t="s">
        <v>18</v>
      </c>
    </row>
    <row r="4">
      <c r="A4" s="1">
        <v>2.0</v>
      </c>
      <c r="B4" s="1" t="s">
        <v>8</v>
      </c>
      <c r="C4" s="1" t="s">
        <v>19</v>
      </c>
      <c r="D4" s="1" t="s">
        <v>20</v>
      </c>
      <c r="E4" s="2" t="str">
        <f>IFERROR(__xludf.DUMMYFUNCTION("GOOGLETRANSLATE(C4, ""en"", ""th"")"),"โปรดระบุรหัสไปรษณีย์ของโรงเรียนเหมาลำทั้งหมดในสำนักงานการศึกษาเทศมณฑลเฟรสโน")</f>
        <v>โปรดระบุรหัสไปรษณีย์ของโรงเรียนเหมาลำทั้งหมดในสำนักงานการศึกษาเทศมณฑลเฟรสโน</v>
      </c>
      <c r="F4" s="1" t="s">
        <v>21</v>
      </c>
      <c r="G4" s="1" t="s">
        <v>22</v>
      </c>
      <c r="H4" s="1" t="s">
        <v>13</v>
      </c>
    </row>
    <row r="5">
      <c r="A5" s="1">
        <v>3.0</v>
      </c>
      <c r="B5" s="1" t="s">
        <v>8</v>
      </c>
      <c r="C5" s="1" t="s">
        <v>23</v>
      </c>
      <c r="E5" s="2" t="str">
        <f>IFERROR(__xludf.DUMMYFUNCTION("GOOGLETRANSLATE(C5, ""en"", ""th"")"),"ที่อยู่ทางไปรษณีย์แบบไม่ย่อของโรงเรียนที่มีจำนวน FRPM สูงสุดสำหรับนักเรียนระดับอนุบาลถึงมัธยมศึกษา (K-12) คืออะไร")</f>
        <v>ที่อยู่ทางไปรษณีย์แบบไม่ย่อของโรงเรียนที่มีจำนวน FRPM สูงสุดสำหรับนักเรียนระดับอนุบาลถึงมัธยมศึกษา (K-12) คืออะไร</v>
      </c>
      <c r="G5" s="1" t="s">
        <v>24</v>
      </c>
      <c r="H5" s="1" t="s">
        <v>13</v>
      </c>
    </row>
    <row r="6">
      <c r="A6" s="1">
        <v>4.0</v>
      </c>
      <c r="B6" s="1" t="s">
        <v>8</v>
      </c>
      <c r="C6" s="1" t="s">
        <v>25</v>
      </c>
      <c r="D6" s="1" t="s">
        <v>26</v>
      </c>
      <c r="E6" s="2" t="str">
        <f>IFERROR(__xludf.DUMMYFUNCTION("GOOGLETRANSLATE(C6, ""en"", ""th"")"),"โปรดระบุหมายเลขโทรศัพท์ของโรงเรียนที่ได้รับทุนสนับสนุนการเช่าเหมาลำโดยตรงที่เปิดหลังวันที่ 1/1/2000")</f>
        <v>โปรดระบุหมายเลขโทรศัพท์ของโรงเรียนที่ได้รับทุนสนับสนุนการเช่าเหมาลำโดยตรงที่เปิดหลังวันที่ 1/1/2000</v>
      </c>
      <c r="F6" s="1" t="s">
        <v>27</v>
      </c>
      <c r="G6" s="1" t="s">
        <v>28</v>
      </c>
      <c r="H6" s="1" t="s">
        <v>18</v>
      </c>
    </row>
    <row r="7">
      <c r="A7" s="1">
        <v>5.0</v>
      </c>
      <c r="B7" s="1" t="s">
        <v>8</v>
      </c>
      <c r="C7" s="1" t="s">
        <v>29</v>
      </c>
      <c r="D7" s="1" t="s">
        <v>30</v>
      </c>
      <c r="E7" s="2" t="str">
        <f>IFERROR(__xludf.DUMMYFUNCTION("GOOGLETRANSLATE(C7, ""en"", ""th"")"),"มีโรงเรียนกี่แห่งที่มีคะแนนเฉลี่ยในวิชาคณิตศาสตร์มากกว่า 400 ในการทดสอบ SAT ที่เป็นระบบเสมือนจริงโดยเฉพาะ")</f>
        <v>มีโรงเรียนกี่แห่งที่มีคะแนนเฉลี่ยในวิชาคณิตศาสตร์มากกว่า 400 ในการทดสอบ SAT ที่เป็นระบบเสมือนจริงโดยเฉพาะ</v>
      </c>
      <c r="F7" s="1" t="s">
        <v>31</v>
      </c>
      <c r="G7" s="1" t="s">
        <v>32</v>
      </c>
      <c r="H7" s="1" t="s">
        <v>13</v>
      </c>
    </row>
    <row r="8">
      <c r="A8" s="1">
        <v>6.0</v>
      </c>
      <c r="B8" s="1" t="s">
        <v>8</v>
      </c>
      <c r="C8" s="1" t="s">
        <v>33</v>
      </c>
      <c r="D8" s="1" t="s">
        <v>34</v>
      </c>
      <c r="E8" s="2" t="str">
        <f>IFERROR(__xludf.DUMMYFUNCTION("GOOGLETRANSLATE(C8, ""en"", ""th"")"),"ในบรรดาโรงเรียนที่มีผู้สอบ SAT มากกว่า 500 คน โปรดระบุรายชื่อโรงเรียนที่เป็นโรงเรียนแม่เหล็กหรือเสนอโปรแกรมแม่เหล็ก")</f>
        <v>ในบรรดาโรงเรียนที่มีผู้สอบ SAT มากกว่า 500 คน โปรดระบุรายชื่อโรงเรียนที่เป็นโรงเรียนแม่เหล็กหรือเสนอโปรแกรมแม่เหล็ก</v>
      </c>
      <c r="F8" s="1" t="s">
        <v>35</v>
      </c>
      <c r="G8" s="1" t="s">
        <v>36</v>
      </c>
      <c r="H8" s="1" t="s">
        <v>13</v>
      </c>
    </row>
    <row r="9">
      <c r="A9" s="1">
        <v>7.0</v>
      </c>
      <c r="B9" s="1" t="s">
        <v>8</v>
      </c>
      <c r="C9" s="1" t="s">
        <v>37</v>
      </c>
      <c r="E9" s="2" t="str">
        <f>IFERROR(__xludf.DUMMYFUNCTION("GOOGLETRANSLATE(C9, ""en"", ""th"")"),"หมายเลขโทรศัพท์ของโรงเรียนที่มีผู้สอบ SAT มากกว่า 1500 มีจำนวนมากที่สุดคือหมายเลขโทรศัพท์อะไร?")</f>
        <v>หมายเลขโทรศัพท์ของโรงเรียนที่มีผู้สอบ SAT มากกว่า 1500 มีจำนวนมากที่สุดคือหมายเลขโทรศัพท์อะไร?</v>
      </c>
      <c r="G9" s="1" t="s">
        <v>38</v>
      </c>
      <c r="H9" s="1" t="s">
        <v>13</v>
      </c>
    </row>
    <row r="10">
      <c r="A10" s="1">
        <v>8.0</v>
      </c>
      <c r="B10" s="1" t="s">
        <v>8</v>
      </c>
      <c r="C10" s="1" t="s">
        <v>39</v>
      </c>
      <c r="E10" s="2" t="str">
        <f>IFERROR(__xludf.DUMMYFUNCTION("GOOGLETRANSLATE(C10, ""en"", ""th"")"),"จำนวนผู้สอบ SAT ของโรงเรียนที่มีจำนวน FRPM สูงสุดสำหรับนักเรียนระดับอนุบาลถึงมัธยมศึกษา (K-12) คือเท่าใด")</f>
        <v>จำนวนผู้สอบ SAT ของโรงเรียนที่มีจำนวน FRPM สูงสุดสำหรับนักเรียนระดับอนุบาลถึงมัธยมศึกษา (K-12) คือเท่าใด</v>
      </c>
      <c r="G10" s="1" t="s">
        <v>40</v>
      </c>
      <c r="H10" s="1" t="s">
        <v>13</v>
      </c>
    </row>
    <row r="11">
      <c r="A11" s="1">
        <v>9.0</v>
      </c>
      <c r="B11" s="1" t="s">
        <v>8</v>
      </c>
      <c r="C11" s="1" t="s">
        <v>41</v>
      </c>
      <c r="E11" s="2" t="str">
        <f>IFERROR(__xludf.DUMMYFUNCTION("GOOGLETRANSLATE(C11, ""en"", ""th"")"),"ในบรรดาโรงเรียนที่มีคะแนนเฉลี่ยวิชาคณิตศาสตร์มากกว่า 560 ในการสอบ SAT มีโรงเรียนกี่แห่งที่ได้รับทุนสนับสนุนโดยตรง")</f>
        <v>ในบรรดาโรงเรียนที่มีคะแนนเฉลี่ยวิชาคณิตศาสตร์มากกว่า 560 ในการสอบ SAT มีโรงเรียนกี่แห่งที่ได้รับทุนสนับสนุนโดยตรง</v>
      </c>
      <c r="G11" s="1" t="s">
        <v>42</v>
      </c>
      <c r="H11" s="1" t="s">
        <v>13</v>
      </c>
    </row>
    <row r="12">
      <c r="A12" s="1">
        <v>10.0</v>
      </c>
      <c r="B12" s="1" t="s">
        <v>8</v>
      </c>
      <c r="C12" s="1" t="s">
        <v>43</v>
      </c>
      <c r="E12" s="2" t="str">
        <f>IFERROR(__xludf.DUMMYFUNCTION("GOOGLETRANSLATE(C12, ""en"", ""th"")"),"สำหรับโรงเรียนที่มีคะแนนเฉลี่ยสูงสุดในด้านการอ่านในการทดสอบ SAT FRPM ของนักเรียนอายุ 5-17 ปีนับเท่าใด")</f>
        <v>สำหรับโรงเรียนที่มีคะแนนเฉลี่ยสูงสุดในด้านการอ่านในการทดสอบ SAT FRPM ของนักเรียนอายุ 5-17 ปีนับเท่าใด</v>
      </c>
      <c r="G12" s="1" t="s">
        <v>44</v>
      </c>
      <c r="H12" s="1" t="s">
        <v>13</v>
      </c>
    </row>
    <row r="13">
      <c r="A13" s="1">
        <v>11.0</v>
      </c>
      <c r="B13" s="1" t="s">
        <v>8</v>
      </c>
      <c r="C13" s="1" t="s">
        <v>45</v>
      </c>
      <c r="D13" s="1" t="s">
        <v>46</v>
      </c>
      <c r="E13" s="2" t="str">
        <f>IFERROR(__xludf.DUMMYFUNCTION("GOOGLETRANSLATE(C13, ""en"", ""th"")"),"โปรดระบุรหัสของโรงเรียนที่มีจำนวนการลงทะเบียนมากกว่า 500")</f>
        <v>โปรดระบุรหัสของโรงเรียนที่มีจำนวนการลงทะเบียนมากกว่า 500</v>
      </c>
      <c r="F13" s="1" t="s">
        <v>47</v>
      </c>
      <c r="G13" s="1" t="s">
        <v>48</v>
      </c>
      <c r="H13" s="1" t="s">
        <v>13</v>
      </c>
    </row>
    <row r="14">
      <c r="A14" s="1">
        <v>12.0</v>
      </c>
      <c r="B14" s="1" t="s">
        <v>8</v>
      </c>
      <c r="C14" s="1" t="s">
        <v>49</v>
      </c>
      <c r="D14" s="1" t="s">
        <v>50</v>
      </c>
      <c r="E14" s="2" t="str">
        <f>IFERROR(__xludf.DUMMYFUNCTION("GOOGLETRANSLATE(C14, ""en"", ""th"")"),"ในบรรดาโรงเรียนที่มีอัตราความเป็นเลิศ SAT มากกว่า 0.3 อัตราฟรีที่มีสิทธิ์สูงสุดสำหรับนักเรียนอายุ 5-17 ปีคือเท่าใด")</f>
        <v>ในบรรดาโรงเรียนที่มีอัตราความเป็นเลิศ SAT มากกว่า 0.3 อัตราฟรีที่มีสิทธิ์สูงสุดสำหรับนักเรียนอายุ 5-17 ปีคือเท่าใด</v>
      </c>
      <c r="F14" s="1" t="s">
        <v>51</v>
      </c>
      <c r="G14" s="1" t="s">
        <v>52</v>
      </c>
      <c r="H14" s="1" t="s">
        <v>18</v>
      </c>
    </row>
    <row r="15">
      <c r="A15" s="1">
        <v>13.0</v>
      </c>
      <c r="B15" s="1" t="s">
        <v>8</v>
      </c>
      <c r="C15" s="1" t="s">
        <v>53</v>
      </c>
      <c r="D15" s="1" t="s">
        <v>54</v>
      </c>
      <c r="E15" s="2" t="str">
        <f>IFERROR(__xludf.DUMMYFUNCTION("GOOGLETRANSLATE(C15, ""en"", ""th"")"),"โปรดระบุหมายเลขโทรศัพท์ของโรงเรียนที่มีอัตราความเป็นเลิศ SAT 3 อันดับแรก")</f>
        <v>โปรดระบุหมายเลขโทรศัพท์ของโรงเรียนที่มีอัตราความเป็นเลิศ SAT 3 อันดับแรก</v>
      </c>
      <c r="F15" s="1" t="s">
        <v>55</v>
      </c>
      <c r="G15" s="1" t="s">
        <v>56</v>
      </c>
      <c r="H15" s="1" t="s">
        <v>13</v>
      </c>
    </row>
    <row r="16">
      <c r="A16" s="1">
        <v>14.0</v>
      </c>
      <c r="B16" s="1" t="s">
        <v>8</v>
      </c>
      <c r="C16" s="1" t="s">
        <v>57</v>
      </c>
      <c r="E16" s="2" t="str">
        <f>IFERROR(__xludf.DUMMYFUNCTION("GOOGLETRANSLATE(C16, ""en"", ""th"")"),"รายชื่อโรงเรียนห้าอันดับแรก ตามลำดับจากมากไปน้อยจากสูงสุดไปต่ำสุด จำนวนผู้ลงทะเบียนเรียนมากที่สุด (อายุ 5-17 ปี) โปรดระบุหมายเลขประจำตัวโรงเรียน NCES")</f>
        <v>รายชื่อโรงเรียนห้าอันดับแรก ตามลำดับจากมากไปน้อยจากสูงสุดไปต่ำสุด จำนวนผู้ลงทะเบียนเรียนมากที่สุด (อายุ 5-17 ปี) โปรดระบุหมายเลขประจำตัวโรงเรียน NCES</v>
      </c>
      <c r="G16" s="1" t="s">
        <v>58</v>
      </c>
      <c r="H16" s="1" t="s">
        <v>13</v>
      </c>
    </row>
    <row r="17">
      <c r="A17" s="1">
        <v>15.0</v>
      </c>
      <c r="B17" s="1" t="s">
        <v>8</v>
      </c>
      <c r="C17" s="1" t="s">
        <v>59</v>
      </c>
      <c r="E17" s="2" t="str">
        <f>IFERROR(__xludf.DUMMYFUNCTION("GOOGLETRANSLATE(C17, ""en"", ""th"")"),"เขตแอคทีฟใดที่มีคะแนนเฉลี่ยสูงสุดในเรดดิ้ง?")</f>
        <v>เขตแอคทีฟใดที่มีคะแนนเฉลี่ยสูงสุดในเรดดิ้ง?</v>
      </c>
      <c r="G17" s="1" t="s">
        <v>60</v>
      </c>
      <c r="H17" s="1" t="s">
        <v>13</v>
      </c>
    </row>
    <row r="18">
      <c r="A18" s="1">
        <v>16.0</v>
      </c>
      <c r="B18" s="1" t="s">
        <v>8</v>
      </c>
      <c r="C18" s="1" t="s">
        <v>61</v>
      </c>
      <c r="E18" s="2" t="str">
        <f>IFERROR(__xludf.DUMMYFUNCTION("GOOGLETRANSLATE(C18, ""en"", ""th"")"),"มีโรงเรียนกี่แห่งใน Alameda ที่รวมกันแล้วมีจำนวนผู้สอบน้อยกว่า 100 คน")</f>
        <v>มีโรงเรียนกี่แห่งใน Alameda ที่รวมกันแล้วมีจำนวนผู้สอบน้อยกว่า 100 คน</v>
      </c>
      <c r="G18" s="1" t="s">
        <v>62</v>
      </c>
      <c r="H18" s="1" t="s">
        <v>13</v>
      </c>
    </row>
    <row r="19">
      <c r="A19" s="1">
        <v>17.0</v>
      </c>
      <c r="B19" s="1" t="s">
        <v>8</v>
      </c>
      <c r="C19" s="1" t="s">
        <v>63</v>
      </c>
      <c r="D19" s="1" t="s">
        <v>64</v>
      </c>
      <c r="E19" s="2" t="str">
        <f>IFERROR(__xludf.DUMMYFUNCTION("GOOGLETRANSLATE(C19, ""en"", ""th"")"),"จัดอันดับโรงเรียนตามคะแนนเฉลี่ยในการเขียน โดยที่คะแนนมากกว่า 499 โดยแสดงหมายเลขกฎบัตรของโรงเรียน")</f>
        <v>จัดอันดับโรงเรียนตามคะแนนเฉลี่ยในการเขียน โดยที่คะแนนมากกว่า 499 โดยแสดงหมายเลขกฎบัตรของโรงเรียน</v>
      </c>
      <c r="F19" s="1" t="s">
        <v>65</v>
      </c>
      <c r="G19" s="1" t="s">
        <v>66</v>
      </c>
      <c r="H19" s="1" t="s">
        <v>13</v>
      </c>
    </row>
    <row r="20">
      <c r="A20" s="1">
        <v>18.0</v>
      </c>
      <c r="B20" s="1" t="s">
        <v>8</v>
      </c>
      <c r="C20" s="1" t="s">
        <v>67</v>
      </c>
      <c r="E20" s="2" t="str">
        <f>IFERROR(__xludf.DUMMYFUNCTION("GOOGLETRANSLATE(C20, ""en"", ""th"")"),"มีโรงเรียนกี่แห่งในเฟรสโน (ได้รับทุนสนับสนุนโดยตรง) ที่มีผู้สอบไม่เกิน 250 คน")</f>
        <v>มีโรงเรียนกี่แห่งในเฟรสโน (ได้รับทุนสนับสนุนโดยตรง) ที่มีผู้สอบไม่เกิน 250 คน</v>
      </c>
      <c r="G20" s="1" t="s">
        <v>68</v>
      </c>
      <c r="H20" s="1" t="s">
        <v>13</v>
      </c>
    </row>
    <row r="21">
      <c r="A21" s="1">
        <v>19.0</v>
      </c>
      <c r="B21" s="1" t="s">
        <v>8</v>
      </c>
      <c r="C21" s="1" t="s">
        <v>69</v>
      </c>
      <c r="E21" s="2" t="str">
        <f>IFERROR(__xludf.DUMMYFUNCTION("GOOGLETRANSLATE(C21, ""en"", ""th"")"),"หมายเลขโทรศัพท์ของโรงเรียนที่มีคะแนนเฉลี่ยวิชาคณิตศาสตร์สูงสุดคืออะไร?")</f>
        <v>หมายเลขโทรศัพท์ของโรงเรียนที่มีคะแนนเฉลี่ยวิชาคณิตศาสตร์สูงสุดคืออะไร?</v>
      </c>
      <c r="G21" s="1" t="s">
        <v>70</v>
      </c>
      <c r="H21" s="1" t="s">
        <v>13</v>
      </c>
    </row>
    <row r="22">
      <c r="A22" s="1">
        <v>20.0</v>
      </c>
      <c r="B22" s="1" t="s">
        <v>8</v>
      </c>
      <c r="C22" s="1" t="s">
        <v>71</v>
      </c>
      <c r="E22" s="2" t="str">
        <f>IFERROR(__xludf.DUMMYFUNCTION("GOOGLETRANSLATE(C22, ""en"", ""th"")"),"มีโรงเรียนกี่แห่งใน Amador ซึ่งเกรดต่ำคือ 9 และเกรดสูงคือ 12")</f>
        <v>มีโรงเรียนกี่แห่งใน Amador ซึ่งเกรดต่ำคือ 9 และเกรดสูงคือ 12</v>
      </c>
      <c r="G22" s="1" t="s">
        <v>72</v>
      </c>
      <c r="H22" s="1" t="s">
        <v>13</v>
      </c>
    </row>
    <row r="23">
      <c r="A23" s="1">
        <v>21.0</v>
      </c>
      <c r="B23" s="1" t="s">
        <v>8</v>
      </c>
      <c r="C23" s="1" t="s">
        <v>73</v>
      </c>
      <c r="E23" s="2" t="str">
        <f>IFERROR(__xludf.DUMMYFUNCTION("GOOGLETRANSLATE(C23, ""en"", ""th"")"),"ในลอสแอนเจลิส มีโรงเรียนกี่แห่งที่มีอาหารฟรีมากกว่า 500 มื้อ แต่มีอาหารฟรีหรือลดราคาน้อยกว่า 700 มื้อสำหรับ K-12")</f>
        <v>ในลอสแอนเจลิส มีโรงเรียนกี่แห่งที่มีอาหารฟรีมากกว่า 500 มื้อ แต่มีอาหารฟรีหรือลดราคาน้อยกว่า 700 มื้อสำหรับ K-12</v>
      </c>
      <c r="G23" s="1" t="s">
        <v>74</v>
      </c>
      <c r="H23" s="1" t="s">
        <v>13</v>
      </c>
    </row>
    <row r="24">
      <c r="A24" s="1">
        <v>22.0</v>
      </c>
      <c r="B24" s="1" t="s">
        <v>8</v>
      </c>
      <c r="C24" s="1" t="s">
        <v>75</v>
      </c>
      <c r="E24" s="2" t="str">
        <f>IFERROR(__xludf.DUMMYFUNCTION("GOOGLETRANSLATE(C24, ""en"", ""th"")"),"โรงเรียนใดใน คอนทรา คอสต้า มีผู้สอบจำนวนมากที่สุด?")</f>
        <v>โรงเรียนใดใน คอนทรา คอสต้า มีผู้สอบจำนวนมากที่สุด?</v>
      </c>
      <c r="G24" s="1" t="s">
        <v>76</v>
      </c>
      <c r="H24" s="1" t="s">
        <v>13</v>
      </c>
    </row>
    <row r="25">
      <c r="A25" s="1">
        <v>23.0</v>
      </c>
      <c r="B25" s="1" t="s">
        <v>8</v>
      </c>
      <c r="C25" s="1" t="s">
        <v>77</v>
      </c>
      <c r="D25" s="1" t="s">
        <v>78</v>
      </c>
      <c r="E25" s="2" t="str">
        <f>IFERROR(__xludf.DUMMYFUNCTION("GOOGLETRANSLATE(C25, ""en"", ""th"")"),"รายชื่อโรงเรียนที่มีความแตกต่างมากกว่า 30 ในการลงทะเบียนระหว่าง K-12 และอายุ 5-17 ปี โปรดระบุที่อยู่เต็มของโรงเรียนด้วย")</f>
        <v>รายชื่อโรงเรียนที่มีความแตกต่างมากกว่า 30 ในการลงทะเบียนระหว่าง K-12 และอายุ 5-17 ปี โปรดระบุที่อยู่เต็มของโรงเรียนด้วย</v>
      </c>
      <c r="F25" s="1" t="s">
        <v>79</v>
      </c>
      <c r="G25" s="1" t="s">
        <v>80</v>
      </c>
      <c r="H25" s="1" t="s">
        <v>18</v>
      </c>
    </row>
    <row r="26">
      <c r="A26" s="1">
        <v>24.0</v>
      </c>
      <c r="B26" s="1" t="s">
        <v>8</v>
      </c>
      <c r="C26" s="1" t="s">
        <v>81</v>
      </c>
      <c r="D26" s="1" t="s">
        <v>82</v>
      </c>
      <c r="E26" s="2" t="str">
        <f>IFERROR(__xludf.DUMMYFUNCTION("GOOGLETRANSLATE(C26, ""en"", ""th"")"),"ระบุชื่อโรงเรียนที่มีเปอร์เซ็นต์สิทธิ์รับอาหารฟรีในระดับอนุบาลถึงมัธยมศึกษาตอนปลาย (K-12) มากกว่า 0.1 และผู้สอบที่มีคะแนนสอบมากกว่าหรือเท่ากับ 1,500?")</f>
        <v>ระบุชื่อโรงเรียนที่มีเปอร์เซ็นต์สิทธิ์รับอาหารฟรีในระดับอนุบาลถึงมัธยมศึกษาตอนปลาย (K-12) มากกว่า 0.1 และผู้สอบที่มีคะแนนสอบมากกว่าหรือเท่ากับ 1,500?</v>
      </c>
      <c r="F26" s="1" t="s">
        <v>83</v>
      </c>
      <c r="G26" s="1" t="s">
        <v>84</v>
      </c>
      <c r="H26" s="1" t="s">
        <v>18</v>
      </c>
    </row>
    <row r="27">
      <c r="A27" s="1">
        <v>25.0</v>
      </c>
      <c r="B27" s="1" t="s">
        <v>8</v>
      </c>
      <c r="C27" s="1" t="s">
        <v>85</v>
      </c>
      <c r="D27" s="1" t="s">
        <v>86</v>
      </c>
      <c r="E27" s="2" t="str">
        <f>IFERROR(__xludf.DUMMYFUNCTION("GOOGLETRANSLATE(C27, ""en"", ""th"")"),"ชื่อโรงเรียนในริเวอร์ไซด์ที่คะแนนเฉลี่ยคณิตศาสตร์สำหรับ SAT มากกว่า 400 โรงเรียนเหล่านี้มีทุนสนับสนุนประเภทใด?")</f>
        <v>ชื่อโรงเรียนในริเวอร์ไซด์ที่คะแนนเฉลี่ยคณิตศาสตร์สำหรับ SAT มากกว่า 400 โรงเรียนเหล่านี้มีทุนสนับสนุนประเภทใด?</v>
      </c>
      <c r="F27" s="1" t="s">
        <v>87</v>
      </c>
      <c r="G27" s="1" t="s">
        <v>88</v>
      </c>
      <c r="H27" s="1" t="s">
        <v>18</v>
      </c>
    </row>
    <row r="28">
      <c r="A28" s="1">
        <v>26.0</v>
      </c>
      <c r="B28" s="1" t="s">
        <v>8</v>
      </c>
      <c r="C28" s="1" t="s">
        <v>89</v>
      </c>
      <c r="D28" s="1" t="s">
        <v>90</v>
      </c>
      <c r="E28" s="2" t="str">
        <f>IFERROR(__xludf.DUMMYFUNCTION("GOOGLETRANSLATE(C28, ""en"", ""th"")"),"ระบุชื่อและที่อยู่การสื่อสารแบบเต็มของโรงเรียนมัธยมในมอนเทอเรย์ซึ่งมีอาหารฟรีหรือลดราคามากกว่า 800 รายการสำหรับเด็กอายุ 15-17 ปี")</f>
        <v>ระบุชื่อและที่อยู่การสื่อสารแบบเต็มของโรงเรียนมัธยมในมอนเทอเรย์ซึ่งมีอาหารฟรีหรือลดราคามากกว่า 800 รายการสำหรับเด็กอายุ 15-17 ปี</v>
      </c>
      <c r="F28" s="1" t="s">
        <v>91</v>
      </c>
      <c r="G28" s="1" t="s">
        <v>92</v>
      </c>
      <c r="H28" s="1" t="s">
        <v>18</v>
      </c>
    </row>
    <row r="29">
      <c r="A29" s="1">
        <v>27.0</v>
      </c>
      <c r="B29" s="1" t="s">
        <v>8</v>
      </c>
      <c r="C29" s="1" t="s">
        <v>93</v>
      </c>
      <c r="D29" s="1" t="s">
        <v>94</v>
      </c>
      <c r="E29" s="2" t="str">
        <f>IFERROR(__xludf.DUMMYFUNCTION("GOOGLETRANSLATE(C29, ""en"", ""th"")"),"คะแนนเฉลี่ยในการเขียนของโรงเรียนที่เปิดหลังปี 1991 หรือปิดก่อนปี 2000 เป็นเท่าใด ระบุชื่อโรงเรียนพร้อมคะแนน นอกจากนี้ให้ระบุหมายเลขติดต่อของโรงเรียนหากมี")</f>
        <v>คะแนนเฉลี่ยในการเขียนของโรงเรียนที่เปิดหลังปี 1991 หรือปิดก่อนปี 2000 เป็นเท่าใด ระบุชื่อโรงเรียนพร้อมคะแนน นอกจากนี้ให้ระบุหมายเลขติดต่อของโรงเรียนหากมี</v>
      </c>
      <c r="F29" s="1" t="s">
        <v>95</v>
      </c>
      <c r="G29" s="1" t="s">
        <v>96</v>
      </c>
      <c r="H29" s="1" t="s">
        <v>18</v>
      </c>
    </row>
    <row r="30">
      <c r="A30" s="1">
        <v>28.0</v>
      </c>
      <c r="B30" s="1" t="s">
        <v>8</v>
      </c>
      <c r="C30" s="1" t="s">
        <v>97</v>
      </c>
      <c r="D30" s="1" t="s">
        <v>98</v>
      </c>
      <c r="E30" s="2" t="str">
        <f>IFERROR(__xludf.DUMMYFUNCTION("GOOGLETRANSLATE(C30, ""en"", ""th"")"),"พิจารณาความแตกต่างโดยเฉลี่ยระหว่างการลงทะเบียนระดับอนุบาลถึงมัธยมศึกษา (K-12) และการลงทะเบียนอายุ 15-17 ปีของโรงเรียนที่ได้รับทุนสนับสนุนในท้องถิ่น ระบุชื่อและประเภท DOC ของโรงเรียนที่มีความแตกต่างสูงกว่าค่าเฉลี่ยนี้")</f>
        <v>พิจารณาความแตกต่างโดยเฉลี่ยระหว่างการลงทะเบียนระดับอนุบาลถึงมัธยมศึกษา (K-12) และการลงทะเบียนอายุ 15-17 ปีของโรงเรียนที่ได้รับทุนสนับสนุนในท้องถิ่น ระบุชื่อและประเภท DOC ของโรงเรียนที่มีความแตกต่างสูงกว่าค่าเฉลี่ยนี้</v>
      </c>
      <c r="F30" s="1" t="s">
        <v>99</v>
      </c>
      <c r="G30" s="1" t="s">
        <v>100</v>
      </c>
      <c r="H30" s="1" t="s">
        <v>101</v>
      </c>
    </row>
    <row r="31">
      <c r="A31" s="1">
        <v>29.0</v>
      </c>
      <c r="B31" s="1" t="s">
        <v>8</v>
      </c>
      <c r="C31" s="1" t="s">
        <v>102</v>
      </c>
      <c r="D31" s="1" t="s">
        <v>103</v>
      </c>
      <c r="E31" s="2" t="str">
        <f>IFERROR(__xludf.DUMMYFUNCTION("GOOGLETRANSLATE(C31, ""en"", ""th"")"),"โรงเรียนตั้งแต่ชั้นประถมศึกษาปีที่ 1 ถึงชั้นประถมศึกษาปีที่ 12 ที่มีการลงทะเบียนเรียนมากที่สุดเปิดทำการเมื่อใด")</f>
        <v>โรงเรียนตั้งแต่ชั้นประถมศึกษาปีที่ 1 ถึงชั้นประถมศึกษาปีที่ 12 ที่มีการลงทะเบียนเรียนมากที่สุดเปิดทำการเมื่อใด</v>
      </c>
      <c r="F31" s="1" t="s">
        <v>104</v>
      </c>
      <c r="G31" s="1" t="s">
        <v>105</v>
      </c>
      <c r="H31" s="1" t="s">
        <v>13</v>
      </c>
    </row>
    <row r="32">
      <c r="A32" s="1">
        <v>30.0</v>
      </c>
      <c r="B32" s="1" t="s">
        <v>8</v>
      </c>
      <c r="C32" s="1" t="s">
        <v>106</v>
      </c>
      <c r="D32" s="1" t="s">
        <v>107</v>
      </c>
      <c r="E32" s="2" t="str">
        <f>IFERROR(__xludf.DUMMYFUNCTION("GOOGLETRANSLATE(C32, ""en"", ""th"")"),"เมืองใดมีหมายเลขการลงทะเบียนต่ำสุด 5 อันดับแรกสำหรับนักเรียนเกรด 1 ถึงเกรด 12")</f>
        <v>เมืองใดมีหมายเลขการลงทะเบียนต่ำสุด 5 อันดับแรกสำหรับนักเรียนเกรด 1 ถึงเกรด 12</v>
      </c>
      <c r="F32" s="1" t="s">
        <v>108</v>
      </c>
      <c r="G32" s="1" t="s">
        <v>109</v>
      </c>
      <c r="H32" s="1" t="s">
        <v>13</v>
      </c>
    </row>
    <row r="33">
      <c r="A33" s="1">
        <v>31.0</v>
      </c>
      <c r="B33" s="1" t="s">
        <v>8</v>
      </c>
      <c r="C33" s="1" t="s">
        <v>110</v>
      </c>
      <c r="D33" s="1" t="s">
        <v>111</v>
      </c>
      <c r="E33" s="2" t="str">
        <f>IFERROR(__xludf.DUMMYFUNCTION("GOOGLETRANSLATE(C33, ""en"", ""th"")"),"โรงเรียนอันดับที่ 10 และ 11 ที่ลงทะเบียนฟรีสำหรับนักเรียนชั้นประถมศึกษาปีที่ 1 ถึง 12 มีโอกาสเข้าเรียนฟรีในอัตราเท่าใด")</f>
        <v>โรงเรียนอันดับที่ 10 และ 11 ที่ลงทะเบียนฟรีสำหรับนักเรียนชั้นประถมศึกษาปีที่ 1 ถึง 12 มีโอกาสเข้าเรียนฟรีในอัตราเท่าใด</v>
      </c>
      <c r="F33" s="1" t="s">
        <v>112</v>
      </c>
      <c r="G33" s="1" t="s">
        <v>113</v>
      </c>
      <c r="H33" s="1" t="s">
        <v>18</v>
      </c>
    </row>
    <row r="34">
      <c r="A34" s="1">
        <v>32.0</v>
      </c>
      <c r="B34" s="1" t="s">
        <v>8</v>
      </c>
      <c r="C34" s="1" t="s">
        <v>114</v>
      </c>
      <c r="D34" s="1" t="s">
        <v>115</v>
      </c>
      <c r="E34" s="2" t="str">
        <f>IFERROR(__xludf.DUMMYFUNCTION("GOOGLETRANSLATE(C34, ""en"", ""th"")"),"อัตราค่าอาหารฟรีหรือลดราคาที่เข้าเกณฑ์สำหรับโรงเรียน 5 อันดับแรกในเกรด 1-12 ที่มีจำนวนมื้ออาหารฟรีหรือลดราคาสูงสุดของโรงเรียนที่มีรหัสการเป็นเจ้าของ 66 คือเท่าใด")</f>
        <v>อัตราค่าอาหารฟรีหรือลดราคาที่เข้าเกณฑ์สำหรับโรงเรียน 5 อันดับแรกในเกรด 1-12 ที่มีจำนวนมื้ออาหารฟรีหรือลดราคาสูงสุดของโรงเรียนที่มีรหัสการเป็นเจ้าของ 66 คือเท่าใด</v>
      </c>
      <c r="F34" s="1" t="s">
        <v>116</v>
      </c>
      <c r="G34" s="1" t="s">
        <v>117</v>
      </c>
      <c r="H34" s="1" t="s">
        <v>18</v>
      </c>
    </row>
    <row r="35">
      <c r="A35" s="1">
        <v>33.0</v>
      </c>
      <c r="B35" s="1" t="s">
        <v>8</v>
      </c>
      <c r="C35" s="1" t="s">
        <v>118</v>
      </c>
      <c r="E35" s="2" t="str">
        <f>IFERROR(__xludf.DUMMYFUNCTION("GOOGLETRANSLATE(C35, ""en"", ""th"")"),"ถ้ามี มีที่อยู่เว็บไซต์ของโรงเรียนที่มีอาหารฟรีจำนวน 1,900-2,000 สำหรับนักเรียนอายุ 5-17 ปี บ้าง? พร้อมทั้งระบุชื่อโรงเรียน")</f>
        <v>ถ้ามี มีที่อยู่เว็บไซต์ของโรงเรียนที่มีอาหารฟรีจำนวน 1,900-2,000 สำหรับนักเรียนอายุ 5-17 ปี บ้าง? พร้อมทั้งระบุชื่อโรงเรียน</v>
      </c>
      <c r="G35" s="1" t="s">
        <v>119</v>
      </c>
      <c r="H35" s="1" t="s">
        <v>18</v>
      </c>
    </row>
    <row r="36">
      <c r="A36" s="1">
        <v>34.0</v>
      </c>
      <c r="B36" s="1" t="s">
        <v>8</v>
      </c>
      <c r="C36" s="1" t="s">
        <v>120</v>
      </c>
      <c r="D36" s="1" t="s">
        <v>15</v>
      </c>
      <c r="E36" s="2" t="str">
        <f>IFERROR(__xludf.DUMMYFUNCTION("GOOGLETRANSLATE(C36, ""en"", ""th"")"),"อัตราฟรีสำหรับนักเรียนอายุระหว่าง 5 ถึง 17 ปีในโรงเรียนที่ดำเนินการโดย Kacey Gibson คือเท่าใด")</f>
        <v>อัตราฟรีสำหรับนักเรียนอายุระหว่าง 5 ถึง 17 ปีในโรงเรียนที่ดำเนินการโดย Kacey Gibson คือเท่าใด</v>
      </c>
      <c r="F36" s="1" t="s">
        <v>16</v>
      </c>
      <c r="G36" s="1" t="s">
        <v>121</v>
      </c>
      <c r="H36" s="1" t="s">
        <v>18</v>
      </c>
    </row>
    <row r="37">
      <c r="A37" s="1">
        <v>35.0</v>
      </c>
      <c r="B37" s="1" t="s">
        <v>8</v>
      </c>
      <c r="C37" s="1" t="s">
        <v>122</v>
      </c>
      <c r="D37" s="1" t="s">
        <v>123</v>
      </c>
      <c r="E37" s="2" t="str">
        <f>IFERROR(__xludf.DUMMYFUNCTION("GOOGLETRANSLATE(C37, ""en"", ""th"")"),"ที่อยู่อีเมลของผู้ดูแลระบบของโรงเรียนเหมาลำที่มีนักเรียนน้อยที่สุดที่ลงทะเบียนเรียนในระดับ 1 ถึง 12 คืออะไร")</f>
        <v>ที่อยู่อีเมลของผู้ดูแลระบบของโรงเรียนเหมาลำที่มีนักเรียนน้อยที่สุดที่ลงทะเบียนเรียนในระดับ 1 ถึง 12 คืออะไร</v>
      </c>
      <c r="F37" s="1" t="s">
        <v>124</v>
      </c>
      <c r="G37" s="1" t="s">
        <v>125</v>
      </c>
      <c r="H37" s="1" t="s">
        <v>18</v>
      </c>
    </row>
    <row r="38">
      <c r="A38" s="1">
        <v>36.0</v>
      </c>
      <c r="B38" s="1" t="s">
        <v>8</v>
      </c>
      <c r="C38" s="1" t="s">
        <v>126</v>
      </c>
      <c r="D38" s="1" t="s">
        <v>127</v>
      </c>
      <c r="E38" s="2" t="str">
        <f>IFERROR(__xludf.DUMMYFUNCTION("GOOGLETRANSLATE(C38, ""en"", ""th"")"),"โรงเรียนที่มีจำนวนนักเรียนทำคะแนน SAT ได้ตั้งแต่ 1,500 คนขึ้นไปอยู่ภายใต้การบริหารของใคร ระบุชื่อเต็มของพวกเขา")</f>
        <v>โรงเรียนที่มีจำนวนนักเรียนทำคะแนน SAT ได้ตั้งแต่ 1,500 คนขึ้นไปอยู่ภายใต้การบริหารของใคร ระบุชื่อเต็มของพวกเขา</v>
      </c>
      <c r="F38" s="1" t="s">
        <v>128</v>
      </c>
      <c r="G38" s="1" t="s">
        <v>129</v>
      </c>
      <c r="H38" s="1" t="s">
        <v>101</v>
      </c>
    </row>
    <row r="39">
      <c r="A39" s="1">
        <v>37.0</v>
      </c>
      <c r="B39" s="1" t="s">
        <v>8</v>
      </c>
      <c r="C39" s="1" t="s">
        <v>130</v>
      </c>
      <c r="D39" s="1" t="s">
        <v>131</v>
      </c>
      <c r="E39" s="2" t="str">
        <f>IFERROR(__xludf.DUMMYFUNCTION("GOOGLETRANSLATE(C39, ""en"", ""th"")"),"ที่อยู่ที่สมบูรณ์ของโรงเรียนที่มีอัตราความเป็นเลิศต่ำที่สุดคืออะไร? ระบุถนน เมือง รหัสไปรษณีย์ และรัฐ")</f>
        <v>ที่อยู่ที่สมบูรณ์ของโรงเรียนที่มีอัตราความเป็นเลิศต่ำที่สุดคืออะไร? ระบุถนน เมือง รหัสไปรษณีย์ และรัฐ</v>
      </c>
      <c r="F39" s="1" t="s">
        <v>132</v>
      </c>
      <c r="G39" s="1" t="s">
        <v>133</v>
      </c>
      <c r="H39" s="1" t="s">
        <v>18</v>
      </c>
    </row>
    <row r="40">
      <c r="A40" s="1">
        <v>38.0</v>
      </c>
      <c r="B40" s="1" t="s">
        <v>8</v>
      </c>
      <c r="C40" s="1" t="s">
        <v>134</v>
      </c>
      <c r="E40" s="2" t="str">
        <f>IFERROR(__xludf.DUMMYFUNCTION("GOOGLETRANSLATE(C40, ""en"", ""th"")"),"เว็บเพจของโรงเรียน Los Angeles County ที่มีผู้สอบระหว่าง 2,000 ถึง 3,000 คนมีอะไรบ้าง")</f>
        <v>เว็บเพจของโรงเรียน Los Angeles County ที่มีผู้สอบระหว่าง 2,000 ถึง 3,000 คนมีอะไรบ้าง</v>
      </c>
      <c r="G40" s="1" t="s">
        <v>135</v>
      </c>
      <c r="H40" s="1" t="s">
        <v>13</v>
      </c>
    </row>
    <row r="41">
      <c r="A41" s="1">
        <v>39.0</v>
      </c>
      <c r="B41" s="1" t="s">
        <v>8</v>
      </c>
      <c r="C41" s="1" t="s">
        <v>136</v>
      </c>
      <c r="D41" s="1" t="s">
        <v>137</v>
      </c>
      <c r="E41" s="2" t="str">
        <f>IFERROR(__xludf.DUMMYFUNCTION("GOOGLETRANSLATE(C41, ""en"", ""th"")"),"จำนวนผู้สอบโดยเฉลี่ยจากโรงเรียนเฟรสโนที่เปิดระหว่าง 1/1/1980 ถึง 12/31/1980 คือเท่าใด")</f>
        <v>จำนวนผู้สอบโดยเฉลี่ยจากโรงเรียนเฟรสโนที่เปิดระหว่าง 1/1/1980 ถึง 12/31/1980 คือเท่าใด</v>
      </c>
      <c r="F41" s="1" t="s">
        <v>138</v>
      </c>
      <c r="G41" s="1" t="s">
        <v>139</v>
      </c>
      <c r="H41" s="1" t="s">
        <v>13</v>
      </c>
    </row>
    <row r="42">
      <c r="A42" s="1">
        <v>40.0</v>
      </c>
      <c r="B42" s="1" t="s">
        <v>8</v>
      </c>
      <c r="C42" s="1" t="s">
        <v>140</v>
      </c>
      <c r="D42" s="1" t="s">
        <v>141</v>
      </c>
      <c r="E42" s="2" t="str">
        <f>IFERROR(__xludf.DUMMYFUNCTION("GOOGLETRANSLATE(C42, ""en"", ""th"")"),"หมายเลขโทรศัพท์ของโรงเรียนที่มีคะแนนเฉลี่ยการอ่านต่ำสุดใน Fresno Unified คืออะไร?")</f>
        <v>หมายเลขโทรศัพท์ของโรงเรียนที่มีคะแนนเฉลี่ยการอ่านต่ำสุดใน Fresno Unified คืออะไร?</v>
      </c>
      <c r="F42" s="1" t="s">
        <v>142</v>
      </c>
      <c r="G42" s="1" t="s">
        <v>143</v>
      </c>
      <c r="H42" s="1" t="s">
        <v>18</v>
      </c>
    </row>
    <row r="43">
      <c r="A43" s="1">
        <v>41.0</v>
      </c>
      <c r="B43" s="1" t="s">
        <v>8</v>
      </c>
      <c r="C43" s="1" t="s">
        <v>144</v>
      </c>
      <c r="D43" s="1" t="s">
        <v>145</v>
      </c>
      <c r="E43" s="2" t="str">
        <f>IFERROR(__xludf.DUMMYFUNCTION("GOOGLETRANSLATE(C43, ""en"", ""th"")"),"รายชื่อโรงเรียนเสมือนที่อยู่ใน 5 อันดับแรกในมณฑลของตน โดยพิจารณาจากคะแนนการอ่านโดยเฉลี่ย")</f>
        <v>รายชื่อโรงเรียนเสมือนที่อยู่ใน 5 อันดับแรกในมณฑลของตน โดยพิจารณาจากคะแนนการอ่านโดยเฉลี่ย</v>
      </c>
      <c r="F43" s="1" t="s">
        <v>146</v>
      </c>
      <c r="G43" s="1" t="s">
        <v>147</v>
      </c>
      <c r="H43" s="1" t="s">
        <v>13</v>
      </c>
    </row>
    <row r="44">
      <c r="A44" s="1">
        <v>42.0</v>
      </c>
      <c r="B44" s="1" t="s">
        <v>8</v>
      </c>
      <c r="C44" s="1" t="s">
        <v>148</v>
      </c>
      <c r="E44" s="2" t="str">
        <f>IFERROR(__xludf.DUMMYFUNCTION("GOOGLETRANSLATE(C44, ""en"", ""th"")"),"ประเภทของการศึกษาที่เปิดสอนในโรงเรียนที่ทำคะแนนเฉลี่ยสูงสุดในวิชาคณิตศาสตร์คืออะไร?")</f>
        <v>ประเภทของการศึกษาที่เปิดสอนในโรงเรียนที่ทำคะแนนเฉลี่ยสูงสุดในวิชาคณิตศาสตร์คืออะไร?</v>
      </c>
      <c r="G44" s="1" t="s">
        <v>149</v>
      </c>
      <c r="H44" s="1" t="s">
        <v>13</v>
      </c>
    </row>
    <row r="45">
      <c r="A45" s="1">
        <v>43.0</v>
      </c>
      <c r="B45" s="1" t="s">
        <v>8</v>
      </c>
      <c r="C45" s="1" t="s">
        <v>150</v>
      </c>
      <c r="D45" s="1" t="s">
        <v>151</v>
      </c>
      <c r="E45" s="2" t="str">
        <f>IFERROR(__xludf.DUMMYFUNCTION("GOOGLETRANSLATE(C45, ""en"", ""th"")"),"คะแนนเฉลี่ยคณิตศาสตร์ของโรงเรียนที่มีคะแนนเฉลี่ยต่ำที่สุดสำหรับทุกวิชาคือเท่าใด และตั้งอยู่ในเขตใด")</f>
        <v>คะแนนเฉลี่ยคณิตศาสตร์ของโรงเรียนที่มีคะแนนเฉลี่ยต่ำที่สุดสำหรับทุกวิชาคือเท่าใด และตั้งอยู่ในเขตใด</v>
      </c>
      <c r="F45" s="1" t="s">
        <v>152</v>
      </c>
      <c r="G45" s="1" t="s">
        <v>153</v>
      </c>
      <c r="H45" s="1" t="s">
        <v>18</v>
      </c>
    </row>
    <row r="46">
      <c r="A46" s="1">
        <v>44.0</v>
      </c>
      <c r="B46" s="1" t="s">
        <v>8</v>
      </c>
      <c r="C46" s="1" t="s">
        <v>154</v>
      </c>
      <c r="E46" s="2" t="str">
        <f>IFERROR(__xludf.DUMMYFUNCTION("GOOGLETRANSLATE(C46, ""en"", ""th"")"),"คะแนนการเขียนเฉลี่ยของโรงเรียนที่มีจำนวนผู้เข้าสอบมากที่สุดซึ่งมีคะแนน SAT รวมมากกว่าหรือเท่ากับ 1,500 เป็นเท่าใด ระบุเมืองที่โรงเรียนตั้งอยู่")</f>
        <v>คะแนนการเขียนเฉลี่ยของโรงเรียนที่มีจำนวนผู้เข้าสอบมากที่สุดซึ่งมีคะแนน SAT รวมมากกว่าหรือเท่ากับ 1,500 เป็นเท่าใด ระบุเมืองที่โรงเรียนตั้งอยู่</v>
      </c>
      <c r="G46" s="1" t="s">
        <v>155</v>
      </c>
      <c r="H46" s="1" t="s">
        <v>13</v>
      </c>
    </row>
    <row r="47">
      <c r="A47" s="1">
        <v>45.0</v>
      </c>
      <c r="B47" s="1" t="s">
        <v>8</v>
      </c>
      <c r="C47" s="1" t="s">
        <v>156</v>
      </c>
      <c r="D47" s="1" t="s">
        <v>157</v>
      </c>
      <c r="E47" s="2" t="str">
        <f>IFERROR(__xludf.DUMMYFUNCTION("GOOGLETRANSLATE(C47, ""en"", ""th"")"),"คะแนนการเขียนเฉลี่ยของแต่ละโรงเรียนที่บริหารโดย Ricci Ulrich เป็นเท่าใด รายชื่อโรงเรียนและคะแนนการเขียนโดยเฉลี่ยที่เกี่ยวข้อง")</f>
        <v>คะแนนการเขียนเฉลี่ยของแต่ละโรงเรียนที่บริหารโดย Ricci Ulrich เป็นเท่าใด รายชื่อโรงเรียนและคะแนนการเขียนโดยเฉลี่ยที่เกี่ยวข้อง</v>
      </c>
      <c r="F47" s="1" t="s">
        <v>158</v>
      </c>
      <c r="G47" s="1" t="s">
        <v>159</v>
      </c>
      <c r="H47" s="1" t="s">
        <v>18</v>
      </c>
    </row>
    <row r="48">
      <c r="A48" s="1">
        <v>46.0</v>
      </c>
      <c r="B48" s="1" t="s">
        <v>8</v>
      </c>
      <c r="C48" s="1" t="s">
        <v>160</v>
      </c>
      <c r="D48" s="1" t="s">
        <v>161</v>
      </c>
      <c r="E48" s="2" t="str">
        <f>IFERROR(__xludf.DUMMYFUNCTION("GOOGLETRANSLATE(C48, ""en"", ""th"")"),"โรงเรียนพิเศษของรัฐใดมีจำนวนผู้ลงทะเบียนตั้งแต่เกรด 1 ถึงเกรด 12 มากที่สุด")</f>
        <v>โรงเรียนพิเศษของรัฐใดมีจำนวนผู้ลงทะเบียนตั้งแต่เกรด 1 ถึงเกรด 12 มากที่สุด</v>
      </c>
      <c r="F48" s="1" t="s">
        <v>162</v>
      </c>
      <c r="G48" s="1" t="s">
        <v>163</v>
      </c>
      <c r="H48" s="1" t="s">
        <v>13</v>
      </c>
    </row>
    <row r="49">
      <c r="A49" s="1">
        <v>47.0</v>
      </c>
      <c r="B49" s="1" t="s">
        <v>8</v>
      </c>
      <c r="C49" s="1" t="s">
        <v>164</v>
      </c>
      <c r="D49" s="1" t="s">
        <v>165</v>
      </c>
      <c r="E49" s="2" t="str">
        <f>IFERROR(__xludf.DUMMYFUNCTION("GOOGLETRANSLATE(C49, ""en"", ""th"")"),"จำนวนโรงเรียนโดยเฉลี่ยต่อเดือนที่เปิดในเขตอาลาเมดาภายใต้เขตอำนาจของเขตการศึกษาประถมศึกษาในปี 1980 คือเท่าใด")</f>
        <v>จำนวนโรงเรียนโดยเฉลี่ยต่อเดือนที่เปิดในเขตอาลาเมดาภายใต้เขตอำนาจของเขตการศึกษาประถมศึกษาในปี 1980 คือเท่าใด</v>
      </c>
      <c r="F49" s="1" t="s">
        <v>166</v>
      </c>
      <c r="G49" s="1" t="s">
        <v>167</v>
      </c>
      <c r="H49" s="1" t="s">
        <v>18</v>
      </c>
    </row>
    <row r="50">
      <c r="A50" s="1">
        <v>48.0</v>
      </c>
      <c r="B50" s="1" t="s">
        <v>8</v>
      </c>
      <c r="C50" s="1" t="s">
        <v>168</v>
      </c>
      <c r="D50" s="1" t="s">
        <v>169</v>
      </c>
      <c r="E50" s="2" t="str">
        <f>IFERROR(__xludf.DUMMYFUNCTION("GOOGLETRANSLATE(C50, ""en"", ""th"")"),"อัตราส่วนของโรงเรียน Unified School District ที่รวมใน Orange County กับโรงเรียน Elementary School District ที่รวมเข้าด้วยกันคือเท่าใด")</f>
        <v>อัตราส่วนของโรงเรียน Unified School District ที่รวมใน Orange County กับโรงเรียน Elementary School District ที่รวมเข้าด้วยกันคือเท่าใด</v>
      </c>
      <c r="F50" s="1" t="s">
        <v>170</v>
      </c>
      <c r="G50" s="1" t="s">
        <v>171</v>
      </c>
      <c r="H50" s="1" t="s">
        <v>18</v>
      </c>
    </row>
    <row r="51">
      <c r="A51" s="1">
        <v>49.0</v>
      </c>
      <c r="B51" s="1" t="s">
        <v>8</v>
      </c>
      <c r="C51" s="1" t="s">
        <v>172</v>
      </c>
      <c r="D51" s="1" t="s">
        <v>173</v>
      </c>
      <c r="E51" s="2" t="str">
        <f>IFERROR(__xludf.DUMMYFUNCTION("GOOGLETRANSLATE(C51, ""en"", ""th"")"),"จังหวัดใดมีจำนวนโรงเรียนปิดมากที่สุด? กรุณาระบุชื่อของแต่ละโรงเรียนและวันที่ปิดทำการ")</f>
        <v>จังหวัดใดมีจำนวนโรงเรียนปิดมากที่สุด? กรุณาระบุชื่อของแต่ละโรงเรียนและวันที่ปิดทำการ</v>
      </c>
      <c r="F51" s="1" t="s">
        <v>174</v>
      </c>
      <c r="G51" s="1" t="s">
        <v>175</v>
      </c>
      <c r="H51" s="1" t="s">
        <v>18</v>
      </c>
    </row>
    <row r="52">
      <c r="A52" s="1">
        <v>50.0</v>
      </c>
      <c r="B52" s="1" t="s">
        <v>8</v>
      </c>
      <c r="C52" s="1" t="s">
        <v>176</v>
      </c>
      <c r="D52" s="1" t="s">
        <v>177</v>
      </c>
      <c r="E52" s="2" t="str">
        <f>IFERROR(__xludf.DUMMYFUNCTION("GOOGLETRANSLATE(C52, ""en"", ""th"")"),"ที่อยู่ทางไปรษณีย์ของโรงเรียนที่มีคะแนนเฉลี่ยคณิตศาสตร์สูงสุดอันดับที่ 7 คืออะไร ระบุชื่อโรงเรียน")</f>
        <v>ที่อยู่ทางไปรษณีย์ของโรงเรียนที่มีคะแนนเฉลี่ยคณิตศาสตร์สูงสุดอันดับที่ 7 คืออะไร ระบุชื่อโรงเรียน</v>
      </c>
      <c r="F52" s="1" t="s">
        <v>178</v>
      </c>
      <c r="G52" s="1" t="s">
        <v>179</v>
      </c>
      <c r="H52" s="1" t="s">
        <v>13</v>
      </c>
    </row>
    <row r="53">
      <c r="A53" s="1">
        <v>51.0</v>
      </c>
      <c r="B53" s="1" t="s">
        <v>8</v>
      </c>
      <c r="C53" s="1" t="s">
        <v>180</v>
      </c>
      <c r="E53" s="2" t="str">
        <f>IFERROR(__xludf.DUMMYFUNCTION("GOOGLETRANSLATE(C53, ""en"", ""th"")"),"ที่อยู่ทางไปรษณีย์ใดที่คุณสามารถหาโรงเรียนที่มีคะแนนเฉลี่ยในการอ่านต่ำที่สุดได้ แจ้งชื่อโรงเรียนด้วย")</f>
        <v>ที่อยู่ทางไปรษณีย์ใดที่คุณสามารถหาโรงเรียนที่มีคะแนนเฉลี่ยในการอ่านต่ำที่สุดได้ แจ้งชื่อโรงเรียนด้วย</v>
      </c>
      <c r="G53" s="1" t="s">
        <v>181</v>
      </c>
      <c r="H53" s="1" t="s">
        <v>13</v>
      </c>
    </row>
    <row r="54">
      <c r="A54" s="1">
        <v>52.0</v>
      </c>
      <c r="B54" s="1" t="s">
        <v>8</v>
      </c>
      <c r="C54" s="1" t="s">
        <v>182</v>
      </c>
      <c r="D54" s="1" t="s">
        <v>183</v>
      </c>
      <c r="E54" s="2" t="str">
        <f>IFERROR(__xludf.DUMMYFUNCTION("GOOGLETRANSLATE(C54, ""en"", ""th"")"),"จำนวนโรงเรียนทั้งหมดที่มีคะแนน SAT รวมมากกว่าหรือเท่ากับ 1,500 ซึ่งมีเมืองส่งไปรษณีย์คือ Lakeport คือเท่าใด")</f>
        <v>จำนวนโรงเรียนทั้งหมดที่มีคะแนน SAT รวมมากกว่าหรือเท่ากับ 1,500 ซึ่งมีเมืองส่งไปรษณีย์คือ Lakeport คือเท่าใด</v>
      </c>
      <c r="F54" s="1" t="s">
        <v>184</v>
      </c>
      <c r="G54" s="1" t="s">
        <v>185</v>
      </c>
      <c r="H54" s="1" t="s">
        <v>13</v>
      </c>
    </row>
    <row r="55">
      <c r="A55" s="1">
        <v>53.0</v>
      </c>
      <c r="B55" s="1" t="s">
        <v>8</v>
      </c>
      <c r="C55" s="1" t="s">
        <v>186</v>
      </c>
      <c r="E55" s="2" t="str">
        <f>IFERROR(__xludf.DUMMYFUNCTION("GOOGLETRANSLATE(C55, ""en"", ""th"")"),"มีผู้สอบจำนวนกี่คนที่โรงเรียนซึ่งมีที่อยู่ทางไปรษณีย์อยู่ในเฟรสโน")</f>
        <v>มีผู้สอบจำนวนกี่คนที่โรงเรียนซึ่งมีที่อยู่ทางไปรษณีย์อยู่ในเฟรสโน</v>
      </c>
      <c r="G55" s="1" t="s">
        <v>187</v>
      </c>
      <c r="H55" s="1" t="s">
        <v>13</v>
      </c>
    </row>
    <row r="56">
      <c r="A56" s="1">
        <v>54.0</v>
      </c>
      <c r="B56" s="1" t="s">
        <v>8</v>
      </c>
      <c r="C56" s="1" t="s">
        <v>188</v>
      </c>
      <c r="E56" s="2" t="str">
        <f>IFERROR(__xludf.DUMMYFUNCTION("GOOGLETRANSLATE(C56, ""en"", ""th"")"),"โปรดระบุโรงเรียนทั้งหมดและรหัสไปรษณีย์ที่เกี่ยวข้องซึ่งอยู่ภายใต้การบริหารของ Avetik Atoian")</f>
        <v>โปรดระบุโรงเรียนทั้งหมดและรหัสไปรษณีย์ที่เกี่ยวข้องซึ่งอยู่ภายใต้การบริหารของ Avetik Atoian</v>
      </c>
      <c r="G56" s="1" t="s">
        <v>189</v>
      </c>
      <c r="H56" s="1" t="s">
        <v>13</v>
      </c>
    </row>
    <row r="57">
      <c r="A57" s="1">
        <v>55.0</v>
      </c>
      <c r="B57" s="1" t="s">
        <v>8</v>
      </c>
      <c r="C57" s="1" t="s">
        <v>190</v>
      </c>
      <c r="D57" s="1" t="s">
        <v>191</v>
      </c>
      <c r="E57" s="2" t="str">
        <f>IFERROR(__xludf.DUMMYFUNCTION("GOOGLETRANSLATE(C57, ""en"", ""th"")"),"ในบรรดาโรงเรียนที่มีที่อยู่ทางไปรษณีย์ในรัฐแคลิฟอร์เนีย อัตราส่วนของโรงเรียนที่ตั้งอยู่ในเขต Colusa กับโรงเรียนที่ตั้งอยู่ในเขต Humboldt เป็นเท่าใด")</f>
        <v>ในบรรดาโรงเรียนที่มีที่อยู่ทางไปรษณีย์ในรัฐแคลิฟอร์เนีย อัตราส่วนของโรงเรียนที่ตั้งอยู่ในเขต Colusa กับโรงเรียนที่ตั้งอยู่ในเขต Humboldt เป็นเท่าใด</v>
      </c>
      <c r="F57" s="1" t="s">
        <v>192</v>
      </c>
      <c r="G57" s="1" t="s">
        <v>193</v>
      </c>
      <c r="H57" s="1" t="s">
        <v>18</v>
      </c>
    </row>
    <row r="58">
      <c r="A58" s="1">
        <v>56.0</v>
      </c>
      <c r="B58" s="1" t="s">
        <v>8</v>
      </c>
      <c r="C58" s="1" t="s">
        <v>194</v>
      </c>
      <c r="E58" s="2" t="str">
        <f>IFERROR(__xludf.DUMMYFUNCTION("GOOGLETRANSLATE(C58, ""en"", ""th"")"),"ในบรรดาโรงเรียนทั้งหมดที่มีที่อยู่ทางไปรษณีย์ในรัฐแคลิฟอร์เนีย มีโรงเรียนกี่แห่งที่เปิดดำเนินการในเมือง San Joaquin")</f>
        <v>ในบรรดาโรงเรียนทั้งหมดที่มีที่อยู่ทางไปรษณีย์ในรัฐแคลิฟอร์เนีย มีโรงเรียนกี่แห่งที่เปิดดำเนินการในเมือง San Joaquin</v>
      </c>
      <c r="G58" s="1" t="s">
        <v>195</v>
      </c>
      <c r="H58" s="1" t="s">
        <v>13</v>
      </c>
    </row>
    <row r="59">
      <c r="A59" s="1">
        <v>57.0</v>
      </c>
      <c r="B59" s="1" t="s">
        <v>8</v>
      </c>
      <c r="C59" s="1" t="s">
        <v>196</v>
      </c>
      <c r="E59" s="2" t="str">
        <f>IFERROR(__xludf.DUMMYFUNCTION("GOOGLETRANSLATE(C59, ""en"", ""th"")"),"หมายเลขโทรศัพท์และหมายเลขต่อพ่วงของโรงเรียนที่มีคะแนนการเขียนเฉลี่ยสูงสุดอันดับที่ 333 คืออะไร?")</f>
        <v>หมายเลขโทรศัพท์และหมายเลขต่อพ่วงของโรงเรียนที่มีคะแนนการเขียนเฉลี่ยสูงสุดอันดับที่ 333 คืออะไร?</v>
      </c>
      <c r="G59" s="1" t="s">
        <v>197</v>
      </c>
      <c r="H59" s="1" t="s">
        <v>13</v>
      </c>
    </row>
    <row r="60">
      <c r="A60" s="1">
        <v>58.0</v>
      </c>
      <c r="B60" s="1" t="s">
        <v>8</v>
      </c>
      <c r="C60" s="1" t="s">
        <v>198</v>
      </c>
      <c r="E60" s="2" t="str">
        <f>IFERROR(__xludf.DUMMYFUNCTION("GOOGLETRANSLATE(C60, ""en"", ""th"")"),"หมายเลขโทรศัพท์และหมายเลขต่อขยายของโรงเรียนที่มีรหัสไปรษณีย์ 95203-3704 คืออะไร? ระบุชื่อโรงเรียน")</f>
        <v>หมายเลขโทรศัพท์และหมายเลขต่อขยายของโรงเรียนที่มีรหัสไปรษณีย์ 95203-3704 คืออะไร? ระบุชื่อโรงเรียน</v>
      </c>
      <c r="G60" s="1" t="s">
        <v>199</v>
      </c>
      <c r="H60" s="1" t="s">
        <v>13</v>
      </c>
    </row>
    <row r="61">
      <c r="A61" s="1">
        <v>59.0</v>
      </c>
      <c r="B61" s="1" t="s">
        <v>8</v>
      </c>
      <c r="C61" s="1" t="s">
        <v>200</v>
      </c>
      <c r="E61" s="2" t="str">
        <f>IFERROR(__xludf.DUMMYFUNCTION("GOOGLETRANSLATE(C61, ""en"", ""th"")"),"เว็บไซต์สำหรับโรงเรียนภายใต้การบริหารของ Mike Larson และ Dante Alvarez คืออะไร?")</f>
        <v>เว็บไซต์สำหรับโรงเรียนภายใต้การบริหารของ Mike Larson และ Dante Alvarez คืออะไร?</v>
      </c>
      <c r="G61" s="1" t="s">
        <v>201</v>
      </c>
      <c r="H61" s="1" t="s">
        <v>13</v>
      </c>
    </row>
    <row r="62">
      <c r="A62" s="1">
        <v>60.0</v>
      </c>
      <c r="B62" s="1" t="s">
        <v>8</v>
      </c>
      <c r="C62" s="1" t="s">
        <v>202</v>
      </c>
      <c r="D62" s="1" t="s">
        <v>203</v>
      </c>
      <c r="E62" s="2" t="str">
        <f>IFERROR(__xludf.DUMMYFUNCTION("GOOGLETRANSLATE(C62, ""en"", ""th"")"),"เว็บไซต์ของโรงเรียนเช่าเหมาลำเสมือนบางส่วนทั้งหมดที่ตั้งอยู่ใน San Joaquin คืออะไร")</f>
        <v>เว็บไซต์ของโรงเรียนเช่าเหมาลำเสมือนบางส่วนทั้งหมดที่ตั้งอยู่ใน San Joaquin คืออะไร</v>
      </c>
      <c r="F62" s="1" t="s">
        <v>204</v>
      </c>
      <c r="G62" s="1" t="s">
        <v>205</v>
      </c>
      <c r="H62" s="1" t="s">
        <v>13</v>
      </c>
    </row>
    <row r="63">
      <c r="A63" s="1">
        <v>61.0</v>
      </c>
      <c r="B63" s="1" t="s">
        <v>8</v>
      </c>
      <c r="C63" s="1" t="s">
        <v>206</v>
      </c>
      <c r="D63" s="1" t="s">
        <v>207</v>
      </c>
      <c r="E63" s="2" t="str">
        <f>IFERROR(__xludf.DUMMYFUNCTION("GOOGLETRANSLATE(C63, ""en"", ""th"")"),"มีโรงเรียนเหมาลำจำนวนกี่แห่งที่ตั้งอยู่ในเมืองฮิคแมนที่เป็นของเขตการศึกษาประถมศึกษา")</f>
        <v>มีโรงเรียนเหมาลำจำนวนกี่แห่งที่ตั้งอยู่ในเมืองฮิคแมนที่เป็นของเขตการศึกษาประถมศึกษา</v>
      </c>
      <c r="F63" s="1" t="s">
        <v>208</v>
      </c>
      <c r="G63" s="1" t="s">
        <v>209</v>
      </c>
      <c r="H63" s="1" t="s">
        <v>13</v>
      </c>
    </row>
    <row r="64">
      <c r="A64" s="1">
        <v>62.0</v>
      </c>
      <c r="B64" s="1" t="s">
        <v>8</v>
      </c>
      <c r="C64" s="1" t="s">
        <v>210</v>
      </c>
      <c r="D64" s="1" t="s">
        <v>211</v>
      </c>
      <c r="E64" s="2" t="str">
        <f>IFERROR(__xludf.DUMMYFUNCTION("GOOGLETRANSLATE(C64, ""en"", ""th"")"),"จำนวนโรงเรียนที่ไม่เช่าเหมาลำในเขตลอสแอนเจลิสทั้งหมดที่มีเปอร์เซ็นต์ (%) ของอาหารฟรีที่เข้าเกณฑ์สำหรับเกรด 1 ถึง 12 ที่น้อยกว่า 0.18% คือเท่าใด")</f>
        <v>จำนวนโรงเรียนที่ไม่เช่าเหมาลำในเขตลอสแอนเจลิสทั้งหมดที่มีเปอร์เซ็นต์ (%) ของอาหารฟรีที่เข้าเกณฑ์สำหรับเกรด 1 ถึง 12 ที่น้อยกว่า 0.18% คือเท่าใด</v>
      </c>
      <c r="F64" s="1" t="s">
        <v>212</v>
      </c>
      <c r="G64" s="1" t="s">
        <v>213</v>
      </c>
      <c r="H64" s="1" t="s">
        <v>101</v>
      </c>
    </row>
    <row r="65">
      <c r="A65" s="1">
        <v>63.0</v>
      </c>
      <c r="B65" s="1" t="s">
        <v>8</v>
      </c>
      <c r="C65" s="1" t="s">
        <v>214</v>
      </c>
      <c r="D65" s="1" t="s">
        <v>215</v>
      </c>
      <c r="E65" s="2" t="str">
        <f>IFERROR(__xludf.DUMMYFUNCTION("GOOGLETRANSLATE(C65, ""en"", ""th"")"),"ในโรงเรียนเหมาลำที่มีกฎบัตรหมายเลข 00D2 ผู้บริหารทั้งหมดชื่ออะไร รวมชื่อโรงเรียนและเมืองที่สังกัด")</f>
        <v>ในโรงเรียนเหมาลำที่มีกฎบัตรหมายเลข 00D2 ผู้บริหารทั้งหมดชื่ออะไร รวมชื่อโรงเรียนและเมืองที่สังกัด</v>
      </c>
      <c r="F65" s="1" t="s">
        <v>216</v>
      </c>
      <c r="G65" s="1" t="s">
        <v>217</v>
      </c>
      <c r="H65" s="1" t="s">
        <v>13</v>
      </c>
    </row>
    <row r="66">
      <c r="A66" s="1">
        <v>64.0</v>
      </c>
      <c r="B66" s="1" t="s">
        <v>8</v>
      </c>
      <c r="C66" s="1" t="s">
        <v>218</v>
      </c>
      <c r="E66" s="2" t="str">
        <f>IFERROR(__xludf.DUMMYFUNCTION("GOOGLETRANSLATE(C66, ""en"", ""th"")"),"จำนวนโรงเรียนทั้งหมดที่มีเมืองส่งไปรษณีย์ใน Hickman อยู่ภายใต้กฎบัตรหมายเลข 00D4 คือเท่าใด")</f>
        <v>จำนวนโรงเรียนทั้งหมดที่มีเมืองส่งไปรษณีย์ใน Hickman อยู่ภายใต้กฎบัตรหมายเลข 00D4 คือเท่าใด</v>
      </c>
      <c r="G66" s="1" t="s">
        <v>219</v>
      </c>
      <c r="H66" s="1" t="s">
        <v>13</v>
      </c>
    </row>
    <row r="67">
      <c r="A67" s="1">
        <v>65.0</v>
      </c>
      <c r="B67" s="1" t="s">
        <v>8</v>
      </c>
      <c r="C67" s="1" t="s">
        <v>220</v>
      </c>
      <c r="D67" s="1" t="s">
        <v>221</v>
      </c>
      <c r="E67" s="2" t="str">
        <f>IFERROR(__xludf.DUMMYFUNCTION("GOOGLETRANSLATE(C67, ""en"", ""th"")"),"อัตราส่วนเป็นเปอร์เซ็นต์ของโรงเรียนซานตาคลาราเคาน์ตี้ที่ได้รับทุนสนับสนุนในท้องถิ่นเมื่อเปรียบเทียบกับเงินทุนสำหรับโรงเรียนเช่าเหมาลำประเภทอื่นทั้งหมดคือเท่าใด")</f>
        <v>อัตราส่วนเป็นเปอร์เซ็นต์ของโรงเรียนซานตาคลาราเคาน์ตี้ที่ได้รับทุนสนับสนุนในท้องถิ่นเมื่อเปรียบเทียบกับเงินทุนสำหรับโรงเรียนเช่าเหมาลำประเภทอื่นทั้งหมดคือเท่าใด</v>
      </c>
      <c r="F67" s="1" t="s">
        <v>222</v>
      </c>
      <c r="G67" s="1" t="s">
        <v>223</v>
      </c>
      <c r="H67" s="1" t="s">
        <v>18</v>
      </c>
    </row>
    <row r="68">
      <c r="A68" s="1">
        <v>66.0</v>
      </c>
      <c r="B68" s="1" t="s">
        <v>8</v>
      </c>
      <c r="C68" s="1" t="s">
        <v>224</v>
      </c>
      <c r="D68" s="1" t="s">
        <v>225</v>
      </c>
      <c r="E68" s="2" t="str">
        <f>IFERROR(__xludf.DUMMYFUNCTION("GOOGLETRANSLATE(C68, ""en"", ""th"")"),"ระหว่างวันที่ 1/1/2000 ถึง 31/12/2005 มีโรงเรียนที่ได้รับทุนสนับสนุนโดยตรงกี่แห่งที่เปิดดำเนินการในเขตสตานิสลอส")</f>
        <v>ระหว่างวันที่ 1/1/2000 ถึง 31/12/2005 มีโรงเรียนที่ได้รับทุนสนับสนุนโดยตรงกี่แห่งที่เปิดดำเนินการในเขตสตานิสลอส</v>
      </c>
      <c r="F68" s="1" t="s">
        <v>226</v>
      </c>
      <c r="G68" s="1" t="s">
        <v>227</v>
      </c>
      <c r="H68" s="1" t="s">
        <v>13</v>
      </c>
    </row>
    <row r="69">
      <c r="A69" s="1">
        <v>67.0</v>
      </c>
      <c r="B69" s="1" t="s">
        <v>8</v>
      </c>
      <c r="C69" s="1" t="s">
        <v>228</v>
      </c>
      <c r="E69" s="2" t="str">
        <f>IFERROR(__xludf.DUMMYFUNCTION("GOOGLETRANSLATE(C69, ""en"", ""th"")"),"จำนวนเงินรวมของการปิด Community College District ในปี 1989 ในเมืองซานฟรานซิสโกคือเท่าใด")</f>
        <v>จำนวนเงินรวมของการปิด Community College District ในปี 1989 ในเมืองซานฟรานซิสโกคือเท่าใด</v>
      </c>
      <c r="G69" s="1" t="s">
        <v>229</v>
      </c>
      <c r="H69" s="1" t="s">
        <v>13</v>
      </c>
    </row>
    <row r="70">
      <c r="A70" s="1">
        <v>68.0</v>
      </c>
      <c r="B70" s="1" t="s">
        <v>8</v>
      </c>
      <c r="C70" s="1" t="s">
        <v>230</v>
      </c>
      <c r="D70" s="1" t="s">
        <v>231</v>
      </c>
      <c r="E70" s="2" t="str">
        <f>IFERROR(__xludf.DUMMYFUNCTION("GOOGLETRANSLATE(C70, ""en"", ""th"")"),"เทศมณฑลใดรายงานจำนวนการปิดโรงเรียนมากที่สุดในทศวรรษ 1980 โดยมีรหัสความเป็นเจ้าของโรงเรียนที่เป็นของ Youth Authority Facilities (CEA)")</f>
        <v>เทศมณฑลใดรายงานจำนวนการปิดโรงเรียนมากที่สุดในทศวรรษ 1980 โดยมีรหัสความเป็นเจ้าของโรงเรียนที่เป็นของ Youth Authority Facilities (CEA)</v>
      </c>
      <c r="F70" s="1" t="s">
        <v>232</v>
      </c>
      <c r="G70" s="1" t="s">
        <v>233</v>
      </c>
      <c r="H70" s="1" t="s">
        <v>18</v>
      </c>
    </row>
    <row r="71">
      <c r="A71" s="1">
        <v>69.0</v>
      </c>
      <c r="B71" s="1" t="s">
        <v>8</v>
      </c>
      <c r="C71" s="1" t="s">
        <v>234</v>
      </c>
      <c r="D71" s="1" t="s">
        <v>235</v>
      </c>
      <c r="E71" s="2" t="str">
        <f>IFERROR(__xludf.DUMMYFUNCTION("GOOGLETRANSLATE(C71, ""en"", ""th"")"),"โปรดระบุหมายเลขประจำตัวของเขตโรงเรียนของศูนย์สถิติการศึกษาแห่งชาติสำหรับโรงเรียนทุกแห่งที่มีรหัสการเป็นเจ้าของโรงเรียนซึ่งเป็นส่วนหนึ่งของโรงเรียนพิเศษของรัฐ")</f>
        <v>โปรดระบุหมายเลขประจำตัวของเขตโรงเรียนของศูนย์สถิติการศึกษาแห่งชาติสำหรับโรงเรียนทุกแห่งที่มีรหัสการเป็นเจ้าของโรงเรียนซึ่งเป็นส่วนหนึ่งของโรงเรียนพิเศษของรัฐ</v>
      </c>
      <c r="F71" s="1" t="s">
        <v>236</v>
      </c>
      <c r="G71" s="1" t="s">
        <v>237</v>
      </c>
      <c r="H71" s="1" t="s">
        <v>13</v>
      </c>
    </row>
    <row r="72">
      <c r="A72" s="1">
        <v>70.0</v>
      </c>
      <c r="B72" s="1" t="s">
        <v>8</v>
      </c>
      <c r="C72" s="1" t="s">
        <v>238</v>
      </c>
      <c r="E72" s="2" t="str">
        <f>IFERROR(__xludf.DUMMYFUNCTION("GOOGLETRANSLATE(C72, ""en"", ""th"")"),"มีโรงเรียนประจำเขต Community Day ที่ยังเปิดดำเนินการและปิดอยู่กี่แห่งในเขตอัลไพน์")</f>
        <v>มีโรงเรียนประจำเขต Community Day ที่ยังเปิดดำเนินการและปิดอยู่กี่แห่งในเขตอัลไพน์</v>
      </c>
      <c r="G72" s="1" t="s">
        <v>239</v>
      </c>
      <c r="H72" s="1" t="s">
        <v>13</v>
      </c>
    </row>
    <row r="73">
      <c r="A73" s="1">
        <v>71.0</v>
      </c>
      <c r="B73" s="1" t="s">
        <v>8</v>
      </c>
      <c r="C73" s="1" t="s">
        <v>240</v>
      </c>
      <c r="D73" s="1" t="s">
        <v>241</v>
      </c>
      <c r="E73" s="2" t="str">
        <f>IFERROR(__xludf.DUMMYFUNCTION("GOOGLETRANSLATE(C73, ""en"", ""th"")"),"รหัสเขตของโรงเรียนที่ไม่มีโปรแกรมแม่เหล็กในเมืองเฟรสโนคืออะไร")</f>
        <v>รหัสเขตของโรงเรียนที่ไม่มีโปรแกรมแม่เหล็กในเมืองเฟรสโนคืออะไร</v>
      </c>
      <c r="F73" s="1" t="s">
        <v>242</v>
      </c>
      <c r="G73" s="1" t="s">
        <v>243</v>
      </c>
      <c r="H73" s="1" t="s">
        <v>13</v>
      </c>
    </row>
    <row r="74">
      <c r="A74" s="1">
        <v>72.0</v>
      </c>
      <c r="B74" s="1" t="s">
        <v>8</v>
      </c>
      <c r="C74" s="1" t="s">
        <v>244</v>
      </c>
      <c r="D74" s="1" t="s">
        <v>245</v>
      </c>
      <c r="E74" s="2" t="str">
        <f>IFERROR(__xludf.DUMMYFUNCTION("GOOGLETRANSLATE(C74, ""en"", ""th"")"),"มีนักเรียนอายุ 5 ถึง 17 ปีลงทะเบียนเรียนที่โรงเรียน State Special School ในฟรีมอนต์สำหรับปีการศึกษา 2014-2015 จำนวนกี่คน")</f>
        <v>มีนักเรียนอายุ 5 ถึง 17 ปีลงทะเบียนเรียนที่โรงเรียน State Special School ในฟรีมอนต์สำหรับปีการศึกษา 2014-2015 จำนวนกี่คน</v>
      </c>
      <c r="F74" s="1" t="s">
        <v>246</v>
      </c>
      <c r="G74" s="1" t="s">
        <v>247</v>
      </c>
      <c r="H74" s="1" t="s">
        <v>18</v>
      </c>
    </row>
    <row r="75">
      <c r="A75" s="1">
        <v>73.0</v>
      </c>
      <c r="B75" s="1" t="s">
        <v>8</v>
      </c>
      <c r="C75" s="1" t="s">
        <v>248</v>
      </c>
      <c r="E75" s="2" t="str">
        <f>IFERROR(__xludf.DUMMYFUNCTION("GOOGLETRANSLATE(C75, ""en"", ""th"")"),"จำนวนมื้ออาหารฟรีหรือลดราคาสำหรับเด็กอายุ 5 ถึง 17 ปีใน Youth Authority School ซึ่งมีที่อยู่ทางไปรษณีย์คือตู้ ป.ณ. 1040")</f>
        <v>จำนวนมื้ออาหารฟรีหรือลดราคาสำหรับเด็กอายุ 5 ถึง 17 ปีใน Youth Authority School ซึ่งมีที่อยู่ทางไปรษณีย์คือตู้ ป.ณ. 1040</v>
      </c>
      <c r="G75" s="1" t="s">
        <v>249</v>
      </c>
      <c r="H75" s="1" t="s">
        <v>13</v>
      </c>
    </row>
    <row r="76">
      <c r="A76" s="1">
        <v>74.0</v>
      </c>
      <c r="B76" s="1" t="s">
        <v>8</v>
      </c>
      <c r="C76" s="1" t="s">
        <v>250</v>
      </c>
      <c r="D76" s="1" t="s">
        <v>251</v>
      </c>
      <c r="E76" s="2" t="str">
        <f>IFERROR(__xludf.DUMMYFUNCTION("GOOGLETRANSLATE(C76, ""en"", ""th"")"),"เกรดต่ำสุดสำหรับโรงเรียน Consortia การศึกษาพิเศษประจำเขต โดยมีศูนย์สถิติการศึกษาแห่งชาติ หมายเลขประจำตัวเขตการศึกษา 0613360")</f>
        <v>เกรดต่ำสุดสำหรับโรงเรียน Consortia การศึกษาพิเศษประจำเขต โดยมีศูนย์สถิติการศึกษาแห่งชาติ หมายเลขประจำตัวเขตการศึกษา 0613360</v>
      </c>
      <c r="F76" s="1" t="s">
        <v>252</v>
      </c>
      <c r="G76" s="1" t="s">
        <v>253</v>
      </c>
      <c r="H76" s="1" t="s">
        <v>18</v>
      </c>
    </row>
    <row r="77">
      <c r="A77" s="1">
        <v>75.0</v>
      </c>
      <c r="B77" s="1" t="s">
        <v>8</v>
      </c>
      <c r="C77" s="1" t="s">
        <v>254</v>
      </c>
      <c r="E77" s="2" t="str">
        <f>IFERROR(__xludf.DUMMYFUNCTION("GOOGLETRANSLATE(C77, ""en"", ""th"")"),"ชื่อระดับการศึกษาของโรงเรียนที่มี Breakfast Provision 2 ในรหัสเทศมณฑล 37 คืออะไร ระบุชื่อโรงเรียน")</f>
        <v>ชื่อระดับการศึกษาของโรงเรียนที่มี Breakfast Provision 2 ในรหัสเทศมณฑล 37 คืออะไร ระบุชื่อโรงเรียน</v>
      </c>
      <c r="G77" s="1" t="s">
        <v>255</v>
      </c>
      <c r="H77" s="1" t="s">
        <v>13</v>
      </c>
    </row>
    <row r="78">
      <c r="A78" s="1">
        <v>76.0</v>
      </c>
      <c r="B78" s="1" t="s">
        <v>8</v>
      </c>
      <c r="C78" s="1" t="s">
        <v>256</v>
      </c>
      <c r="D78" s="1" t="s">
        <v>257</v>
      </c>
      <c r="E78" s="2" t="str">
        <f>IFERROR(__xludf.DUMMYFUNCTION("GOOGLETRANSLATE(C78, ""en"", ""th"")"),"ที่ตั้งของเมืองของโรงเรียนระดับมัธยมปลายที่มีการจัดหาอาหารกลางวัน 2 ซึ่งมีเกรดต่ำสุดคือ 9 และเกรดสูงสุดคือ 12 ในเขตเมอร์เซดคืออะไร")</f>
        <v>ที่ตั้งของเมืองของโรงเรียนระดับมัธยมปลายที่มีการจัดหาอาหารกลางวัน 2 ซึ่งมีเกรดต่ำสุดคือ 9 และเกรดสูงสุดคือ 12 ในเขตเมอร์เซดคืออะไร</v>
      </c>
      <c r="F78" s="1" t="s">
        <v>258</v>
      </c>
      <c r="G78" s="1" t="s">
        <v>259</v>
      </c>
      <c r="H78" s="1" t="s">
        <v>18</v>
      </c>
    </row>
    <row r="79">
      <c r="A79" s="1">
        <v>77.0</v>
      </c>
      <c r="B79" s="1" t="s">
        <v>8</v>
      </c>
      <c r="C79" s="1" t="s">
        <v>260</v>
      </c>
      <c r="D79" s="1" t="s">
        <v>261</v>
      </c>
      <c r="E79" s="2" t="str">
        <f>IFERROR(__xludf.DUMMYFUNCTION("GOOGLETRANSLATE(C79, ""en"", ""th"")"),"โรงเรียนใดบ้างที่เปิดสอนช่วงชั้นอนุบาลถึงชั้นประถมศึกษาปีที่ 9 ในเขตลอสแอนเจลิส และเปอร์เซ็นต์ (%) FRPM ที่มีสิทธิ์ (อายุ 5-17 ปี) เป็นเท่าใด")</f>
        <v>โรงเรียนใดบ้างที่เปิดสอนช่วงชั้นอนุบาลถึงชั้นประถมศึกษาปีที่ 9 ในเขตลอสแอนเจลิส และเปอร์เซ็นต์ (%) FRPM ที่มีสิทธิ์ (อายุ 5-17 ปี) เป็นเท่าใด</v>
      </c>
      <c r="F79" s="1" t="s">
        <v>262</v>
      </c>
      <c r="G79" s="1" t="s">
        <v>263</v>
      </c>
      <c r="H79" s="1" t="s">
        <v>18</v>
      </c>
    </row>
    <row r="80">
      <c r="A80" s="1">
        <v>78.0</v>
      </c>
      <c r="B80" s="1" t="s">
        <v>8</v>
      </c>
      <c r="C80" s="1" t="s">
        <v>264</v>
      </c>
      <c r="E80" s="2" t="str">
        <f>IFERROR(__xludf.DUMMYFUNCTION("GOOGLETRANSLATE(C80, ""en"", ""th"")"),"ช่วงเกรดประเภทใดที่ใช้กันมากที่สุดในเมือง Adelanto?")</f>
        <v>ช่วงเกรดประเภทใดที่ใช้กันมากที่สุดในเมือง Adelanto?</v>
      </c>
      <c r="G80" s="1" t="s">
        <v>265</v>
      </c>
      <c r="H80" s="1" t="s">
        <v>13</v>
      </c>
    </row>
    <row r="81">
      <c r="A81" s="1">
        <v>79.0</v>
      </c>
      <c r="B81" s="1" t="s">
        <v>8</v>
      </c>
      <c r="C81" s="1" t="s">
        <v>266</v>
      </c>
      <c r="D81" s="3" t="s">
        <v>267</v>
      </c>
      <c r="E81" s="2" t="str">
        <f>IFERROR(__xludf.DUMMYFUNCTION("GOOGLETRANSLATE(C81, ""en"", ""th"")"),"ระหว่างซานดิเอโกและซานตาบาร์บารา เคาน์ตีใดมีโรงเรียนจำนวนมากที่สุดที่ไม่มีอาคารเรียน ระบุจำนวนเงิน")</f>
        <v>ระหว่างซานดิเอโกและซานตาบาร์บารา เคาน์ตีใดมีโรงเรียนจำนวนมากที่สุดที่ไม่มีอาคารเรียน ระบุจำนวนเงิน</v>
      </c>
      <c r="F81" s="1" t="s">
        <v>268</v>
      </c>
      <c r="G81" s="1" t="s">
        <v>269</v>
      </c>
      <c r="H81" s="1" t="s">
        <v>18</v>
      </c>
    </row>
    <row r="82">
      <c r="A82" s="1">
        <v>80.0</v>
      </c>
      <c r="B82" s="1" t="s">
        <v>8</v>
      </c>
      <c r="C82" s="1" t="s">
        <v>270</v>
      </c>
      <c r="E82" s="2" t="str">
        <f>IFERROR(__xludf.DUMMYFUNCTION("GOOGLETRANSLATE(C82, ""en"", ""th"")"),"โรงเรียนประเภทใดของโรงเรียนที่มีละติจูดสูงสุด? ระบุชื่อโรงเรียนและพิกัดละติจูด")</f>
        <v>โรงเรียนประเภทใดของโรงเรียนที่มีละติจูดสูงสุด? ระบุชื่อโรงเรียนและพิกัดละติจูด</v>
      </c>
      <c r="G82" s="1" t="s">
        <v>271</v>
      </c>
      <c r="H82" s="1" t="s">
        <v>13</v>
      </c>
    </row>
    <row r="83">
      <c r="A83" s="1">
        <v>81.0</v>
      </c>
      <c r="B83" s="1" t="s">
        <v>8</v>
      </c>
      <c r="C83" s="1" t="s">
        <v>272</v>
      </c>
      <c r="D83" s="1" t="s">
        <v>273</v>
      </c>
      <c r="E83" s="2" t="str">
        <f>IFERROR(__xludf.DUMMYFUNCTION("GOOGLETRANSLATE(C83, ""en"", ""th"")"),"ในเมืองใดที่คุณจะพบโรงเรียนในรัฐแคลิฟอร์เนียซึ่งมีพิกัดละติจูดต่ำสุดและเกรดต่ำสุดคือเท่าไร ระบุชื่อโรงเรียน")</f>
        <v>ในเมืองใดที่คุณจะพบโรงเรียนในรัฐแคลิฟอร์เนียซึ่งมีพิกัดละติจูดต่ำสุดและเกรดต่ำสุดคือเท่าไร ระบุชื่อโรงเรียน</v>
      </c>
      <c r="F83" s="1" t="s">
        <v>274</v>
      </c>
      <c r="G83" s="1" t="s">
        <v>275</v>
      </c>
      <c r="H83" s="1" t="s">
        <v>18</v>
      </c>
    </row>
    <row r="84">
      <c r="A84" s="1">
        <v>82.0</v>
      </c>
      <c r="B84" s="1" t="s">
        <v>8</v>
      </c>
      <c r="C84" s="1" t="s">
        <v>276</v>
      </c>
      <c r="D84" s="1" t="s">
        <v>277</v>
      </c>
      <c r="E84" s="2" t="str">
        <f>IFERROR(__xludf.DUMMYFUNCTION("GOOGLETRANSLATE(C84, ""en"", ""th"")"),"โรงเรียนที่มีลองจิจูดสูงสุดเปิดสอนช่วงเกรดเป็นเท่าใด")</f>
        <v>โรงเรียนที่มีลองจิจูดสูงสุดเปิดสอนช่วงเกรดเป็นเท่าใด</v>
      </c>
      <c r="F84" s="1" t="s">
        <v>278</v>
      </c>
      <c r="G84" s="1" t="s">
        <v>279</v>
      </c>
      <c r="H84" s="1" t="s">
        <v>13</v>
      </c>
    </row>
    <row r="85">
      <c r="A85" s="1">
        <v>83.0</v>
      </c>
      <c r="B85" s="1" t="s">
        <v>8</v>
      </c>
      <c r="C85" s="1" t="s">
        <v>280</v>
      </c>
      <c r="D85" s="1" t="s">
        <v>281</v>
      </c>
      <c r="E85" s="2" t="str">
        <f>IFERROR(__xludf.DUMMYFUNCTION("GOOGLETRANSLATE(C85, ""en"", ""th"")"),"ในบรรดาโรงเรียนที่เปิดสอนโปรแกรมแม่เหล็กที่เปิดสอนช่วงชั้นอนุบาลถึงชั้นประถมศึกษาปีที่ 8 มีโรงเรียนกี่แห่งที่เปิดสอนประเภทการเตรียมการหลายประเภท ระบุจำนวนเมืองที่เปิดสอนช่วงชั้นอนุบาลถึงชั้นประถมศึกษาปีที่ 8 และระบุว่ามีโรงเรียนกี่แห่งที่เปิดสอนช่วงระดับช"&amp;"ั้นดังกล่าวสำหรับแต่ละเมือง")</f>
        <v>ในบรรดาโรงเรียนที่เปิดสอนโปรแกรมแม่เหล็กที่เปิดสอนช่วงชั้นอนุบาลถึงชั้นประถมศึกษาปีที่ 8 มีโรงเรียนกี่แห่งที่เปิดสอนประเภทการเตรียมการหลายประเภท ระบุจำนวนเมืองที่เปิดสอนช่วงชั้นอนุบาลถึงชั้นประถมศึกษาปีที่ 8 และระบุว่ามีโรงเรียนกี่แห่งที่เปิดสอนช่วงระดับชั้นดังกล่าวสำหรับแต่ละเมือง</v>
      </c>
      <c r="F85" s="1" t="s">
        <v>282</v>
      </c>
      <c r="G85" s="1" t="s">
        <v>283</v>
      </c>
      <c r="H85" s="1" t="s">
        <v>101</v>
      </c>
    </row>
    <row r="86">
      <c r="A86" s="1">
        <v>84.0</v>
      </c>
      <c r="B86" s="1" t="s">
        <v>8</v>
      </c>
      <c r="C86" s="1" t="s">
        <v>284</v>
      </c>
      <c r="E86" s="2" t="str">
        <f>IFERROR(__xludf.DUMMYFUNCTION("GOOGLETRANSLATE(C86, ""en"", ""th"")"),"ชื่อ 2 ชื่อที่พบบ่อยที่สุดในหมู่ผู้บริหารโรงเรียนคืออะไร? ระบุเขตที่ตนบริหารจัดการอยู่")</f>
        <v>ชื่อ 2 ชื่อที่พบบ่อยที่สุดในหมู่ผู้บริหารโรงเรียนคืออะไร? ระบุเขตที่ตนบริหารจัดการอยู่</v>
      </c>
      <c r="G86" s="1" t="s">
        <v>285</v>
      </c>
      <c r="H86" s="1" t="s">
        <v>13</v>
      </c>
    </row>
    <row r="87">
      <c r="A87" s="1">
        <v>85.0</v>
      </c>
      <c r="B87" s="1" t="s">
        <v>8</v>
      </c>
      <c r="C87" s="1" t="s">
        <v>286</v>
      </c>
      <c r="D87" s="1" t="s">
        <v>287</v>
      </c>
      <c r="E87" s="2" t="str">
        <f>IFERROR(__xludf.DUMMYFUNCTION("GOOGLETRANSLATE(C87, ""en"", ""th"")"),"เปอร์เซ็นต์ (%) ที่มีสิทธิ์ฟรี (K-12) คืออะไรในโรงเรียนที่บริหารงานโดยผู้ดูแลระบบซึ่งมีชื่อแรกคืออลูซีน ระบุรหัสเขตของโรงเรียน")</f>
        <v>เปอร์เซ็นต์ (%) ที่มีสิทธิ์ฟรี (K-12) คืออะไรในโรงเรียนที่บริหารงานโดยผู้ดูแลระบบซึ่งมีชื่อแรกคืออลูซีน ระบุรหัสเขตของโรงเรียน</v>
      </c>
      <c r="F87" s="1" t="s">
        <v>288</v>
      </c>
      <c r="G87" s="1" t="s">
        <v>289</v>
      </c>
      <c r="H87" s="1" t="s">
        <v>18</v>
      </c>
    </row>
    <row r="88">
      <c r="A88" s="1">
        <v>86.0</v>
      </c>
      <c r="B88" s="1" t="s">
        <v>8</v>
      </c>
      <c r="C88" s="1" t="s">
        <v>290</v>
      </c>
      <c r="E88" s="2" t="str">
        <f>IFERROR(__xludf.DUMMYFUNCTION("GOOGLETRANSLATE(C88, ""en"", ""th"")"),"นามสกุลของผู้บริหารที่ดูแลโรงเรียนตามกฎบัตรหมายเลข 40 คืออะไร? ระบุเขต อำเภอที่โรงเรียนตั้งอยู่ และชื่อโรงเรียน")</f>
        <v>นามสกุลของผู้บริหารที่ดูแลโรงเรียนตามกฎบัตรหมายเลข 40 คืออะไร? ระบุเขต อำเภอที่โรงเรียนตั้งอยู่ และชื่อโรงเรียน</v>
      </c>
      <c r="G88" s="1" t="s">
        <v>291</v>
      </c>
      <c r="H88" s="1" t="s">
        <v>13</v>
      </c>
    </row>
    <row r="89">
      <c r="A89" s="1">
        <v>87.0</v>
      </c>
      <c r="B89" s="1" t="s">
        <v>8</v>
      </c>
      <c r="C89" s="1" t="s">
        <v>292</v>
      </c>
      <c r="D89" s="1" t="s">
        <v>293</v>
      </c>
      <c r="E89" s="2" t="str">
        <f>IFERROR(__xludf.DUMMYFUNCTION("GOOGLETRANSLATE(C89, ""en"", ""th"")"),"ที่อยู่อีเมลที่ถูกต้องของผู้ดูแลระบบของโรงเรียนที่ตั้งอยู่ในเขต San Bernardino เมือง San Bernardino City Unified ที่เปิดระหว่างวันที่ 1/1/2009 ถึง 31/12/2010 ซึ่งประเภทโรงเรียนเป็นโรงเรียนระดับกลาง/มัธยมต้นและโรงเรียนแบบรวมสาธารณะ")</f>
        <v>ที่อยู่อีเมลที่ถูกต้องของผู้ดูแลระบบของโรงเรียนที่ตั้งอยู่ในเขต San Bernardino เมือง San Bernardino City Unified ที่เปิดระหว่างวันที่ 1/1/2009 ถึง 31/12/2010 ซึ่งประเภทโรงเรียนเป็นโรงเรียนระดับกลาง/มัธยมต้นและโรงเรียนแบบรวมสาธารณะ</v>
      </c>
      <c r="F89" s="1" t="s">
        <v>294</v>
      </c>
      <c r="G89" s="1" t="s">
        <v>295</v>
      </c>
      <c r="H89" s="1" t="s">
        <v>101</v>
      </c>
    </row>
    <row r="90">
      <c r="A90" s="1">
        <v>88.0</v>
      </c>
      <c r="B90" s="1" t="s">
        <v>8</v>
      </c>
      <c r="C90" s="1" t="s">
        <v>296</v>
      </c>
      <c r="E90" s="2" t="str">
        <f>IFERROR(__xludf.DUMMYFUNCTION("GOOGLETRANSLATE(C90, ""en"", ""th"")"),"ที่อยู่อีเมลของผู้ดูแลระบบสำหรับโรงเรียนที่มีจำนวนผู้สอบสูงสุดที่ได้รับคะแนน SAT อย่างน้อย 1,500 คืออะไร? ระบุชื่อโรงเรียน")</f>
        <v>ที่อยู่อีเมลของผู้ดูแลระบบสำหรับโรงเรียนที่มีจำนวนผู้สอบสูงสุดที่ได้รับคะแนน SAT อย่างน้อย 1,500 คืออะไร? ระบุชื่อโรงเรียน</v>
      </c>
      <c r="G90" s="1" t="s">
        <v>297</v>
      </c>
      <c r="H90" s="1" t="s">
        <v>13</v>
      </c>
    </row>
    <row r="91">
      <c r="A91" s="1">
        <v>89.0</v>
      </c>
      <c r="B91" s="1" t="s">
        <v>298</v>
      </c>
      <c r="C91" s="1" t="s">
        <v>299</v>
      </c>
      <c r="D91" s="1" t="s">
        <v>300</v>
      </c>
      <c r="E91" s="2" t="str">
        <f>IFERROR(__xludf.DUMMYFUNCTION("GOOGLETRANSLATE(C91, ""en"", ""th"")"),"มีบัญชีกี่บัญชีที่เลือกออกหลังการทำธุรกรรมและอยู่ในภูมิภาคโบฮีเมียตะวันออก")</f>
        <v>มีบัญชีกี่บัญชีที่เลือกออกหลังการทำธุรกรรมและอยู่ในภูมิภาคโบฮีเมียตะวันออก</v>
      </c>
      <c r="F91" s="1" t="s">
        <v>301</v>
      </c>
      <c r="G91" s="1" t="s">
        <v>302</v>
      </c>
      <c r="H91" s="1" t="s">
        <v>18</v>
      </c>
    </row>
    <row r="92">
      <c r="A92" s="1">
        <v>90.0</v>
      </c>
      <c r="B92" s="1" t="s">
        <v>298</v>
      </c>
      <c r="C92" s="1" t="s">
        <v>303</v>
      </c>
      <c r="D92" s="1" t="s">
        <v>304</v>
      </c>
      <c r="E92" s="2" t="str">
        <f>IFERROR(__xludf.DUMMYFUNCTION("GOOGLETRANSLATE(C92, ""en"", ""th"")"),"มีบัญชีกี่บัญชีที่มีภูมิภาคในกรุงปรากจึงมีสิทธิ์ได้รับสินเชื่อ")</f>
        <v>มีบัญชีกี่บัญชีที่มีภูมิภาคในกรุงปรากจึงมีสิทธิ์ได้รับสินเชื่อ</v>
      </c>
      <c r="F92" s="1" t="s">
        <v>305</v>
      </c>
      <c r="G92" s="1" t="s">
        <v>306</v>
      </c>
      <c r="H92" s="1" t="s">
        <v>13</v>
      </c>
    </row>
    <row r="93">
      <c r="A93" s="1">
        <v>91.0</v>
      </c>
      <c r="B93" s="1" t="s">
        <v>298</v>
      </c>
      <c r="C93" s="1" t="s">
        <v>307</v>
      </c>
      <c r="D93" s="1" t="s">
        <v>308</v>
      </c>
      <c r="E93" s="2" t="str">
        <f>IFERROR(__xludf.DUMMYFUNCTION("GOOGLETRANSLATE(C93, ""en"", ""th"")"),"อัตราการว่างงานเฉลี่ยปี 2538 และ 2539 ข้อใดมีเปอร์เซ็นต์สูงกว่า")</f>
        <v>อัตราการว่างงานเฉลี่ยปี 2538 และ 2539 ข้อใดมีเปอร์เซ็นต์สูงกว่า</v>
      </c>
      <c r="F93" s="1" t="s">
        <v>309</v>
      </c>
      <c r="G93" s="1" t="s">
        <v>310</v>
      </c>
      <c r="H93" s="1" t="s">
        <v>13</v>
      </c>
    </row>
    <row r="94">
      <c r="A94" s="1">
        <v>92.0</v>
      </c>
      <c r="B94" s="1" t="s">
        <v>298</v>
      </c>
      <c r="C94" s="1" t="s">
        <v>311</v>
      </c>
      <c r="D94" s="1" t="s">
        <v>312</v>
      </c>
      <c r="E94" s="2" t="str">
        <f>IFERROR(__xludf.DUMMYFUNCTION("GOOGLETRANSLATE(C94, ""en"", ""th"")"),"ออกรายการหมายเลข ของเขตที่มีเงินเดือนเฉลี่ยหญิงมากกว่า 6,000 แต่น้อยกว่า 10,000?")</f>
        <v>ออกรายการหมายเลข ของเขตที่มีเงินเดือนเฉลี่ยหญิงมากกว่า 6,000 แต่น้อยกว่า 10,000?</v>
      </c>
      <c r="F94" s="1" t="s">
        <v>313</v>
      </c>
      <c r="G94" s="1" t="s">
        <v>314</v>
      </c>
      <c r="H94" s="1" t="s">
        <v>13</v>
      </c>
    </row>
    <row r="95">
      <c r="A95" s="1">
        <v>93.0</v>
      </c>
      <c r="B95" s="1" t="s">
        <v>298</v>
      </c>
      <c r="C95" s="1" t="s">
        <v>315</v>
      </c>
      <c r="D95" s="1" t="s">
        <v>316</v>
      </c>
      <c r="E95" s="2" t="str">
        <f>IFERROR(__xludf.DUMMYFUNCTION("GOOGLETRANSLATE(C95, ""en"", ""th"")"),"ลูกค้าชายที่อาศัยอยู่ในโบฮีเมียเหนือมีเงินเดือนเฉลี่ยมากกว่า 8,000 คนกี่คน?")</f>
        <v>ลูกค้าชายที่อาศัยอยู่ในโบฮีเมียเหนือมีเงินเดือนเฉลี่ยมากกว่า 8,000 คนกี่คน?</v>
      </c>
      <c r="F95" s="1" t="s">
        <v>317</v>
      </c>
      <c r="G95" s="1" t="s">
        <v>318</v>
      </c>
      <c r="H95" s="1" t="s">
        <v>18</v>
      </c>
    </row>
    <row r="96">
      <c r="A96" s="1">
        <v>94.0</v>
      </c>
      <c r="B96" s="1" t="s">
        <v>298</v>
      </c>
      <c r="C96" s="1" t="s">
        <v>319</v>
      </c>
      <c r="D96" s="1" t="s">
        <v>320</v>
      </c>
      <c r="E96" s="2" t="str">
        <f>IFERROR(__xludf.DUMMYFUNCTION("GOOGLETRANSLATE(C96, ""en"", ""th"")"),"แสดงรายการหมายเลขบัญชีของลูกค้าหญิงที่มีอายุมากที่สุดและมีเงินเดือนเฉลี่ยต่ำสุด คำนวณช่องว่างระหว่างเงินเดือนเฉลี่ยต่ำสุดกับเงินเดือนเฉลี่ยสูงสุดหรือไม่")</f>
        <v>แสดงรายการหมายเลขบัญชีของลูกค้าหญิงที่มีอายุมากที่สุดและมีเงินเดือนเฉลี่ยต่ำสุด คำนวณช่องว่างระหว่างเงินเดือนเฉลี่ยต่ำสุดกับเงินเดือนเฉลี่ยสูงสุดหรือไม่</v>
      </c>
      <c r="F96" s="1" t="s">
        <v>321</v>
      </c>
      <c r="G96" s="1" t="s">
        <v>322</v>
      </c>
      <c r="H96" s="1" t="s">
        <v>101</v>
      </c>
    </row>
    <row r="97">
      <c r="A97" s="1">
        <v>95.0</v>
      </c>
      <c r="B97" s="1" t="s">
        <v>298</v>
      </c>
      <c r="C97" s="1" t="s">
        <v>323</v>
      </c>
      <c r="D97" s="1" t="s">
        <v>324</v>
      </c>
      <c r="E97" s="2" t="str">
        <f>IFERROR(__xludf.DUMMYFUNCTION("GOOGLETRANSLATE(C97, ""en"", ""th"")"),"แสดงรายการหมายเลขบัญชีของลูกค้าที่อายุน้อยที่สุดและมีเงินเดือนเฉลี่ยสูงสุด?")</f>
        <v>แสดงรายการหมายเลขบัญชีของลูกค้าที่อายุน้อยที่สุดและมีเงินเดือนเฉลี่ยสูงสุด?</v>
      </c>
      <c r="F97" s="1" t="s">
        <v>325</v>
      </c>
      <c r="G97" s="1" t="s">
        <v>326</v>
      </c>
      <c r="H97" s="1" t="s">
        <v>18</v>
      </c>
    </row>
    <row r="98">
      <c r="A98" s="1">
        <v>96.0</v>
      </c>
      <c r="B98" s="1" t="s">
        <v>298</v>
      </c>
      <c r="C98" s="1" t="s">
        <v>327</v>
      </c>
      <c r="D98" s="3" t="s">
        <v>328</v>
      </c>
      <c r="E98" s="2" t="str">
        <f>IFERROR(__xludf.DUMMYFUNCTION("GOOGLETRANSLATE(C98, ""en"", ""th"")"),"มีลูกค้ากี่รายที่เลือกใบแจ้งยอดการออกรายสัปดาห์เป็นเจ้าของ")</f>
        <v>มีลูกค้ากี่รายที่เลือกใบแจ้งยอดการออกรายสัปดาห์เป็นเจ้าของ</v>
      </c>
      <c r="F98" s="1" t="s">
        <v>329</v>
      </c>
      <c r="G98" s="1" t="s">
        <v>330</v>
      </c>
      <c r="H98" s="1" t="s">
        <v>13</v>
      </c>
    </row>
    <row r="99">
      <c r="A99" s="1">
        <v>97.0</v>
      </c>
      <c r="B99" s="1" t="s">
        <v>298</v>
      </c>
      <c r="C99" s="1" t="s">
        <v>331</v>
      </c>
      <c r="D99" s="3" t="s">
        <v>332</v>
      </c>
      <c r="E99" s="2" t="str">
        <f>IFERROR(__xludf.DUMMYFUNCTION("GOOGLETRANSLATE(C99, ""en"", ""th"")"),"แสดงรายการหมายเลขประจำตัวของลูกค้าที่เลือกใบแจ้งยอดการออกหลังการทำธุรกรรมเป็น Disponent?")</f>
        <v>แสดงรายการหมายเลขประจำตัวของลูกค้าที่เลือกใบแจ้งยอดการออกหลังการทำธุรกรรมเป็น Disponent?</v>
      </c>
      <c r="F99" s="1" t="s">
        <v>333</v>
      </c>
      <c r="G99" s="1" t="s">
        <v>334</v>
      </c>
      <c r="H99" s="1" t="s">
        <v>13</v>
      </c>
    </row>
    <row r="100">
      <c r="A100" s="1">
        <v>98.0</v>
      </c>
      <c r="B100" s="1" t="s">
        <v>298</v>
      </c>
      <c r="C100" s="1" t="s">
        <v>335</v>
      </c>
      <c r="D100" s="3" t="s">
        <v>328</v>
      </c>
      <c r="E100" s="2" t="str">
        <f>IFERROR(__xludf.DUMMYFUNCTION("GOOGLETRANSLATE(C100, ""en"", ""th"")"),"ในบรรดาบัญชีที่ได้รับอนุมัติวันที่กู้ยืมในปี 1997 ให้ระบุบัญชีที่มีจำนวนเงินอนุมัติต่ำสุดและเลือกใบแจ้งยอดการออกรายสัปดาห์")</f>
        <v>ในบรรดาบัญชีที่ได้รับอนุมัติวันที่กู้ยืมในปี 1997 ให้ระบุบัญชีที่มีจำนวนเงินอนุมัติต่ำสุดและเลือกใบแจ้งยอดการออกรายสัปดาห์</v>
      </c>
      <c r="F100" s="1" t="s">
        <v>329</v>
      </c>
      <c r="G100" s="1" t="s">
        <v>336</v>
      </c>
      <c r="H100" s="1" t="s">
        <v>18</v>
      </c>
    </row>
    <row r="101">
      <c r="A101" s="1">
        <v>99.0</v>
      </c>
      <c r="B101" s="1" t="s">
        <v>298</v>
      </c>
      <c r="C101" s="1" t="s">
        <v>337</v>
      </c>
      <c r="D101" s="1" t="s">
        <v>338</v>
      </c>
      <c r="E101" s="2" t="str">
        <f>IFERROR(__xludf.DUMMYFUNCTION("GOOGLETRANSLATE(C101, ""en"", ""th"")"),"ในบรรดาบัญชีที่มีอายุสินเชื่อมากกว่า 12 เดือน ให้ระบุบัญชีที่มีวงเงินอนุมัติสูงสุดและมีวันเปิดบัญชีในปี 2536")</f>
        <v>ในบรรดาบัญชีที่มีอายุสินเชื่อมากกว่า 12 เดือน ให้ระบุบัญชีที่มีวงเงินอนุมัติสูงสุดและมีวันเปิดบัญชีในปี 2536</v>
      </c>
      <c r="F101" s="1" t="s">
        <v>339</v>
      </c>
      <c r="G101" s="1" t="s">
        <v>340</v>
      </c>
      <c r="H101" s="1" t="s">
        <v>18</v>
      </c>
    </row>
    <row r="102">
      <c r="A102" s="1">
        <v>100.0</v>
      </c>
      <c r="B102" s="1" t="s">
        <v>298</v>
      </c>
      <c r="C102" s="1" t="s">
        <v>341</v>
      </c>
      <c r="D102" s="1" t="s">
        <v>342</v>
      </c>
      <c r="E102" s="2" t="str">
        <f>IFERROR(__xludf.DUMMYFUNCTION("GOOGLETRANSLATE(C102, ""en"", ""th"")"),"ในบรรดาบัญชีที่เปิด มีลูกค้าผู้หญิงกี่คนที่เกิดก่อนปี 1950 และอาศัยอยู่ใน Sokolov")</f>
        <v>ในบรรดาบัญชีที่เปิด มีลูกค้าผู้หญิงกี่คนที่เกิดก่อนปี 1950 และอาศัยอยู่ใน Sokolov</v>
      </c>
      <c r="F102" s="1" t="s">
        <v>343</v>
      </c>
      <c r="G102" s="1" t="s">
        <v>344</v>
      </c>
      <c r="H102" s="1" t="s">
        <v>18</v>
      </c>
    </row>
    <row r="103">
      <c r="A103" s="1">
        <v>101.0</v>
      </c>
      <c r="B103" s="1" t="s">
        <v>298</v>
      </c>
      <c r="C103" s="1" t="s">
        <v>345</v>
      </c>
      <c r="E103" s="2" t="str">
        <f>IFERROR(__xludf.DUMMYFUNCTION("GOOGLETRANSLATE(C103, ""en"", ""th"")"),"รายชื่อบัญชีที่มีวันซื้อขายเร็วที่สุดในปี 1995 ?")</f>
        <v>รายชื่อบัญชีที่มีวันซื้อขายเร็วที่สุดในปี 1995 ?</v>
      </c>
      <c r="G103" s="1" t="s">
        <v>346</v>
      </c>
      <c r="H103" s="1" t="s">
        <v>13</v>
      </c>
    </row>
    <row r="104">
      <c r="A104" s="1">
        <v>102.0</v>
      </c>
      <c r="B104" s="1" t="s">
        <v>298</v>
      </c>
      <c r="C104" s="1" t="s">
        <v>347</v>
      </c>
      <c r="E104" s="2" t="str">
        <f>IFERROR(__xludf.DUMMYFUNCTION("GOOGLETRANSLATE(C104, ""en"", ""th"")"),"ระบุบัญชีอื่นที่มีวันเปิดบัญชีก่อนปี 1997 และเป็นเจ้าของเงินจำนวนมากกว่า 3,000USD")</f>
        <v>ระบุบัญชีอื่นที่มีวันเปิดบัญชีก่อนปี 1997 และเป็นเจ้าของเงินจำนวนมากกว่า 3,000USD</v>
      </c>
      <c r="G104" s="1" t="s">
        <v>348</v>
      </c>
      <c r="H104" s="1" t="s">
        <v>13</v>
      </c>
    </row>
    <row r="105">
      <c r="A105" s="1">
        <v>103.0</v>
      </c>
      <c r="B105" s="1" t="s">
        <v>298</v>
      </c>
      <c r="C105" s="1" t="s">
        <v>349</v>
      </c>
      <c r="E105" s="2" t="str">
        <f>IFERROR(__xludf.DUMMYFUNCTION("GOOGLETRANSLATE(C105, ""en"", ""th"")"),"ลูกค้ารายใดที่ออกบัตรของตนในปี 1994/3/3 ให้ระบุรหัสลูกค้าของเขา/เธอ")</f>
        <v>ลูกค้ารายใดที่ออกบัตรของตนในปี 1994/3/3 ให้ระบุรหัสลูกค้าของเขา/เธอ</v>
      </c>
      <c r="G105" s="1" t="s">
        <v>350</v>
      </c>
      <c r="H105" s="1" t="s">
        <v>13</v>
      </c>
    </row>
    <row r="106">
      <c r="A106" s="1">
        <v>104.0</v>
      </c>
      <c r="B106" s="1" t="s">
        <v>298</v>
      </c>
      <c r="C106" s="1" t="s">
        <v>351</v>
      </c>
      <c r="E106" s="2" t="str">
        <f>IFERROR(__xludf.DUMMYFUNCTION("GOOGLETRANSLATE(C106, ""en"", ""th"")"),"ธุรกรรม 840 USD เกิดขึ้นในปี 1998/10/57 บัญชีนี้เปิดเมื่อใด")</f>
        <v>ธุรกรรม 840 USD เกิดขึ้นในปี 1998/10/57 บัญชีนี้เปิดเมื่อใด</v>
      </c>
      <c r="G106" s="1" t="s">
        <v>352</v>
      </c>
      <c r="H106" s="1" t="s">
        <v>13</v>
      </c>
    </row>
    <row r="107">
      <c r="A107" s="1">
        <v>105.0</v>
      </c>
      <c r="B107" s="1" t="s">
        <v>298</v>
      </c>
      <c r="C107" s="1" t="s">
        <v>353</v>
      </c>
      <c r="E107" s="2" t="str">
        <f>IFERROR(__xludf.DUMMYFUNCTION("GOOGLETRANSLATE(C107, ""en"", ""th"")"),"มีอนุมัติเงินกู้เมื่อ 2537/8/25 บัญชีนั้นเปิดที่ไหนให้ระบุรหัสอำเภอสาขา")</f>
        <v>มีอนุมัติเงินกู้เมื่อ 2537/8/25 บัญชีนั้นเปิดที่ไหนให้ระบุรหัสอำเภอสาขา</v>
      </c>
      <c r="G107" s="1" t="s">
        <v>354</v>
      </c>
      <c r="H107" s="1" t="s">
        <v>13</v>
      </c>
    </row>
    <row r="108">
      <c r="A108" s="1">
        <v>106.0</v>
      </c>
      <c r="B108" s="1" t="s">
        <v>298</v>
      </c>
      <c r="C108" s="1" t="s">
        <v>355</v>
      </c>
      <c r="E108" s="2" t="str">
        <f>IFERROR(__xludf.DUMMYFUNCTION("GOOGLETRANSLATE(C108, ""en"", ""th"")"),"จำนวนเงินสูงสุดของการทำธุรกรรมที่ลูกค้าซึ่งเปิดบัตรในปี 1996/10/21 คือเท่าใด?")</f>
        <v>จำนวนเงินสูงสุดของการทำธุรกรรมที่ลูกค้าซึ่งเปิดบัตรในปี 1996/10/21 คือเท่าใด?</v>
      </c>
      <c r="G108" s="1" t="s">
        <v>356</v>
      </c>
      <c r="H108" s="1" t="s">
        <v>13</v>
      </c>
    </row>
    <row r="109">
      <c r="A109" s="1">
        <v>107.0</v>
      </c>
      <c r="B109" s="1" t="s">
        <v>298</v>
      </c>
      <c r="C109" s="1" t="s">
        <v>357</v>
      </c>
      <c r="D109" s="1" t="s">
        <v>358</v>
      </c>
      <c r="E109" s="2" t="str">
        <f>IFERROR(__xludf.DUMMYFUNCTION("GOOGLETRANSLATE(C109, ""en"", ""th"")"),"ลูกค้าที่มีอายุมากที่สุดที่เปิดบัญชีในสาขาเงินเดือนเฉลี่ยสูงสุดคือเพศใด?")</f>
        <v>ลูกค้าที่มีอายุมากที่สุดที่เปิดบัญชีในสาขาเงินเดือนเฉลี่ยสูงสุดคือเพศใด?</v>
      </c>
      <c r="F109" s="1" t="s">
        <v>359</v>
      </c>
      <c r="G109" s="1" t="s">
        <v>360</v>
      </c>
      <c r="H109" s="1" t="s">
        <v>13</v>
      </c>
    </row>
    <row r="110">
      <c r="A110" s="1">
        <v>108.0</v>
      </c>
      <c r="B110" s="1" t="s">
        <v>298</v>
      </c>
      <c r="C110" s="1" t="s">
        <v>361</v>
      </c>
      <c r="E110" s="2" t="str">
        <f>IFERROR(__xludf.DUMMYFUNCTION("GOOGLETRANSLATE(C110, ""en"", ""th"")"),"สำหรับลูกค้าที่สมัครสินเชื่อที่ใหญ่ที่สุด ธุรกรรมแรกของเขา/เธอคือเท่าใดหลังจากเปิดบัญชี?")</f>
        <v>สำหรับลูกค้าที่สมัครสินเชื่อที่ใหญ่ที่สุด ธุรกรรมแรกของเขา/เธอคือเท่าใดหลังจากเปิดบัญชี?</v>
      </c>
      <c r="G110" s="1" t="s">
        <v>362</v>
      </c>
      <c r="H110" s="1" t="s">
        <v>13</v>
      </c>
    </row>
    <row r="111">
      <c r="A111" s="1">
        <v>109.0</v>
      </c>
      <c r="B111" s="1" t="s">
        <v>298</v>
      </c>
      <c r="C111" s="1" t="s">
        <v>363</v>
      </c>
      <c r="D111" s="1" t="s">
        <v>364</v>
      </c>
      <c r="E111" s="2" t="str">
        <f>IFERROR(__xludf.DUMMYFUNCTION("GOOGLETRANSLATE(C111, ""en"", ""th"")"),"มีลูกค้ากี่รายที่เปิดบัญชีในสาขา Jesenik ที่เป็นผู้หญิง?")</f>
        <v>มีลูกค้ากี่รายที่เปิดบัญชีในสาขา Jesenik ที่เป็นผู้หญิง?</v>
      </c>
      <c r="F111" s="1" t="s">
        <v>365</v>
      </c>
      <c r="G111" s="1" t="s">
        <v>366</v>
      </c>
      <c r="H111" s="1" t="s">
        <v>13</v>
      </c>
    </row>
    <row r="112">
      <c r="A112" s="1">
        <v>110.0</v>
      </c>
      <c r="B112" s="1" t="s">
        <v>298</v>
      </c>
      <c r="C112" s="1" t="s">
        <v>367</v>
      </c>
      <c r="E112" s="2" t="str">
        <f>IFERROR(__xludf.DUMMYFUNCTION("GOOGLETRANSLATE(C112, ""en"", ""th"")"),"รหัสการจัดการของลูกค้าที่ทำธุรกรรม 5100 USD ในปี 1998/9/2 คืออะไร?")</f>
        <v>รหัสการจัดการของลูกค้าที่ทำธุรกรรม 5100 USD ในปี 1998/9/2 คืออะไร?</v>
      </c>
      <c r="G112" s="1" t="s">
        <v>368</v>
      </c>
      <c r="H112" s="1" t="s">
        <v>13</v>
      </c>
    </row>
    <row r="113">
      <c r="A113" s="1">
        <v>111.0</v>
      </c>
      <c r="B113" s="1" t="s">
        <v>298</v>
      </c>
      <c r="C113" s="1" t="s">
        <v>369</v>
      </c>
      <c r="D113" s="1" t="s">
        <v>370</v>
      </c>
      <c r="E113" s="2" t="str">
        <f>IFERROR(__xludf.DUMMYFUNCTION("GOOGLETRANSLATE(C113, ""en"", ""th"")"),"มีกี่บัญชีที่ถูกเปิดใน Litomerice ในปี 1996")</f>
        <v>มีกี่บัญชีที่ถูกเปิดใน Litomerice ในปี 1996</v>
      </c>
      <c r="F113" s="1" t="s">
        <v>371</v>
      </c>
      <c r="G113" s="1" t="s">
        <v>372</v>
      </c>
      <c r="H113" s="1" t="s">
        <v>13</v>
      </c>
    </row>
    <row r="114">
      <c r="A114" s="1">
        <v>112.0</v>
      </c>
      <c r="B114" s="1" t="s">
        <v>298</v>
      </c>
      <c r="C114" s="1" t="s">
        <v>373</v>
      </c>
      <c r="D114" s="1" t="s">
        <v>374</v>
      </c>
      <c r="E114" s="2" t="str">
        <f>IFERROR(__xludf.DUMMYFUNCTION("GOOGLETRANSLATE(C114, ""en"", ""th"")"),"สำหรับลูกค้าผู้หญิงที่เกิดปี 1976/1/29 เธอเปิดบัญชีเขตไหนคะ?")</f>
        <v>สำหรับลูกค้าผู้หญิงที่เกิดปี 1976/1/29 เธอเปิดบัญชีเขตไหนคะ?</v>
      </c>
      <c r="F114" s="1" t="s">
        <v>375</v>
      </c>
      <c r="G114" s="1" t="s">
        <v>376</v>
      </c>
      <c r="H114" s="1" t="s">
        <v>13</v>
      </c>
    </row>
    <row r="115">
      <c r="A115" s="1">
        <v>113.0</v>
      </c>
      <c r="B115" s="1" t="s">
        <v>298</v>
      </c>
      <c r="C115" s="1" t="s">
        <v>377</v>
      </c>
      <c r="E115" s="2" t="str">
        <f>IFERROR(__xludf.DUMMYFUNCTION("GOOGLETRANSLATE(C115, ""en"", ""th"")"),"สำหรับลูกค้าที่สมัครสินเชื่อ 98832 USD ในปี 1/3/39 วันเกิดของเขา/เธอคือเมื่อไหร่?")</f>
        <v>สำหรับลูกค้าที่สมัครสินเชื่อ 98832 USD ในปี 1/3/39 วันเกิดของเขา/เธอคือเมื่อไหร่?</v>
      </c>
      <c r="G115" s="1" t="s">
        <v>378</v>
      </c>
      <c r="H115" s="1" t="s">
        <v>13</v>
      </c>
    </row>
    <row r="116">
      <c r="A116" s="1">
        <v>114.0</v>
      </c>
      <c r="B116" s="1" t="s">
        <v>298</v>
      </c>
      <c r="C116" s="1" t="s">
        <v>379</v>
      </c>
      <c r="D116" s="1" t="s">
        <v>380</v>
      </c>
      <c r="E116" s="2" t="str">
        <f>IFERROR(__xludf.DUMMYFUNCTION("GOOGLETRANSLATE(C116, ""en"", ""th"")"),"สำหรับลูกค้ารายแรกที่เปิดบัญชีของเขา/เธอในปราก รหัสบัญชีของเขา/เธอคืออะไร?")</f>
        <v>สำหรับลูกค้ารายแรกที่เปิดบัญชีของเขา/เธอในปราก รหัสบัญชีของเขา/เธอคืออะไร?</v>
      </c>
      <c r="F116" s="1" t="s">
        <v>381</v>
      </c>
      <c r="G116" s="1" t="s">
        <v>382</v>
      </c>
      <c r="H116" s="1" t="s">
        <v>13</v>
      </c>
    </row>
    <row r="117">
      <c r="A117" s="1">
        <v>115.0</v>
      </c>
      <c r="B117" s="1" t="s">
        <v>298</v>
      </c>
      <c r="C117" s="1" t="s">
        <v>383</v>
      </c>
      <c r="D117" s="1" t="s">
        <v>384</v>
      </c>
      <c r="E117" s="2" t="str">
        <f>IFERROR(__xludf.DUMMYFUNCTION("GOOGLETRANSLATE(C117, ""en"", ""th"")"),"สำหรับสาขาที่ตั้งอยู่ทางตอนใต้ของโบฮีเมียซึ่งมีประชากรมากที่สุด ลูกค้าผู้ชายคิดเป็นเปอร์เซ็นต์เท่าไร?")</f>
        <v>สำหรับสาขาที่ตั้งอยู่ทางตอนใต้ของโบฮีเมียซึ่งมีประชากรมากที่สุด ลูกค้าผู้ชายคิดเป็นเปอร์เซ็นต์เท่าไร?</v>
      </c>
      <c r="F117" s="1" t="s">
        <v>385</v>
      </c>
      <c r="G117" s="1" t="s">
        <v>386</v>
      </c>
      <c r="H117" s="1" t="s">
        <v>101</v>
      </c>
    </row>
    <row r="118">
      <c r="A118" s="1">
        <v>116.0</v>
      </c>
      <c r="B118" s="1" t="s">
        <v>298</v>
      </c>
      <c r="C118" s="1" t="s">
        <v>387</v>
      </c>
      <c r="D118" s="1" t="s">
        <v>388</v>
      </c>
      <c r="E118" s="2" t="str">
        <f>IFERROR(__xludf.DUMMYFUNCTION("GOOGLETRANSLATE(C118, ""en"", ""th"")"),"สำหรับลูกค้าที่ได้รับอนุมัติสินเชื่อครั้งแรกในปี 1993/7/59 อัตราการเพิ่มยอดเงินในบัญชีของเขา/เธอจาก 1993/3/25 เป็น 1998/12/27 เป็นเท่าใด")</f>
        <v>สำหรับลูกค้าที่ได้รับอนุมัติสินเชื่อครั้งแรกในปี 1993/7/59 อัตราการเพิ่มยอดเงินในบัญชีของเขา/เธอจาก 1993/3/25 เป็น 1998/12/27 เป็นเท่าใด</v>
      </c>
      <c r="F118" s="1" t="s">
        <v>389</v>
      </c>
      <c r="G118" s="1" t="s">
        <v>390</v>
      </c>
      <c r="H118" s="1" t="s">
        <v>101</v>
      </c>
    </row>
    <row r="119">
      <c r="A119" s="1">
        <v>117.0</v>
      </c>
      <c r="B119" s="1" t="s">
        <v>298</v>
      </c>
      <c r="C119" s="1" t="s">
        <v>391</v>
      </c>
      <c r="D119" s="1" t="s">
        <v>392</v>
      </c>
      <c r="E119" s="2" t="str">
        <f>IFERROR(__xludf.DUMMYFUNCTION("GOOGLETRANSLATE(C119, ""en"", ""th"")"),"เปอร์เซ็นต์ของวงเงินกู้ที่ชำระเต็มจำนวนโดยไม่มีปัญหาคือเท่าใด")</f>
        <v>เปอร์เซ็นต์ของวงเงินกู้ที่ชำระเต็มจำนวนโดยไม่มีปัญหาคือเท่าใด</v>
      </c>
      <c r="F119" s="1" t="s">
        <v>393</v>
      </c>
      <c r="G119" s="1" t="s">
        <v>394</v>
      </c>
      <c r="H119" s="1" t="s">
        <v>18</v>
      </c>
    </row>
    <row r="120">
      <c r="A120" s="1">
        <v>118.0</v>
      </c>
      <c r="B120" s="1" t="s">
        <v>298</v>
      </c>
      <c r="C120" s="1" t="s">
        <v>395</v>
      </c>
      <c r="D120" s="1" t="s">
        <v>396</v>
      </c>
      <c r="E120" s="2" t="str">
        <f>IFERROR(__xludf.DUMMYFUNCTION("GOOGLETRANSLATE(C120, ""en"", ""th"")"),"สำหรับวงเงินกู้น้อยกว่า 100,000 ดอลลาร์สหรัฐ เปอร์เซ็นต์ของบัญชีที่ยังคงทำงานอยู่โดยไม่มีปัญหาคือเท่าใด")</f>
        <v>สำหรับวงเงินกู้น้อยกว่า 100,000 ดอลลาร์สหรัฐ เปอร์เซ็นต์ของบัญชีที่ยังคงทำงานอยู่โดยไม่มีปัญหาคือเท่าใด</v>
      </c>
      <c r="F120" s="1" t="s">
        <v>397</v>
      </c>
      <c r="G120" s="1" t="s">
        <v>398</v>
      </c>
      <c r="H120" s="1" t="s">
        <v>18</v>
      </c>
    </row>
    <row r="121">
      <c r="A121" s="1">
        <v>119.0</v>
      </c>
      <c r="B121" s="1" t="s">
        <v>298</v>
      </c>
      <c r="C121" s="1" t="s">
        <v>399</v>
      </c>
      <c r="D121" s="1" t="s">
        <v>400</v>
      </c>
      <c r="E121" s="2" t="str">
        <f>IFERROR(__xludf.DUMMYFUNCTION("GOOGLETRANSLATE(C121, ""en"", ""th"")"),"สำหรับบัญชีในปี 1993 ที่มีใบแจ้งยอดหลังการทำธุรกรรม ให้ระบุรหัสบัญชี ชื่อเขต และภูมิภาคของเขต")</f>
        <v>สำหรับบัญชีในปี 1993 ที่มีใบแจ้งยอดหลังการทำธุรกรรม ให้ระบุรหัสบัญชี ชื่อเขต และภูมิภาคของเขต</v>
      </c>
      <c r="F121" s="1" t="s">
        <v>401</v>
      </c>
      <c r="G121" s="1" t="s">
        <v>402</v>
      </c>
      <c r="H121" s="1" t="s">
        <v>18</v>
      </c>
    </row>
    <row r="122">
      <c r="A122" s="1">
        <v>120.0</v>
      </c>
      <c r="B122" s="1" t="s">
        <v>298</v>
      </c>
      <c r="C122" s="1" t="s">
        <v>403</v>
      </c>
      <c r="D122" s="1" t="s">
        <v>404</v>
      </c>
      <c r="E122" s="2" t="str">
        <f>IFERROR(__xludf.DUMMYFUNCTION("GOOGLETRANSLATE(C122, ""en"", ""th"")"),"ตั้งแต่ปี 1995 ถึง 2000 ซึ่งเป็นเจ้าของบัญชีจาก 'โบฮีเมียตะวันออก' ระบุรหัสบัญชีความถี่ในการออกใบแจ้งยอด")</f>
        <v>ตั้งแต่ปี 1995 ถึง 2000 ซึ่งเป็นเจ้าของบัญชีจาก 'โบฮีเมียตะวันออก' ระบุรหัสบัญชีความถี่ในการออกใบแจ้งยอด</v>
      </c>
      <c r="F122" s="1" t="s">
        <v>405</v>
      </c>
      <c r="G122" s="1" t="s">
        <v>406</v>
      </c>
      <c r="H122" s="1" t="s">
        <v>18</v>
      </c>
    </row>
    <row r="123">
      <c r="A123" s="1">
        <v>121.0</v>
      </c>
      <c r="B123" s="1" t="s">
        <v>298</v>
      </c>
      <c r="C123" s="1" t="s">
        <v>407</v>
      </c>
      <c r="D123" s="1" t="s">
        <v>408</v>
      </c>
      <c r="E123" s="2" t="str">
        <f>IFERROR(__xludf.DUMMYFUNCTION("GOOGLETRANSLATE(C123, ""en"", ""th"")"),"ระบุรหัสบัญชีและวันเปิดบัญชีสำหรับบัญชีจาก 'ประชาทิซ'")</f>
        <v>ระบุรหัสบัญชีและวันเปิดบัญชีสำหรับบัญชีจาก 'ประชาทิซ'</v>
      </c>
      <c r="F123" s="1" t="s">
        <v>409</v>
      </c>
      <c r="G123" s="1" t="s">
        <v>410</v>
      </c>
      <c r="H123" s="1" t="s">
        <v>13</v>
      </c>
    </row>
    <row r="124">
      <c r="A124" s="1">
        <v>122.0</v>
      </c>
      <c r="B124" s="1" t="s">
        <v>298</v>
      </c>
      <c r="C124" s="1" t="s">
        <v>411</v>
      </c>
      <c r="D124" s="1" t="s">
        <v>412</v>
      </c>
      <c r="E124" s="2" t="str">
        <f>IFERROR(__xludf.DUMMYFUNCTION("GOOGLETRANSLATE(C124, ""en"", ""th"")"),"ระบุเขตและภูมิภาคสำหรับรหัสสินเชื่อ '4990'")</f>
        <v>ระบุเขตและภูมิภาคสำหรับรหัสสินเชื่อ '4990'</v>
      </c>
      <c r="F124" s="1" t="s">
        <v>413</v>
      </c>
      <c r="G124" s="1" t="s">
        <v>414</v>
      </c>
      <c r="H124" s="1" t="s">
        <v>13</v>
      </c>
    </row>
    <row r="125">
      <c r="A125" s="1">
        <v>123.0</v>
      </c>
      <c r="B125" s="1" t="s">
        <v>298</v>
      </c>
      <c r="C125" s="1" t="s">
        <v>415</v>
      </c>
      <c r="D125" s="1" t="s">
        <v>416</v>
      </c>
      <c r="E125" s="2" t="str">
        <f>IFERROR(__xludf.DUMMYFUNCTION("GOOGLETRANSLATE(C125, ""en"", ""th"")"),"ระบุรหัสบัญชี เขต และภูมิภาคสำหรับวงเงินกู้ที่มากกว่า 300,000 เหรียญสหรัฐ")</f>
        <v>ระบุรหัสบัญชี เขต และภูมิภาคสำหรับวงเงินกู้ที่มากกว่า 300,000 เหรียญสหรัฐ</v>
      </c>
      <c r="F125" s="1" t="s">
        <v>417</v>
      </c>
      <c r="G125" s="1" t="s">
        <v>418</v>
      </c>
      <c r="H125" s="1" t="s">
        <v>13</v>
      </c>
    </row>
    <row r="126">
      <c r="A126" s="1">
        <v>124.0</v>
      </c>
      <c r="B126" s="1" t="s">
        <v>298</v>
      </c>
      <c r="C126" s="1" t="s">
        <v>419</v>
      </c>
      <c r="D126" s="1" t="s">
        <v>420</v>
      </c>
      <c r="E126" s="2" t="str">
        <f>IFERROR(__xludf.DUMMYFUNCTION("GOOGLETRANSLATE(C126, ""en"", ""th"")"),"ระบุรหัสสินเชื่อ เขต และเงินเดือนเฉลี่ยสำหรับการกู้ยืม โดยมีระยะเวลา 60 เดือน")</f>
        <v>ระบุรหัสสินเชื่อ เขต และเงินเดือนเฉลี่ยสำหรับการกู้ยืม โดยมีระยะเวลา 60 เดือน</v>
      </c>
      <c r="F126" s="1" t="s">
        <v>421</v>
      </c>
      <c r="G126" s="1" t="s">
        <v>422</v>
      </c>
      <c r="H126" s="1" t="s">
        <v>13</v>
      </c>
    </row>
    <row r="127">
      <c r="A127" s="1">
        <v>125.0</v>
      </c>
      <c r="B127" s="1" t="s">
        <v>298</v>
      </c>
      <c r="C127" s="1" t="s">
        <v>423</v>
      </c>
      <c r="D127" s="1" t="s">
        <v>424</v>
      </c>
      <c r="E127" s="2" t="str">
        <f>IFERROR(__xludf.DUMMYFUNCTION("GOOGLETRANSLATE(C127, ""en"", ""th"")"),"สำหรับสัญญาเงินกู้ที่ยังคงดำเนินการอยู่ในกรณีที่ลูกค้ามีหนี้สิน ให้ระบุเขตของ และระบุเปอร์เซ็นต์อัตราการว่างงานที่เพิ่มขึ้นตั้งแต่ปี 1995 ถึง 1996")</f>
        <v>สำหรับสัญญาเงินกู้ที่ยังคงดำเนินการอยู่ในกรณีที่ลูกค้ามีหนี้สิน ให้ระบุเขตของ และระบุเปอร์เซ็นต์อัตราการว่างงานที่เพิ่มขึ้นตั้งแต่ปี 1995 ถึง 1996</v>
      </c>
      <c r="F127" s="1" t="s">
        <v>425</v>
      </c>
      <c r="G127" s="1" t="s">
        <v>426</v>
      </c>
      <c r="H127" s="1" t="s">
        <v>101</v>
      </c>
    </row>
    <row r="128">
      <c r="A128" s="1">
        <v>126.0</v>
      </c>
      <c r="B128" s="1" t="s">
        <v>298</v>
      </c>
      <c r="C128" s="1" t="s">
        <v>427</v>
      </c>
      <c r="D128" s="1" t="s">
        <v>428</v>
      </c>
      <c r="E128" s="2" t="str">
        <f>IFERROR(__xludf.DUMMYFUNCTION("GOOGLETRANSLATE(C128, ""en"", ""th"")"),"คำนวณเปอร์เซ็นต์ของบัญชีจากเขต 'Decin' สำหรับบัญชีทั้งหมดที่เปิดในปี 1993")</f>
        <v>คำนวณเปอร์เซ็นต์ของบัญชีจากเขต 'Decin' สำหรับบัญชีทั้งหมดที่เปิดในปี 1993</v>
      </c>
      <c r="F128" s="1" t="s">
        <v>429</v>
      </c>
      <c r="G128" s="1" t="s">
        <v>430</v>
      </c>
      <c r="H128" s="1" t="s">
        <v>13</v>
      </c>
    </row>
    <row r="129">
      <c r="A129" s="1">
        <v>127.0</v>
      </c>
      <c r="B129" s="1" t="s">
        <v>298</v>
      </c>
      <c r="C129" s="1" t="s">
        <v>431</v>
      </c>
      <c r="D129" s="3" t="s">
        <v>432</v>
      </c>
      <c r="E129" s="2" t="str">
        <f>IFERROR(__xludf.DUMMYFUNCTION("GOOGLETRANSLATE(C129, ""en"", ""th"")"),"แสดงรายการรหัสบัญชีพร้อมการออกใบแจ้งยอดรายเดือน")</f>
        <v>แสดงรายการรหัสบัญชีพร้อมการออกใบแจ้งยอดรายเดือน</v>
      </c>
      <c r="F129" s="1" t="s">
        <v>433</v>
      </c>
      <c r="G129" s="1" t="s">
        <v>434</v>
      </c>
      <c r="H129" s="1" t="s">
        <v>13</v>
      </c>
    </row>
    <row r="130">
      <c r="A130" s="1">
        <v>128.0</v>
      </c>
      <c r="B130" s="1" t="s">
        <v>298</v>
      </c>
      <c r="C130" s="1" t="s">
        <v>435</v>
      </c>
      <c r="D130" s="1" t="s">
        <v>436</v>
      </c>
      <c r="E130" s="2" t="str">
        <f>IFERROR(__xludf.DUMMYFUNCTION("GOOGLETRANSLATE(C130, ""en"", ""th"")"),"รายชื่อเขตเก้าอันดับแรก เรียงตามจำนวนผู้ถือบัญชีหญิงจากมากไปน้อยจากมากไปน้อย")</f>
        <v>รายชื่อเขตเก้าอันดับแรก เรียงตามจำนวนผู้ถือบัญชีหญิงจากมากไปน้อยจากมากไปน้อย</v>
      </c>
      <c r="F130" s="1" t="s">
        <v>437</v>
      </c>
      <c r="G130" s="1" t="s">
        <v>438</v>
      </c>
      <c r="H130" s="1" t="s">
        <v>18</v>
      </c>
    </row>
    <row r="131">
      <c r="A131" s="1">
        <v>129.0</v>
      </c>
      <c r="B131" s="1" t="s">
        <v>298</v>
      </c>
      <c r="C131" s="1" t="s">
        <v>439</v>
      </c>
      <c r="D131" s="1" t="s">
        <v>440</v>
      </c>
      <c r="E131" s="2" t="str">
        <f>IFERROR(__xludf.DUMMYFUNCTION("GOOGLETRANSLATE(C131, ""en"", ""th"")"),"การถอนเงินสิบอันดับแรก (ไม่ใช่บัตรเครดิต) ตามชื่อเขตในเดือนมกราคม 1996 คืออะไร")</f>
        <v>การถอนเงินสิบอันดับแรก (ไม่ใช่บัตรเครดิต) ตามชื่อเขตในเดือนมกราคม 1996 คืออะไร</v>
      </c>
      <c r="F131" s="1" t="s">
        <v>441</v>
      </c>
      <c r="G131" s="1" t="s">
        <v>442</v>
      </c>
      <c r="H131" s="1" t="s">
        <v>18</v>
      </c>
    </row>
    <row r="132">
      <c r="A132" s="1">
        <v>130.0</v>
      </c>
      <c r="B132" s="1" t="s">
        <v>298</v>
      </c>
      <c r="C132" s="1" t="s">
        <v>443</v>
      </c>
      <c r="D132" s="1" t="s">
        <v>444</v>
      </c>
      <c r="E132" s="2" t="str">
        <f>IFERROR(__xludf.DUMMYFUNCTION("GOOGLETRANSLATE(C132, ""en"", ""th"")"),"มีผู้ถือบัญชีในโบฮีเมียใต้กี่คนที่ยังไม่มีบัตรเครดิต")</f>
        <v>มีผู้ถือบัญชีในโบฮีเมียใต้กี่คนที่ยังไม่มีบัตรเครดิต</v>
      </c>
      <c r="F132" s="1" t="s">
        <v>445</v>
      </c>
      <c r="G132" s="1" t="s">
        <v>446</v>
      </c>
      <c r="H132" s="1" t="s">
        <v>18</v>
      </c>
    </row>
    <row r="133">
      <c r="A133" s="1">
        <v>131.0</v>
      </c>
      <c r="B133" s="1" t="s">
        <v>298</v>
      </c>
      <c r="C133" s="1" t="s">
        <v>447</v>
      </c>
      <c r="D133" s="1" t="s">
        <v>448</v>
      </c>
      <c r="E133" s="2" t="str">
        <f>IFERROR(__xludf.DUMMYFUNCTION("GOOGLETRANSLATE(C133, ""en"", ""th"")"),"เขตใดมีสินเชื่อที่ใช้งานอยู่สูงสุด?")</f>
        <v>เขตใดมีสินเชื่อที่ใช้งานอยู่สูงสุด?</v>
      </c>
      <c r="F133" s="1" t="s">
        <v>449</v>
      </c>
      <c r="G133" s="1" t="s">
        <v>450</v>
      </c>
      <c r="H133" s="1" t="s">
        <v>18</v>
      </c>
    </row>
    <row r="134">
      <c r="A134" s="1">
        <v>132.0</v>
      </c>
      <c r="B134" s="1" t="s">
        <v>298</v>
      </c>
      <c r="C134" s="1" t="s">
        <v>451</v>
      </c>
      <c r="D134" s="1" t="s">
        <v>452</v>
      </c>
      <c r="E134" s="2" t="str">
        <f>IFERROR(__xludf.DUMMYFUNCTION("GOOGLETRANSLATE(C134, ""en"", ""th"")"),"วงเงินกู้เฉลี่ยของผู้กู้ชายคือเท่าไร?")</f>
        <v>วงเงินกู้เฉลี่ยของผู้กู้ชายคือเท่าไร?</v>
      </c>
      <c r="F134" s="1" t="s">
        <v>453</v>
      </c>
      <c r="G134" s="1" t="s">
        <v>454</v>
      </c>
      <c r="H134" s="1" t="s">
        <v>13</v>
      </c>
    </row>
    <row r="135">
      <c r="A135" s="1">
        <v>133.0</v>
      </c>
      <c r="B135" s="1" t="s">
        <v>298</v>
      </c>
      <c r="C135" s="1" t="s">
        <v>455</v>
      </c>
      <c r="D135" s="1" t="s">
        <v>456</v>
      </c>
      <c r="E135" s="2" t="str">
        <f>IFERROR(__xludf.DUMMYFUNCTION("GOOGLETRANSLATE(C135, ""en"", ""th"")"),"ในปี 2539 เขตใดมีอัตราการว่างงานสูงสุด? ระบุที่ตั้งสาขาและชื่ออำเภอ")</f>
        <v>ในปี 2539 เขตใดมีอัตราการว่างงานสูงสุด? ระบุที่ตั้งสาขาและชื่ออำเภอ</v>
      </c>
      <c r="F135" s="1" t="s">
        <v>457</v>
      </c>
      <c r="G135" s="1" t="s">
        <v>458</v>
      </c>
      <c r="H135" s="1" t="s">
        <v>13</v>
      </c>
    </row>
    <row r="136">
      <c r="A136" s="1">
        <v>134.0</v>
      </c>
      <c r="B136" s="1" t="s">
        <v>298</v>
      </c>
      <c r="C136" s="1" t="s">
        <v>459</v>
      </c>
      <c r="D136" s="1" t="s">
        <v>460</v>
      </c>
      <c r="E136" s="2" t="str">
        <f>IFERROR(__xludf.DUMMYFUNCTION("GOOGLETRANSLATE(C136, ""en"", ""th"")"),"ในสาขาที่มีการก่ออาชญากรรมมากที่สุดในปี 2539 มีการเปิดบัญชีกี่บัญชี?")</f>
        <v>ในสาขาที่มีการก่ออาชญากรรมมากที่สุดในปี 2539 มีการเปิดบัญชีกี่บัญชี?</v>
      </c>
      <c r="F136" s="1" t="s">
        <v>461</v>
      </c>
      <c r="G136" s="1" t="s">
        <v>462</v>
      </c>
      <c r="H136" s="1" t="s">
        <v>13</v>
      </c>
    </row>
    <row r="137">
      <c r="A137" s="1">
        <v>135.0</v>
      </c>
      <c r="B137" s="1" t="s">
        <v>298</v>
      </c>
      <c r="C137" s="1" t="s">
        <v>463</v>
      </c>
      <c r="D137" s="1" t="s">
        <v>464</v>
      </c>
      <c r="E137" s="2" t="str">
        <f>IFERROR(__xludf.DUMMYFUNCTION("GOOGLETRANSLATE(C137, ""en"", ""th"")"),"หลังจากถอนเงินด้วยบัตรเครดิตแล้ว มีบัญชีที่ออกรายเดือนจำนวนเท่าใดจึงมียอดติดลบ")</f>
        <v>หลังจากถอนเงินด้วยบัตรเครดิตแล้ว มีบัญชีที่ออกรายเดือนจำนวนเท่าใดจึงมียอดติดลบ</v>
      </c>
      <c r="F137" s="1" t="s">
        <v>465</v>
      </c>
      <c r="G137" s="1" t="s">
        <v>466</v>
      </c>
      <c r="H137" s="1" t="s">
        <v>18</v>
      </c>
    </row>
    <row r="138">
      <c r="A138" s="1">
        <v>136.0</v>
      </c>
      <c r="B138" s="1" t="s">
        <v>298</v>
      </c>
      <c r="C138" s="1" t="s">
        <v>467</v>
      </c>
      <c r="D138" s="1" t="s">
        <v>468</v>
      </c>
      <c r="E138" s="2" t="str">
        <f>IFERROR(__xludf.DUMMYFUNCTION("GOOGLETRANSLATE(C138, ""en"", ""th"")"),"ในระหว่างวันที่ 1/1/2538 ถึง 31/12/2540 ได้รับอนุมัติสินเชื่อจำนวนไม่ต่ำกว่า 250,000 ต่อบัญชีที่เลือกออกใบแจ้งยอดบัญชีรายเดือนจำนวนเท่าใด")</f>
        <v>ในระหว่างวันที่ 1/1/2538 ถึง 31/12/2540 ได้รับอนุมัติสินเชื่อจำนวนไม่ต่ำกว่า 250,000 ต่อบัญชีที่เลือกออกใบแจ้งยอดบัญชีรายเดือนจำนวนเท่าใด</v>
      </c>
      <c r="F138" s="1" t="s">
        <v>469</v>
      </c>
      <c r="G138" s="1" t="s">
        <v>470</v>
      </c>
      <c r="H138" s="1" t="s">
        <v>18</v>
      </c>
    </row>
    <row r="139">
      <c r="A139" s="1">
        <v>137.0</v>
      </c>
      <c r="B139" s="1" t="s">
        <v>298</v>
      </c>
      <c r="C139" s="1" t="s">
        <v>471</v>
      </c>
      <c r="D139" s="1" t="s">
        <v>472</v>
      </c>
      <c r="E139" s="2" t="str">
        <f>IFERROR(__xludf.DUMMYFUNCTION("GOOGLETRANSLATE(C139, ""en"", ""th"")"),"มีกี่บัญชีที่ทำสัญญาอยู่ในสาขาที่ 1")</f>
        <v>มีกี่บัญชีที่ทำสัญญาอยู่ในสาขาที่ 1</v>
      </c>
      <c r="F139" s="1" t="s">
        <v>473</v>
      </c>
      <c r="G139" s="1" t="s">
        <v>474</v>
      </c>
      <c r="H139" s="1" t="s">
        <v>18</v>
      </c>
    </row>
    <row r="140">
      <c r="A140" s="1">
        <v>138.0</v>
      </c>
      <c r="B140" s="1" t="s">
        <v>298</v>
      </c>
      <c r="C140" s="1" t="s">
        <v>475</v>
      </c>
      <c r="D140" s="1" t="s">
        <v>476</v>
      </c>
      <c r="E140" s="2" t="str">
        <f>IFERROR(__xludf.DUMMYFUNCTION("GOOGLETRANSLATE(C140, ""en"", ""th"")"),"ในสาขาที่มีการก่ออาชญากรรมมากเป็นอันดับสองในปี 2538 มีลูกค้าชายกี่คน?")</f>
        <v>ในสาขาที่มีการก่ออาชญากรรมมากเป็นอันดับสองในปี 2538 มีลูกค้าชายกี่คน?</v>
      </c>
      <c r="F140" s="1" t="s">
        <v>477</v>
      </c>
      <c r="G140" s="1" t="s">
        <v>478</v>
      </c>
      <c r="H140" s="1" t="s">
        <v>18</v>
      </c>
    </row>
    <row r="141">
      <c r="A141" s="1">
        <v>139.0</v>
      </c>
      <c r="B141" s="1" t="s">
        <v>298</v>
      </c>
      <c r="C141" s="1" t="s">
        <v>479</v>
      </c>
      <c r="D141" s="1" t="s">
        <v>480</v>
      </c>
      <c r="E141" s="2" t="str">
        <f>IFERROR(__xludf.DUMMYFUNCTION("GOOGLETRANSLATE(C141, ""en"", ""th"")"),"บัตรเครดิตระดับสูงมีรูปแบบ ""OWNER"" กี่ใบ?")</f>
        <v>บัตรเครดิตระดับสูงมีรูปแบบ "OWNER" กี่ใบ?</v>
      </c>
      <c r="F141" s="1" t="s">
        <v>481</v>
      </c>
      <c r="G141" s="1" t="s">
        <v>482</v>
      </c>
      <c r="H141" s="1" t="s">
        <v>13</v>
      </c>
    </row>
    <row r="142">
      <c r="A142" s="1">
        <v>140.0</v>
      </c>
      <c r="B142" s="1" t="s">
        <v>298</v>
      </c>
      <c r="C142" s="1" t="s">
        <v>483</v>
      </c>
      <c r="D142" s="1" t="s">
        <v>484</v>
      </c>
      <c r="E142" s="2" t="str">
        <f>IFERROR(__xludf.DUMMYFUNCTION("GOOGLETRANSLATE(C142, ""en"", ""th"")"),"อำเภอ ""ปิเศก"" มีกี่บัญชี?")</f>
        <v>อำเภอ "ปิเศก" มีกี่บัญชี?</v>
      </c>
      <c r="F142" s="1" t="s">
        <v>485</v>
      </c>
      <c r="G142" s="1" t="s">
        <v>486</v>
      </c>
      <c r="H142" s="1" t="s">
        <v>13</v>
      </c>
    </row>
    <row r="143">
      <c r="A143" s="1">
        <v>141.0</v>
      </c>
      <c r="B143" s="1" t="s">
        <v>298</v>
      </c>
      <c r="C143" s="1" t="s">
        <v>487</v>
      </c>
      <c r="E143" s="2" t="str">
        <f>IFERROR(__xludf.DUMMYFUNCTION("GOOGLETRANSLATE(C143, ""en"", ""th"")"),"เขตใดมีการทำธุรกรรมมากกว่า 10,000 เหรียญสหรัฐในปี 1997")</f>
        <v>เขตใดมีการทำธุรกรรมมากกว่า 10,000 เหรียญสหรัฐในปี 1997</v>
      </c>
      <c r="G143" s="1" t="s">
        <v>488</v>
      </c>
      <c r="H143" s="1" t="s">
        <v>13</v>
      </c>
    </row>
    <row r="144">
      <c r="A144" s="1">
        <v>142.0</v>
      </c>
      <c r="B144" s="1" t="s">
        <v>298</v>
      </c>
      <c r="C144" s="1" t="s">
        <v>489</v>
      </c>
      <c r="D144" s="1" t="s">
        <v>490</v>
      </c>
      <c r="E144" s="2" t="str">
        <f>IFERROR(__xludf.DUMMYFUNCTION("GOOGLETRANSLATE(C144, ""en"", ""th"")"),"บัญชีใดที่ส่งคำสั่งซื้อการจ่ายเงินครัวเรือนในจังหวัด Pisek")</f>
        <v>บัญชีใดที่ส่งคำสั่งซื้อการจ่ายเงินครัวเรือนในจังหวัด Pisek</v>
      </c>
      <c r="F144" s="1" t="s">
        <v>491</v>
      </c>
      <c r="G144" s="1" t="s">
        <v>492</v>
      </c>
      <c r="H144" s="1" t="s">
        <v>13</v>
      </c>
    </row>
    <row r="145">
      <c r="A145" s="1">
        <v>143.0</v>
      </c>
      <c r="B145" s="1" t="s">
        <v>298</v>
      </c>
      <c r="C145" s="1" t="s">
        <v>493</v>
      </c>
      <c r="E145" s="2" t="str">
        <f>IFERROR(__xludf.DUMMYFUNCTION("GOOGLETRANSLATE(C145, ""en"", ""th"")"),"บัญชีที่มีบัตรเครดิตทองมีอะไรบ้าง?")</f>
        <v>บัญชีที่มีบัตรเครดิตทองมีอะไรบ้าง?</v>
      </c>
      <c r="G145" s="1" t="s">
        <v>494</v>
      </c>
      <c r="H145" s="1" t="s">
        <v>13</v>
      </c>
    </row>
    <row r="146">
      <c r="A146" s="1">
        <v>144.0</v>
      </c>
      <c r="B146" s="1" t="s">
        <v>298</v>
      </c>
      <c r="C146" s="1" t="s">
        <v>495</v>
      </c>
      <c r="D146" s="1" t="s">
        <v>496</v>
      </c>
      <c r="E146" s="2" t="str">
        <f>IFERROR(__xludf.DUMMYFUNCTION("GOOGLETRANSLATE(C146, ""en"", ""th"")"),"เจ้าของบัญชีใช้บัตรเครดิตโดยเฉลี่ยในหนึ่งเดือนในปี 2564 เท่าไหร่?")</f>
        <v>เจ้าของบัญชีใช้บัตรเครดิตโดยเฉลี่ยในหนึ่งเดือนในปี 2564 เท่าไหร่?</v>
      </c>
      <c r="F146" s="1" t="s">
        <v>497</v>
      </c>
      <c r="G146" s="1" t="s">
        <v>498</v>
      </c>
      <c r="H146" s="1" t="s">
        <v>18</v>
      </c>
    </row>
    <row r="147">
      <c r="A147" s="1">
        <v>145.0</v>
      </c>
      <c r="B147" s="1" t="s">
        <v>298</v>
      </c>
      <c r="C147" s="1" t="s">
        <v>499</v>
      </c>
      <c r="D147" s="1" t="s">
        <v>500</v>
      </c>
      <c r="E147" s="2" t="str">
        <f>IFERROR(__xludf.DUMMYFUNCTION("GOOGLETRANSLATE(C147, ""en"", ""th"")"),"เลขประจำตัวเจ้าของบัญชีที่มียอดการทำธุรกรรมผ่านบัตรเครดิตน้อยกว่าค่าเฉลี่ยในปี 2541 คือใคร?")</f>
        <v>เลขประจำตัวเจ้าของบัญชีที่มียอดการทำธุรกรรมผ่านบัตรเครดิตน้อยกว่าค่าเฉลี่ยในปี 2541 คือใคร?</v>
      </c>
      <c r="F147" s="1" t="s">
        <v>497</v>
      </c>
      <c r="G147" s="1" t="s">
        <v>501</v>
      </c>
      <c r="H147" s="1" t="s">
        <v>18</v>
      </c>
    </row>
    <row r="148">
      <c r="A148" s="1">
        <v>146.0</v>
      </c>
      <c r="B148" s="1" t="s">
        <v>298</v>
      </c>
      <c r="C148" s="1" t="s">
        <v>502</v>
      </c>
      <c r="D148" s="1" t="s">
        <v>503</v>
      </c>
      <c r="E148" s="2" t="str">
        <f>IFERROR(__xludf.DUMMYFUNCTION("GOOGLETRANSLATE(C148, ""en"", ""th"")"),"ใครคือผู้ถือบัญชีเพศหญิงที่มีบัตรเครดิตและมีสินเชื่อด้วย?")</f>
        <v>ใครคือผู้ถือบัญชีเพศหญิงที่มีบัตรเครดิตและมีสินเชื่อด้วย?</v>
      </c>
      <c r="F148" s="1" t="s">
        <v>504</v>
      </c>
      <c r="G148" s="1" t="s">
        <v>505</v>
      </c>
      <c r="H148" s="1" t="s">
        <v>13</v>
      </c>
    </row>
    <row r="149">
      <c r="A149" s="1">
        <v>147.0</v>
      </c>
      <c r="B149" s="1" t="s">
        <v>298</v>
      </c>
      <c r="C149" s="1" t="s">
        <v>506</v>
      </c>
      <c r="D149" s="1" t="s">
        <v>507</v>
      </c>
      <c r="E149" s="2" t="str">
        <f>IFERROR(__xludf.DUMMYFUNCTION("GOOGLETRANSLATE(C149, ""en"", ""th"")"),"บัญชีลูกค้าผู้หญิงจำนวนกี่บัญชีในภูมิภาคโบฮีเมียใต้")</f>
        <v>บัญชีลูกค้าผู้หญิงจำนวนกี่บัญชีในภูมิภาคโบฮีเมียใต้</v>
      </c>
      <c r="F149" s="1" t="s">
        <v>508</v>
      </c>
      <c r="G149" s="1" t="s">
        <v>509</v>
      </c>
      <c r="H149" s="1" t="s">
        <v>13</v>
      </c>
    </row>
    <row r="150">
      <c r="A150" s="1">
        <v>148.0</v>
      </c>
      <c r="B150" s="1" t="s">
        <v>298</v>
      </c>
      <c r="C150" s="1" t="s">
        <v>510</v>
      </c>
      <c r="D150" s="1" t="s">
        <v>511</v>
      </c>
      <c r="E150" s="2" t="str">
        <f>IFERROR(__xludf.DUMMYFUNCTION("GOOGLETRANSLATE(C150, ""en"", ""th"")"),"โปรดระบุบัญชีที่มีอำเภอเป็นตะโพนที่มีสิทธิ์ได้รับสินเชื่อ")</f>
        <v>โปรดระบุบัญชีที่มีอำเภอเป็นตะโพนที่มีสิทธิ์ได้รับสินเชื่อ</v>
      </c>
      <c r="F150" s="1" t="s">
        <v>512</v>
      </c>
      <c r="G150" s="1" t="s">
        <v>513</v>
      </c>
      <c r="H150" s="1" t="s">
        <v>18</v>
      </c>
    </row>
    <row r="151">
      <c r="A151" s="1">
        <v>149.0</v>
      </c>
      <c r="B151" s="1" t="s">
        <v>298</v>
      </c>
      <c r="C151" s="1" t="s">
        <v>514</v>
      </c>
      <c r="D151" s="1" t="s">
        <v>515</v>
      </c>
      <c r="E151" s="2" t="str">
        <f>IFERROR(__xludf.DUMMYFUNCTION("GOOGLETRANSLATE(C151, ""en"", ""th"")"),"โปรดระบุประเภทบัญชีที่ไม่มีสิทธิ์ได้รับสินเชื่อ และรายได้เฉลี่ยของผู้อยู่อาศัยในเขตที่บัญชีตั้งอยู่เกิน $8000 แต่ไม่เกิน $9000")</f>
        <v>โปรดระบุประเภทบัญชีที่ไม่มีสิทธิ์ได้รับสินเชื่อ และรายได้เฉลี่ยของผู้อยู่อาศัยในเขตที่บัญชีตั้งอยู่เกิน $8000 แต่ไม่เกิน $9000</v>
      </c>
      <c r="F151" s="1" t="s">
        <v>516</v>
      </c>
      <c r="G151" s="1" t="s">
        <v>517</v>
      </c>
      <c r="H151" s="1" t="s">
        <v>101</v>
      </c>
    </row>
    <row r="152">
      <c r="A152" s="1">
        <v>150.0</v>
      </c>
      <c r="B152" s="1" t="s">
        <v>298</v>
      </c>
      <c r="C152" s="1" t="s">
        <v>518</v>
      </c>
      <c r="D152" s="1" t="s">
        <v>519</v>
      </c>
      <c r="E152" s="2" t="str">
        <f>IFERROR(__xludf.DUMMYFUNCTION("GOOGLETRANSLATE(C152, ""en"", ""th"")"),"มีบัญชีกี่บัญชีในโบฮีเมียเหนือที่ทำธุรกรรมกับธนาคารของพันธมิตรที่เป็น AB")</f>
        <v>มีบัญชีกี่บัญชีในโบฮีเมียเหนือที่ทำธุรกรรมกับธนาคารของพันธมิตรที่เป็น AB</v>
      </c>
      <c r="F152" s="1" t="s">
        <v>520</v>
      </c>
      <c r="G152" s="1" t="s">
        <v>521</v>
      </c>
      <c r="H152" s="1" t="s">
        <v>18</v>
      </c>
    </row>
    <row r="153">
      <c r="A153" s="1">
        <v>151.0</v>
      </c>
      <c r="B153" s="1" t="s">
        <v>298</v>
      </c>
      <c r="C153" s="1" t="s">
        <v>522</v>
      </c>
      <c r="D153" s="1" t="s">
        <v>523</v>
      </c>
      <c r="E153" s="2" t="str">
        <f>IFERROR(__xludf.DUMMYFUNCTION("GOOGLETRANSLATE(C153, ""en"", ""th"")"),"โปรดระบุชื่อเขตพร้อมบัญชีที่ทำธุรกรรมการถอนเงิน")</f>
        <v>โปรดระบุชื่อเขตพร้อมบัญชีที่ทำธุรกรรมการถอนเงิน</v>
      </c>
      <c r="F153" s="1" t="s">
        <v>524</v>
      </c>
      <c r="G153" s="1" t="s">
        <v>525</v>
      </c>
      <c r="H153" s="1" t="s">
        <v>18</v>
      </c>
    </row>
    <row r="154">
      <c r="A154" s="1">
        <v>152.0</v>
      </c>
      <c r="B154" s="1" t="s">
        <v>298</v>
      </c>
      <c r="C154" s="1" t="s">
        <v>526</v>
      </c>
      <c r="D154" s="1" t="s">
        <v>527</v>
      </c>
      <c r="E154" s="2" t="str">
        <f>IFERROR(__xludf.DUMMYFUNCTION("GOOGLETRANSLATE(C154, ""en"", ""th"")"),"จำนวนอาชญากรรมโดยเฉลี่ยที่เกิดขึ้นในปี 1995 ในภูมิภาคที่มีจำนวนเกิน 4,000 คดี และภูมิภาคนี้มีบัญชีที่เปิดตั้งแต่ปี 1997 เป็นเท่าใด")</f>
        <v>จำนวนอาชญากรรมโดยเฉลี่ยที่เกิดขึ้นในปี 1995 ในภูมิภาคที่มีจำนวนเกิน 4,000 คดี และภูมิภาคนี้มีบัญชีที่เปิดตั้งแต่ปี 1997 เป็นเท่าใด</v>
      </c>
      <c r="F154" s="1" t="s">
        <v>528</v>
      </c>
      <c r="G154" s="1" t="s">
        <v>529</v>
      </c>
      <c r="H154" s="1" t="s">
        <v>18</v>
      </c>
    </row>
    <row r="155">
      <c r="A155" s="1">
        <v>153.0</v>
      </c>
      <c r="B155" s="1" t="s">
        <v>298</v>
      </c>
      <c r="C155" s="1" t="s">
        <v>530</v>
      </c>
      <c r="D155" s="1" t="s">
        <v>531</v>
      </c>
      <c r="E155" s="2" t="str">
        <f>IFERROR(__xludf.DUMMYFUNCTION("GOOGLETRANSLATE(C155, ""en"", ""th"")"),"บัตร 'คลาสสิก' กี่ใบที่มีสิทธิ์กู้ยืม")</f>
        <v>บัตร 'คลาสสิก' กี่ใบที่มีสิทธิ์กู้ยืม</v>
      </c>
      <c r="F155" s="1" t="s">
        <v>532</v>
      </c>
      <c r="G155" s="1" t="s">
        <v>533</v>
      </c>
      <c r="H155" s="1" t="s">
        <v>13</v>
      </c>
    </row>
    <row r="156">
      <c r="A156" s="1">
        <v>154.0</v>
      </c>
      <c r="B156" s="1" t="s">
        <v>298</v>
      </c>
      <c r="C156" s="1" t="s">
        <v>534</v>
      </c>
      <c r="D156" s="1" t="s">
        <v>535</v>
      </c>
      <c r="E156" s="2" t="str">
        <f>IFERROR(__xludf.DUMMYFUNCTION("GOOGLETRANSLATE(C156, ""en"", ""th"")"),"ลูกค้าชายกี่คนใน 'Hl.m. อำเภอพระห้า?")</f>
        <v>ลูกค้าชายกี่คนใน 'Hl.m. อำเภอพระห้า?</v>
      </c>
      <c r="F156" s="1" t="s">
        <v>536</v>
      </c>
      <c r="G156" s="1" t="s">
        <v>537</v>
      </c>
      <c r="H156" s="1" t="s">
        <v>13</v>
      </c>
    </row>
    <row r="157">
      <c r="A157" s="1">
        <v>155.0</v>
      </c>
      <c r="B157" s="1" t="s">
        <v>298</v>
      </c>
      <c r="C157" s="1" t="s">
        <v>538</v>
      </c>
      <c r="D157" s="1" t="s">
        <v>539</v>
      </c>
      <c r="E157" s="2" t="str">
        <f>IFERROR(__xludf.DUMMYFUNCTION("GOOGLETRANSLATE(C157, ""en"", ""th"")"),"ก่อนปี 1998 มีการออกบัตร 'ทองคำ' กี่เปอร์เซ็นต์")</f>
        <v>ก่อนปี 1998 มีการออกบัตร 'ทองคำ' กี่เปอร์เซ็นต์</v>
      </c>
      <c r="F157" s="1" t="s">
        <v>540</v>
      </c>
      <c r="G157" s="1" t="s">
        <v>541</v>
      </c>
      <c r="H157" s="1" t="s">
        <v>13</v>
      </c>
    </row>
    <row r="158">
      <c r="A158" s="1">
        <v>156.0</v>
      </c>
      <c r="B158" s="1" t="s">
        <v>298</v>
      </c>
      <c r="C158" s="1" t="s">
        <v>542</v>
      </c>
      <c r="E158" s="2" t="str">
        <f>IFERROR(__xludf.DUMMYFUNCTION("GOOGLETRANSLATE(C158, ""en"", ""th"")"),"ใครคือเจ้าของบัญชีที่มีวงเงินกู้มากที่สุด?")</f>
        <v>ใครคือเจ้าของบัญชีที่มีวงเงินกู้มากที่สุด?</v>
      </c>
      <c r="G158" s="1" t="s">
        <v>543</v>
      </c>
      <c r="H158" s="1" t="s">
        <v>13</v>
      </c>
    </row>
    <row r="159">
      <c r="A159" s="1">
        <v>157.0</v>
      </c>
      <c r="B159" s="1" t="s">
        <v>298</v>
      </c>
      <c r="C159" s="1" t="s">
        <v>544</v>
      </c>
      <c r="D159" s="1" t="s">
        <v>545</v>
      </c>
      <c r="E159" s="2" t="str">
        <f>IFERROR(__xludf.DUMMYFUNCTION("GOOGLETRANSLATE(C159, ""en"", ""th"")"),"ก่ออาชญากรรมในปี 2538 ในเขตบัญชีหมายเลข 532 มีจำนวนเท่าใด?")</f>
        <v>ก่ออาชญากรรมในปี 2538 ในเขตบัญชีหมายเลข 532 มีจำนวนเท่าใด?</v>
      </c>
      <c r="F159" s="1" t="s">
        <v>546</v>
      </c>
      <c r="G159" s="1" t="s">
        <v>547</v>
      </c>
      <c r="H159" s="1" t="s">
        <v>13</v>
      </c>
    </row>
    <row r="160">
      <c r="A160" s="1">
        <v>158.0</v>
      </c>
      <c r="B160" s="1" t="s">
        <v>298</v>
      </c>
      <c r="C160" s="1" t="s">
        <v>548</v>
      </c>
      <c r="E160" s="2" t="str">
        <f>IFERROR(__xludf.DUMMYFUNCTION("GOOGLETRANSLATE(C160, ""en"", ""th"")"),"รหัสเขตของบัญชีที่สั่งรหัส 33333 คืออะไร?")</f>
        <v>รหัสเขตของบัญชีที่สั่งรหัส 33333 คืออะไร?</v>
      </c>
      <c r="G160" s="1" t="s">
        <v>549</v>
      </c>
      <c r="H160" s="1" t="s">
        <v>13</v>
      </c>
    </row>
    <row r="161">
      <c r="A161" s="1">
        <v>159.0</v>
      </c>
      <c r="B161" s="1" t="s">
        <v>298</v>
      </c>
      <c r="C161" s="1" t="s">
        <v>550</v>
      </c>
      <c r="D161" s="1" t="s">
        <v>551</v>
      </c>
      <c r="E161" s="2" t="str">
        <f>IFERROR(__xludf.DUMMYFUNCTION("GOOGLETRANSLATE(C161, ""en"", ""th"")"),"แสดงรายการการถอนทั้งหมดในธุรกรรมเงินสดที่ลูกค้าทำด้วยรหัส 3356")</f>
        <v>แสดงรายการการถอนทั้งหมดในธุรกรรมเงินสดที่ลูกค้าทำด้วยรหัส 3356</v>
      </c>
      <c r="F161" s="1" t="s">
        <v>552</v>
      </c>
      <c r="G161" s="1" t="s">
        <v>553</v>
      </c>
      <c r="H161" s="1" t="s">
        <v>13</v>
      </c>
    </row>
    <row r="162">
      <c r="A162" s="1">
        <v>160.0</v>
      </c>
      <c r="B162" s="1" t="s">
        <v>298</v>
      </c>
      <c r="C162" s="1" t="s">
        <v>554</v>
      </c>
      <c r="D162" s="1" t="s">
        <v>555</v>
      </c>
      <c r="E162" s="2" t="str">
        <f>IFERROR(__xludf.DUMMYFUNCTION("GOOGLETRANSLATE(C162, ""en"", ""th"")"),"ในบรรดาบัญชีที่ออกรายสัปดาห์ มีกี่บัญชีที่มีเงินกู้ต่ำกว่า 200,000?")</f>
        <v>ในบรรดาบัญชีที่ออกรายสัปดาห์ มีกี่บัญชีที่มีเงินกู้ต่ำกว่า 200,000?</v>
      </c>
      <c r="F162" s="1" t="s">
        <v>556</v>
      </c>
      <c r="G162" s="1" t="s">
        <v>557</v>
      </c>
      <c r="H162" s="1" t="s">
        <v>13</v>
      </c>
    </row>
    <row r="163">
      <c r="A163" s="1">
        <v>161.0</v>
      </c>
      <c r="B163" s="1" t="s">
        <v>298</v>
      </c>
      <c r="C163" s="1" t="s">
        <v>558</v>
      </c>
      <c r="E163" s="2" t="str">
        <f>IFERROR(__xludf.DUMMYFUNCTION("GOOGLETRANSLATE(C163, ""en"", ""th"")"),"ลูกค้าที่มีรหัส 13539 เป็นเจ้าของบัตรเครดิตประเภทใด")</f>
        <v>ลูกค้าที่มีรหัส 13539 เป็นเจ้าของบัตรเครดิตประเภทใด</v>
      </c>
      <c r="G163" s="1" t="s">
        <v>559</v>
      </c>
      <c r="H163" s="1" t="s">
        <v>13</v>
      </c>
    </row>
    <row r="164">
      <c r="A164" s="1">
        <v>162.0</v>
      </c>
      <c r="B164" s="1" t="s">
        <v>298</v>
      </c>
      <c r="C164" s="1" t="s">
        <v>560</v>
      </c>
      <c r="D164" s="1" t="s">
        <v>561</v>
      </c>
      <c r="E164" s="2" t="str">
        <f>IFERROR(__xludf.DUMMYFUNCTION("GOOGLETRANSLATE(C164, ""en"", ""th"")"),"ลูกค้าที่มีรหัส 3541 มาจากภูมิภาคใด?")</f>
        <v>ลูกค้าที่มีรหัส 3541 มาจากภูมิภาคใด?</v>
      </c>
      <c r="F164" s="1" t="s">
        <v>562</v>
      </c>
      <c r="G164" s="1" t="s">
        <v>563</v>
      </c>
      <c r="H164" s="1" t="s">
        <v>13</v>
      </c>
    </row>
    <row r="165">
      <c r="A165" s="1">
        <v>163.0</v>
      </c>
      <c r="B165" s="1" t="s">
        <v>298</v>
      </c>
      <c r="C165" s="1" t="s">
        <v>564</v>
      </c>
      <c r="D165" s="1" t="s">
        <v>565</v>
      </c>
      <c r="E165" s="2" t="str">
        <f>IFERROR(__xludf.DUMMYFUNCTION("GOOGLETRANSLATE(C165, ""en"", ""th"")"),"อำเภอไหนมีบัญชีที่มีสัญญาเงินกู้ครบจบไม่มีปัญหามากที่สุด?")</f>
        <v>อำเภอไหนมีบัญชีที่มีสัญญาเงินกู้ครบจบไม่มีปัญหามากที่สุด?</v>
      </c>
      <c r="F165" s="1" t="s">
        <v>566</v>
      </c>
      <c r="G165" s="1" t="s">
        <v>567</v>
      </c>
      <c r="H165" s="1" t="s">
        <v>18</v>
      </c>
    </row>
    <row r="166">
      <c r="A166" s="1">
        <v>164.0</v>
      </c>
      <c r="B166" s="1" t="s">
        <v>298</v>
      </c>
      <c r="C166" s="1" t="s">
        <v>568</v>
      </c>
      <c r="E166" s="2" t="str">
        <f>IFERROR(__xludf.DUMMYFUNCTION("GOOGLETRANSLATE(C166, ""en"", ""th"")"),"ใครสั่งรหัส 32423 ไว้บ้างคะ?")</f>
        <v>ใครสั่งรหัส 32423 ไว้บ้างคะ?</v>
      </c>
      <c r="G166" s="1" t="s">
        <v>569</v>
      </c>
      <c r="H166" s="1" t="s">
        <v>13</v>
      </c>
    </row>
    <row r="167">
      <c r="A167" s="1">
        <v>165.0</v>
      </c>
      <c r="B167" s="1" t="s">
        <v>298</v>
      </c>
      <c r="C167" s="1" t="s">
        <v>570</v>
      </c>
      <c r="E167" s="2" t="str">
        <f>IFERROR(__xludf.DUMMYFUNCTION("GOOGLETRANSLATE(C167, ""en"", ""th"")"),"โปรดระบุธุรกรรมทั้งหมดที่ทำโดยบัญชีจากเขต 5")</f>
        <v>โปรดระบุธุรกรรมทั้งหมดที่ทำโดยบัญชีจากเขต 5</v>
      </c>
      <c r="G167" s="1" t="s">
        <v>571</v>
      </c>
      <c r="H167" s="1" t="s">
        <v>13</v>
      </c>
    </row>
    <row r="168">
      <c r="A168" s="1">
        <v>166.0</v>
      </c>
      <c r="B168" s="1" t="s">
        <v>298</v>
      </c>
      <c r="C168" s="1" t="s">
        <v>572</v>
      </c>
      <c r="E168" s="2" t="str">
        <f>IFERROR(__xludf.DUMMYFUNCTION("GOOGLETRANSLATE(C168, ""en"", ""th"")"),"บัญชีมาจากเขตเจเซนิกกี่บัญชี?")</f>
        <v>บัญชีมาจากเขตเจเซนิกกี่บัญชี?</v>
      </c>
      <c r="G168" s="1" t="s">
        <v>573</v>
      </c>
      <c r="H168" s="1" t="s">
        <v>13</v>
      </c>
    </row>
    <row r="169">
      <c r="A169" s="1">
        <v>167.0</v>
      </c>
      <c r="B169" s="1" t="s">
        <v>298</v>
      </c>
      <c r="C169" s="1" t="s">
        <v>574</v>
      </c>
      <c r="D169" s="1" t="s">
        <v>575</v>
      </c>
      <c r="E169" s="2" t="str">
        <f>IFERROR(__xludf.DUMMYFUNCTION("GOOGLETRANSLATE(C169, ""en"", ""th"")"),"ระบุรหัสลูกค้าทั้งหมดที่มีบัตรเครดิตรุ่นเยาว์ออกหลังปี 1996")</f>
        <v>ระบุรหัสลูกค้าทั้งหมดที่มีบัตรเครดิตรุ่นเยาว์ออกหลังปี 1996</v>
      </c>
      <c r="F169" s="1" t="s">
        <v>576</v>
      </c>
      <c r="G169" s="1" t="s">
        <v>577</v>
      </c>
      <c r="H169" s="1" t="s">
        <v>13</v>
      </c>
    </row>
    <row r="170">
      <c r="A170" s="1">
        <v>168.0</v>
      </c>
      <c r="B170" s="1" t="s">
        <v>298</v>
      </c>
      <c r="C170" s="1" t="s">
        <v>578</v>
      </c>
      <c r="D170" s="1" t="s">
        <v>579</v>
      </c>
      <c r="E170" s="2" t="str">
        <f>IFERROR(__xludf.DUMMYFUNCTION("GOOGLETRANSLATE(C170, ""en"", ""th"")"),"ลูกค้าที่เปิดบัญชีในเขตที่มีเงินเดือนเฉลี่ยมากกว่า 10,000 รายเป็นผู้หญิงกี่เปอร์เซ็นต์")</f>
        <v>ลูกค้าที่เปิดบัญชีในเขตที่มีเงินเดือนเฉลี่ยมากกว่า 10,000 รายเป็นผู้หญิงกี่เปอร์เซ็นต์</v>
      </c>
      <c r="F170" s="1" t="s">
        <v>580</v>
      </c>
      <c r="G170" s="1" t="s">
        <v>581</v>
      </c>
      <c r="H170" s="1" t="s">
        <v>18</v>
      </c>
    </row>
    <row r="171">
      <c r="A171" s="1">
        <v>169.0</v>
      </c>
      <c r="B171" s="1" t="s">
        <v>298</v>
      </c>
      <c r="C171" s="1" t="s">
        <v>582</v>
      </c>
      <c r="D171" s="1" t="s">
        <v>583</v>
      </c>
      <c r="E171" s="2" t="str">
        <f>IFERROR(__xludf.DUMMYFUNCTION("GOOGLETRANSLATE(C171, ""en"", ""th"")"),"อัตราการเติบโตของจำนวนสินเชื่อรวมในทุกบัญชีสำหรับลูกค้าชายระหว่างปี 1996 ถึง 1997 เป็นเท่าใด")</f>
        <v>อัตราการเติบโตของจำนวนสินเชื่อรวมในทุกบัญชีสำหรับลูกค้าชายระหว่างปี 1996 ถึง 1997 เป็นเท่าใด</v>
      </c>
      <c r="F171" s="1" t="s">
        <v>584</v>
      </c>
      <c r="G171" s="1" t="s">
        <v>585</v>
      </c>
      <c r="H171" s="1" t="s">
        <v>101</v>
      </c>
    </row>
    <row r="172">
      <c r="A172" s="1">
        <v>170.0</v>
      </c>
      <c r="B172" s="1" t="s">
        <v>298</v>
      </c>
      <c r="C172" s="1" t="s">
        <v>586</v>
      </c>
      <c r="D172" s="1" t="s">
        <v>587</v>
      </c>
      <c r="E172" s="2" t="str">
        <f>IFERROR(__xludf.DUMMYFUNCTION("GOOGLETRANSLATE(C172, ""en"", ""th"")"),"หลังจากปี 1995 มีการบันทึกการถอนเงินด้วยบัตรเครดิตจำนวนเท่าใด")</f>
        <v>หลังจากปี 1995 มีการบันทึกการถอนเงินด้วยบัตรเครดิตจำนวนเท่าใด</v>
      </c>
      <c r="F172" s="1" t="s">
        <v>497</v>
      </c>
      <c r="G172" s="1" t="s">
        <v>588</v>
      </c>
      <c r="H172" s="1" t="s">
        <v>13</v>
      </c>
    </row>
    <row r="173">
      <c r="A173" s="1">
        <v>171.0</v>
      </c>
      <c r="B173" s="1" t="s">
        <v>298</v>
      </c>
      <c r="C173" s="1" t="s">
        <v>589</v>
      </c>
      <c r="D173" s="1" t="s">
        <v>590</v>
      </c>
      <c r="E173" s="2" t="str">
        <f>IFERROR(__xludf.DUMMYFUNCTION("GOOGLETRANSLATE(C173, ""en"", ""th"")"),"จำนวนอาชญากรรมที่เกิดขึ้นในโบฮีเมียตะวันออกและโบฮีเมียเหนือในปี 1996 แตกต่างกันอย่างไร")</f>
        <v>จำนวนอาชญากรรมที่เกิดขึ้นในโบฮีเมียตะวันออกและโบฮีเมียเหนือในปี 1996 แตกต่างกันอย่างไร</v>
      </c>
      <c r="F173" s="1" t="s">
        <v>591</v>
      </c>
      <c r="G173" s="1" t="s">
        <v>592</v>
      </c>
      <c r="H173" s="1" t="s">
        <v>18</v>
      </c>
    </row>
    <row r="174">
      <c r="A174" s="1">
        <v>172.0</v>
      </c>
      <c r="B174" s="1" t="s">
        <v>298</v>
      </c>
      <c r="C174" s="1" t="s">
        <v>593</v>
      </c>
      <c r="E174" s="2" t="str">
        <f>IFERROR(__xludf.DUMMYFUNCTION("GOOGLETRANSLATE(C174, ""en"", ""th"")"),"มีการจัดการเจ้าของและผู้คัดค้านตั้งแต่บัญชีหมายเลข 1 ถึงบัญชีหมายเลข 10 จำนวนเท่าใด")</f>
        <v>มีการจัดการเจ้าของและผู้คัดค้านตั้งแต่บัญชีหมายเลข 1 ถึงบัญชีหมายเลข 10 จำนวนเท่าใด</v>
      </c>
      <c r="G174" s="1" t="s">
        <v>594</v>
      </c>
      <c r="H174" s="1" t="s">
        <v>13</v>
      </c>
    </row>
    <row r="175">
      <c r="A175" s="1">
        <v>173.0</v>
      </c>
      <c r="B175" s="1" t="s">
        <v>298</v>
      </c>
      <c r="C175" s="1" t="s">
        <v>595</v>
      </c>
      <c r="D175" s="1" t="s">
        <v>596</v>
      </c>
      <c r="E175" s="2" t="str">
        <f>IFERROR(__xludf.DUMMYFUNCTION("GOOGLETRANSLATE(C175, ""en"", ""th"")"),"บัญชีหมายเลข 3 ร้องขอให้ออกใบแจ้งยอดบัญชีบ่อยแค่ไหน? จุดประสงค์ในการหักเงิน 3539 รวมคืออะไร?")</f>
        <v>บัญชีหมายเลข 3 ร้องขอให้ออกใบแจ้งยอดบัญชีบ่อยแค่ไหน? จุดประสงค์ในการหักเงิน 3539 รวมคืออะไร?</v>
      </c>
      <c r="F175" s="1" t="s">
        <v>597</v>
      </c>
      <c r="G175" s="1" t="s">
        <v>598</v>
      </c>
      <c r="H175" s="1" t="s">
        <v>101</v>
      </c>
    </row>
    <row r="176">
      <c r="A176" s="1">
        <v>174.0</v>
      </c>
      <c r="B176" s="1" t="s">
        <v>298</v>
      </c>
      <c r="C176" s="1" t="s">
        <v>599</v>
      </c>
      <c r="E176" s="2" t="str">
        <f>IFERROR(__xludf.DUMMYFUNCTION("GOOGLETRANSLATE(C176, ""en"", ""th"")"),"เจ้าของบัญชีหมายเลข 130 เกิดปีอะไร?")</f>
        <v>เจ้าของบัญชีหมายเลข 130 เกิดปีอะไร?</v>
      </c>
      <c r="G176" s="1" t="s">
        <v>600</v>
      </c>
      <c r="H176" s="1" t="s">
        <v>13</v>
      </c>
    </row>
    <row r="177">
      <c r="A177" s="1">
        <v>175.0</v>
      </c>
      <c r="B177" s="1" t="s">
        <v>298</v>
      </c>
      <c r="C177" s="1" t="s">
        <v>601</v>
      </c>
      <c r="D177" s="1" t="s">
        <v>602</v>
      </c>
      <c r="E177" s="2" t="str">
        <f>IFERROR(__xludf.DUMMYFUNCTION("GOOGLETRANSLATE(C177, ""en"", ""th"")"),"มีกี่บัญชีที่มีการจัดการของเจ้าของและขอให้สร้างใบแจ้งยอดเมื่อทำธุรกรรม?")</f>
        <v>มีกี่บัญชีที่มีการจัดการของเจ้าของและขอให้สร้างใบแจ้งยอดเมื่อทำธุรกรรม?</v>
      </c>
      <c r="F177" s="1" t="s">
        <v>603</v>
      </c>
      <c r="G177" s="1" t="s">
        <v>604</v>
      </c>
      <c r="H177" s="1" t="s">
        <v>18</v>
      </c>
    </row>
    <row r="178">
      <c r="A178" s="1">
        <v>176.0</v>
      </c>
      <c r="B178" s="1" t="s">
        <v>298</v>
      </c>
      <c r="C178" s="1" t="s">
        <v>605</v>
      </c>
      <c r="E178" s="2" t="str">
        <f>IFERROR(__xludf.DUMMYFUNCTION("GOOGLETRANSLATE(C178, ""en"", ""th"")"),"ลูกค้าหมายเลข 992 มีหนี้อยู่จำนวนเท่าใด และลูกค้ารายนี้ชำระเงินอย่างไร?")</f>
        <v>ลูกค้าหมายเลข 992 มีหนี้อยู่จำนวนเท่าใด และลูกค้ารายนี้ชำระเงินอย่างไร?</v>
      </c>
      <c r="G178" s="1" t="s">
        <v>606</v>
      </c>
      <c r="H178" s="1" t="s">
        <v>13</v>
      </c>
    </row>
    <row r="179">
      <c r="A179" s="1">
        <v>177.0</v>
      </c>
      <c r="B179" s="1" t="s">
        <v>298</v>
      </c>
      <c r="C179" s="1" t="s">
        <v>607</v>
      </c>
      <c r="E179" s="2" t="str">
        <f>IFERROR(__xludf.DUMMYFUNCTION("GOOGLETRANSLATE(C179, ""en"", ""th"")"),"จำนวนเงินที่บัญชีลูกค้าหมายเลข 4 มีต่อธุรกรรม 851 คือเท่าใด ใครเป็นเจ้าของบัญชีนี้ ชายหรือหญิง?")</f>
        <v>จำนวนเงินที่บัญชีลูกค้าหมายเลข 4 มีต่อธุรกรรม 851 คือเท่าใด ใครเป็นเจ้าของบัญชีนี้ ชายหรือหญิง?</v>
      </c>
      <c r="G179" s="1" t="s">
        <v>608</v>
      </c>
      <c r="H179" s="1" t="s">
        <v>13</v>
      </c>
    </row>
    <row r="180">
      <c r="A180" s="1">
        <v>178.0</v>
      </c>
      <c r="B180" s="1" t="s">
        <v>298</v>
      </c>
      <c r="C180" s="1" t="s">
        <v>609</v>
      </c>
      <c r="E180" s="2" t="str">
        <f>IFERROR(__xludf.DUMMYFUNCTION("GOOGLETRANSLATE(C180, ""en"", ""th"")"),"ลูกค้าหมายเลข 9 มีบัตรเครดิตประเภทใด?")</f>
        <v>ลูกค้าหมายเลข 9 มีบัตรเครดิตประเภทใด?</v>
      </c>
      <c r="G180" s="1" t="s">
        <v>610</v>
      </c>
      <c r="H180" s="1" t="s">
        <v>13</v>
      </c>
    </row>
    <row r="181">
      <c r="A181" s="1">
        <v>179.0</v>
      </c>
      <c r="B181" s="1" t="s">
        <v>298</v>
      </c>
      <c r="C181" s="1" t="s">
        <v>611</v>
      </c>
      <c r="E181" s="2" t="str">
        <f>IFERROR(__xludf.DUMMYFUNCTION("GOOGLETRANSLATE(C181, ""en"", ""th"")"),"ลูกค้าหมายเลข 617 จ่ายเงินสำหรับธุรกรรมทั้งหมดในปี 1998 ทั้งหมดเท่าไร")</f>
        <v>ลูกค้าหมายเลข 617 จ่ายเงินสำหรับธุรกรรมทั้งหมดในปี 1998 ทั้งหมดเท่าไร</v>
      </c>
      <c r="G181" s="1" t="s">
        <v>612</v>
      </c>
      <c r="H181" s="1" t="s">
        <v>13</v>
      </c>
    </row>
    <row r="182">
      <c r="A182" s="1">
        <v>180.0</v>
      </c>
      <c r="B182" s="1" t="s">
        <v>298</v>
      </c>
      <c r="C182" s="1" t="s">
        <v>613</v>
      </c>
      <c r="E182" s="2" t="str">
        <f>IFERROR(__xludf.DUMMYFUNCTION("GOOGLETRANSLATE(C182, ""en"", ""th"")"),"โปรดระบุรายชื่อลูกค้าที่เกิดระหว่างปี 1983 ถึง 1987 และมีสาขาบัญชีอยู่ในโบฮีเมียตะวันออก พร้อมด้วยบัตรประจำตัวของพวกเขา")</f>
        <v>โปรดระบุรายชื่อลูกค้าที่เกิดระหว่างปี 1983 ถึง 1987 และมีสาขาบัญชีอยู่ในโบฮีเมียตะวันออก พร้อมด้วยบัตรประจำตัวของพวกเขา</v>
      </c>
      <c r="G182" s="1" t="s">
        <v>614</v>
      </c>
      <c r="H182" s="1" t="s">
        <v>18</v>
      </c>
    </row>
    <row r="183">
      <c r="A183" s="1">
        <v>181.0</v>
      </c>
      <c r="B183" s="1" t="s">
        <v>298</v>
      </c>
      <c r="C183" s="1" t="s">
        <v>615</v>
      </c>
      <c r="D183" s="1" t="s">
        <v>503</v>
      </c>
      <c r="E183" s="2" t="str">
        <f>IFERROR(__xludf.DUMMYFUNCTION("GOOGLETRANSLATE(C183, ""en"", ""th"")"),"โปรดระบุรหัสของลูกค้าหญิง 3 รายที่มีสินเชื่อมากที่สุด")</f>
        <v>โปรดระบุรหัสของลูกค้าหญิง 3 รายที่มีสินเชื่อมากที่สุด</v>
      </c>
      <c r="F183" s="1" t="s">
        <v>504</v>
      </c>
      <c r="G183" s="1" t="s">
        <v>616</v>
      </c>
      <c r="H183" s="1" t="s">
        <v>13</v>
      </c>
    </row>
    <row r="184">
      <c r="A184" s="1">
        <v>182.0</v>
      </c>
      <c r="B184" s="1" t="s">
        <v>298</v>
      </c>
      <c r="C184" s="1" t="s">
        <v>617</v>
      </c>
      <c r="D184" s="1" t="s">
        <v>618</v>
      </c>
      <c r="E184" s="2" t="str">
        <f>IFERROR(__xludf.DUMMYFUNCTION("GOOGLETRANSLATE(C184, ""en"", ""th"")"),"มีลูกค้าชายที่เกิดระหว่างปี 1974 ถึง 1976 จำนวนกี่รายที่ชำระเงินค่าบ้านเกิน 4,000 ดอลลาร์")</f>
        <v>มีลูกค้าชายที่เกิดระหว่างปี 1974 ถึง 1976 จำนวนกี่รายที่ชำระเงินค่าบ้านเกิน 4,000 ดอลลาร์</v>
      </c>
      <c r="F184" s="1" t="s">
        <v>619</v>
      </c>
      <c r="G184" s="1" t="s">
        <v>620</v>
      </c>
      <c r="H184" s="1" t="s">
        <v>18</v>
      </c>
    </row>
    <row r="185">
      <c r="A185" s="1">
        <v>183.0</v>
      </c>
      <c r="B185" s="1" t="s">
        <v>298</v>
      </c>
      <c r="C185" s="1" t="s">
        <v>621</v>
      </c>
      <c r="E185" s="2" t="str">
        <f>IFERROR(__xludf.DUMMYFUNCTION("GOOGLETRANSLATE(C185, ""en"", ""th"")"),"มีกี่บัญชีใน Beroun ที่ถูกเปิดหลังปี 1996")</f>
        <v>มีกี่บัญชีใน Beroun ที่ถูกเปิดหลังปี 1996</v>
      </c>
      <c r="G185" s="1" t="s">
        <v>622</v>
      </c>
      <c r="H185" s="1" t="s">
        <v>13</v>
      </c>
    </row>
    <row r="186">
      <c r="A186" s="1">
        <v>184.0</v>
      </c>
      <c r="B186" s="1" t="s">
        <v>298</v>
      </c>
      <c r="C186" s="1" t="s">
        <v>623</v>
      </c>
      <c r="D186" s="1" t="s">
        <v>503</v>
      </c>
      <c r="E186" s="2" t="str">
        <f>IFERROR(__xludf.DUMMYFUNCTION("GOOGLETRANSLATE(C186, ""en"", ""th"")"),"ลูกค้าผู้หญิงมีบัตรเครดิตรุ่นเยาว์กี่คน?")</f>
        <v>ลูกค้าผู้หญิงมีบัตรเครดิตรุ่นเยาว์กี่คน?</v>
      </c>
      <c r="F186" s="1" t="s">
        <v>504</v>
      </c>
      <c r="G186" s="1" t="s">
        <v>624</v>
      </c>
      <c r="H186" s="1" t="s">
        <v>13</v>
      </c>
    </row>
    <row r="187">
      <c r="A187" s="1">
        <v>185.0</v>
      </c>
      <c r="B187" s="1" t="s">
        <v>298</v>
      </c>
      <c r="C187" s="1" t="s">
        <v>625</v>
      </c>
      <c r="D187" s="1" t="s">
        <v>626</v>
      </c>
      <c r="E187" s="2" t="str">
        <f>IFERROR(__xludf.DUMMYFUNCTION("GOOGLETRANSLATE(C187, ""en"", ""th"")"),"ลูกค้าที่มีบัญชีที่สาขาปรากเป็นผู้หญิงในสัดส่วนเท่าใด")</f>
        <v>ลูกค้าที่มีบัญชีที่สาขาปรากเป็นผู้หญิงในสัดส่วนเท่าใด</v>
      </c>
      <c r="F187" s="1" t="s">
        <v>627</v>
      </c>
      <c r="G187" s="1" t="s">
        <v>628</v>
      </c>
      <c r="H187" s="1" t="s">
        <v>18</v>
      </c>
    </row>
    <row r="188">
      <c r="A188" s="1">
        <v>186.0</v>
      </c>
      <c r="B188" s="1" t="s">
        <v>298</v>
      </c>
      <c r="C188" s="1" t="s">
        <v>629</v>
      </c>
      <c r="D188" s="1" t="s">
        <v>630</v>
      </c>
      <c r="E188" s="2" t="str">
        <f>IFERROR(__xludf.DUMMYFUNCTION("GOOGLETRANSLATE(C188, ""en"", ""th"")"),"ลูกค้าชายร้องขอให้ออกใบแจ้งยอดรายสัปดาห์เป็นจำนวนกี่เปอร์เซ็นต์?")</f>
        <v>ลูกค้าชายร้องขอให้ออกใบแจ้งยอดรายสัปดาห์เป็นจำนวนกี่เปอร์เซ็นต์?</v>
      </c>
      <c r="F188" s="1" t="s">
        <v>631</v>
      </c>
      <c r="G188" s="1" t="s">
        <v>632</v>
      </c>
      <c r="H188" s="1" t="s">
        <v>18</v>
      </c>
    </row>
    <row r="189">
      <c r="A189" s="1">
        <v>187.0</v>
      </c>
      <c r="B189" s="1" t="s">
        <v>298</v>
      </c>
      <c r="C189" s="1" t="s">
        <v>633</v>
      </c>
      <c r="D189" s="1" t="s">
        <v>634</v>
      </c>
      <c r="E189" s="2" t="str">
        <f>IFERROR(__xludf.DUMMYFUNCTION("GOOGLETRANSLATE(C189, ""en"", ""th"")"),"มีลูกค้ากี่รายที่เลือกใบแจ้งยอดการออกรายสัปดาห์ที่เป็นเจ้าของ")</f>
        <v>มีลูกค้ากี่รายที่เลือกใบแจ้งยอดการออกรายสัปดาห์ที่เป็นเจ้าของ</v>
      </c>
      <c r="F189" s="1" t="s">
        <v>635</v>
      </c>
      <c r="G189" s="1" t="s">
        <v>636</v>
      </c>
      <c r="H189" s="1" t="s">
        <v>13</v>
      </c>
    </row>
    <row r="190">
      <c r="A190" s="1">
        <v>188.0</v>
      </c>
      <c r="B190" s="1" t="s">
        <v>298</v>
      </c>
      <c r="C190" s="1" t="s">
        <v>637</v>
      </c>
      <c r="E190" s="2" t="str">
        <f>IFERROR(__xludf.DUMMYFUNCTION("GOOGLETRANSLATE(C190, ""en"", ""th"")"),"ในบรรดาบัญชีที่มีระยะเวลากู้ยืมมากกว่า 24 เดือน ให้ระบุบัญชีที่มีวงเงินอนุมัติต่ำสุดและมีวันเปิดบัญชีก่อนปี 1997")</f>
        <v>ในบรรดาบัญชีที่มีระยะเวลากู้ยืมมากกว่า 24 เดือน ให้ระบุบัญชีที่มีวงเงินอนุมัติต่ำสุดและมีวันเปิดบัญชีก่อนปี 1997</v>
      </c>
      <c r="G190" s="1" t="s">
        <v>638</v>
      </c>
      <c r="H190" s="1" t="s">
        <v>18</v>
      </c>
    </row>
    <row r="191">
      <c r="A191" s="1">
        <v>189.0</v>
      </c>
      <c r="B191" s="1" t="s">
        <v>298</v>
      </c>
      <c r="C191" s="1" t="s">
        <v>639</v>
      </c>
      <c r="D191" s="1" t="s">
        <v>640</v>
      </c>
      <c r="E191" s="2" t="str">
        <f>IFERROR(__xludf.DUMMYFUNCTION("GOOGLETRANSLATE(C191, ""en"", ""th"")"),"บอกชื่อเลขบัญชีลูกค้าผู้หญิงที่มีอายุมากที่สุดและมีเงินเดือนเฉลี่ยต่ำสุด?")</f>
        <v>บอกชื่อเลขบัญชีลูกค้าผู้หญิงที่มีอายุมากที่สุดและมีเงินเดือนเฉลี่ยต่ำสุด?</v>
      </c>
      <c r="F191" s="1" t="s">
        <v>641</v>
      </c>
      <c r="G191" s="1" t="s">
        <v>642</v>
      </c>
      <c r="H191" s="1" t="s">
        <v>18</v>
      </c>
    </row>
    <row r="192">
      <c r="A192" s="1">
        <v>190.0</v>
      </c>
      <c r="B192" s="1" t="s">
        <v>298</v>
      </c>
      <c r="C192" s="1" t="s">
        <v>643</v>
      </c>
      <c r="D192" s="1" t="s">
        <v>644</v>
      </c>
      <c r="E192" s="2" t="str">
        <f>IFERROR(__xludf.DUMMYFUNCTION("GOOGLETRANSLATE(C192, ""en"", ""th"")"),"ลูกค้าที่เกิดในปี 1920 อาศัยอยู่ในโบฮีเมียตะวันออกมีกี่ราย")</f>
        <v>ลูกค้าที่เกิดในปี 1920 อาศัยอยู่ในโบฮีเมียตะวันออกมีกี่ราย</v>
      </c>
      <c r="F192" s="1" t="s">
        <v>645</v>
      </c>
      <c r="G192" s="1" t="s">
        <v>646</v>
      </c>
      <c r="H192" s="1" t="s">
        <v>13</v>
      </c>
    </row>
    <row r="193">
      <c r="A193" s="1">
        <v>191.0</v>
      </c>
      <c r="B193" s="1" t="s">
        <v>298</v>
      </c>
      <c r="C193" s="1" t="s">
        <v>647</v>
      </c>
      <c r="D193" s="1" t="s">
        <v>648</v>
      </c>
      <c r="E193" s="2" t="str">
        <f>IFERROR(__xludf.DUMMYFUNCTION("GOOGLETRANSLATE(C193, ""en"", ""th"")"),"ชำระล่วงหน้าได้กี่บัญชี ระยะเวลา 24 เดือน พร้อมออกใบแจ้งยอดรายสัปดาห์")</f>
        <v>ชำระล่วงหน้าได้กี่บัญชี ระยะเวลา 24 เดือน พร้อมออกใบแจ้งยอดรายสัปดาห์</v>
      </c>
      <c r="F193" s="1" t="s">
        <v>649</v>
      </c>
      <c r="G193" s="1" t="s">
        <v>650</v>
      </c>
      <c r="H193" s="1" t="s">
        <v>13</v>
      </c>
    </row>
    <row r="194">
      <c r="A194" s="1">
        <v>192.0</v>
      </c>
      <c r="B194" s="1" t="s">
        <v>298</v>
      </c>
      <c r="C194" s="1" t="s">
        <v>651</v>
      </c>
      <c r="D194" s="1" t="s">
        <v>652</v>
      </c>
      <c r="E194" s="2" t="str">
        <f>IFERROR(__xludf.DUMMYFUNCTION("GOOGLETRANSLATE(C194, ""en"", ""th"")"),"จำนวนเงินกู้เฉลี่ยที่ยังคงอยู่ในสัญญาพร้อมการออกใบแจ้งยอดภายหลังการทำธุรกรรมแต่ละครั้งคือเท่าใด")</f>
        <v>จำนวนเงินกู้เฉลี่ยที่ยังคงอยู่ในสัญญาพร้อมการออกใบแจ้งยอดภายหลังการทำธุรกรรมแต่ละครั้งคือเท่าใด</v>
      </c>
      <c r="F194" s="1" t="s">
        <v>653</v>
      </c>
      <c r="G194" s="1" t="s">
        <v>654</v>
      </c>
      <c r="H194" s="1" t="s">
        <v>18</v>
      </c>
    </row>
    <row r="195">
      <c r="A195" s="1">
        <v>193.0</v>
      </c>
      <c r="B195" s="1" t="s">
        <v>298</v>
      </c>
      <c r="C195" s="1" t="s">
        <v>655</v>
      </c>
      <c r="D195" s="1" t="s">
        <v>656</v>
      </c>
      <c r="E195" s="2" t="str">
        <f>IFERROR(__xludf.DUMMYFUNCTION("GOOGLETRANSLATE(C195, ""en"", ""th"")"),"ระบุ ID และเขตทั้งหมดสำหรับลูกค้าที่สามารถมีสิทธิ์ออกคำสั่งถาวรหรือสมัครขอสินเชื่อเท่านั้น")</f>
        <v>ระบุ ID และเขตทั้งหมดสำหรับลูกค้าที่สามารถมีสิทธิ์ออกคำสั่งถาวรหรือสมัครขอสินเชื่อเท่านั้น</v>
      </c>
      <c r="F195" s="1" t="s">
        <v>657</v>
      </c>
      <c r="G195" s="1" t="s">
        <v>658</v>
      </c>
      <c r="H195" s="1" t="s">
        <v>18</v>
      </c>
    </row>
    <row r="196">
      <c r="A196" s="1">
        <v>194.0</v>
      </c>
      <c r="B196" s="1" t="s">
        <v>298</v>
      </c>
      <c r="C196" s="1" t="s">
        <v>659</v>
      </c>
      <c r="D196" s="1" t="s">
        <v>660</v>
      </c>
      <c r="E196" s="2" t="str">
        <f>IFERROR(__xludf.DUMMYFUNCTION("GOOGLETRANSLATE(C196, ""en"", ""th"")"),"ระบุรหัสและอายุของลูกค้าด้วยบัตรเครดิตระดับสูงที่มีสิทธิ์ได้รับสินเชื่อ")</f>
        <v>ระบุรหัสและอายุของลูกค้าด้วยบัตรเครดิตระดับสูงที่มีสิทธิ์ได้รับสินเชื่อ</v>
      </c>
      <c r="F196" s="1" t="s">
        <v>661</v>
      </c>
      <c r="G196" s="1" t="s">
        <v>662</v>
      </c>
      <c r="H196" s="1" t="s">
        <v>18</v>
      </c>
    </row>
    <row r="197">
      <c r="A197" s="1">
        <v>195.0</v>
      </c>
      <c r="B197" s="1" t="s">
        <v>663</v>
      </c>
      <c r="C197" s="1" t="s">
        <v>664</v>
      </c>
      <c r="D197" s="1" t="s">
        <v>665</v>
      </c>
      <c r="E197" s="2" t="str">
        <f>IFERROR(__xludf.DUMMYFUNCTION("GOOGLETRANSLATE(C197, ""en"", ""th"")"),"พันธบัตรประเภทใดที่พบบ่อยที่สุด?")</f>
        <v>พันธบัตรประเภทใดที่พบบ่อยที่สุด?</v>
      </c>
      <c r="F197" s="1" t="s">
        <v>666</v>
      </c>
      <c r="G197" s="1" t="s">
        <v>667</v>
      </c>
      <c r="H197" s="1" t="s">
        <v>13</v>
      </c>
    </row>
    <row r="198">
      <c r="A198" s="1">
        <v>196.0</v>
      </c>
      <c r="B198" s="1" t="s">
        <v>663</v>
      </c>
      <c r="C198" s="1" t="s">
        <v>668</v>
      </c>
      <c r="D198" s="1" t="s">
        <v>669</v>
      </c>
      <c r="E198" s="2" t="str">
        <f>IFERROR(__xludf.DUMMYFUNCTION("GOOGLETRANSLATE(C198, ""en"", ""th"")"),"ในโมเลกุลที่ไม่ก่อมะเร็ง มีอะตอมของคลอรีนอยู่กี่อะตอม?")</f>
        <v>ในโมเลกุลที่ไม่ก่อมะเร็ง มีอะตอมของคลอรีนอยู่กี่อะตอม?</v>
      </c>
      <c r="F198" s="1" t="s">
        <v>670</v>
      </c>
      <c r="G198" s="1" t="s">
        <v>671</v>
      </c>
      <c r="H198" s="1" t="s">
        <v>13</v>
      </c>
    </row>
    <row r="199">
      <c r="A199" s="1">
        <v>197.0</v>
      </c>
      <c r="B199" s="1" t="s">
        <v>663</v>
      </c>
      <c r="C199" s="1" t="s">
        <v>672</v>
      </c>
      <c r="D199" s="1" t="s">
        <v>673</v>
      </c>
      <c r="E199" s="2" t="str">
        <f>IFERROR(__xludf.DUMMYFUNCTION("GOOGLETRANSLATE(C199, ""en"", ""th"")"),"คำนวณจำนวนเฉลี่ยของอะตอมออกซิเจนในโมเลกุลที่มีพันธะเดี่ยว")</f>
        <v>คำนวณจำนวนเฉลี่ยของอะตอมออกซิเจนในโมเลกุลที่มีพันธะเดี่ยว</v>
      </c>
      <c r="F199" s="1" t="s">
        <v>674</v>
      </c>
      <c r="G199" s="1" t="s">
        <v>675</v>
      </c>
      <c r="H199" s="1" t="s">
        <v>18</v>
      </c>
    </row>
    <row r="200">
      <c r="A200" s="1">
        <v>198.0</v>
      </c>
      <c r="B200" s="1" t="s">
        <v>663</v>
      </c>
      <c r="C200" s="1" t="s">
        <v>676</v>
      </c>
      <c r="D200" s="1" t="s">
        <v>677</v>
      </c>
      <c r="E200" s="2" t="str">
        <f>IFERROR(__xludf.DUMMYFUNCTION("GOOGLETRANSLATE(C200, ""en"", ""th"")"),"โดยเฉลี่ยแล้วโมเลกุลของสารก่อมะเร็งที่เกิดพันธะเดี่ยวมีกี่โมเลกุล?")</f>
        <v>โดยเฉลี่ยแล้วโมเลกุลของสารก่อมะเร็งที่เกิดพันธะเดี่ยวมีกี่โมเลกุล?</v>
      </c>
      <c r="F200" s="1" t="s">
        <v>678</v>
      </c>
      <c r="G200" s="1" t="s">
        <v>679</v>
      </c>
      <c r="H200" s="1" t="s">
        <v>101</v>
      </c>
    </row>
    <row r="201">
      <c r="A201" s="1">
        <v>199.0</v>
      </c>
      <c r="B201" s="1" t="s">
        <v>663</v>
      </c>
      <c r="C201" s="1" t="s">
        <v>680</v>
      </c>
      <c r="D201" s="1" t="s">
        <v>681</v>
      </c>
      <c r="E201" s="2" t="str">
        <f>IFERROR(__xludf.DUMMYFUNCTION("GOOGLETRANSLATE(C201, ""en"", ""th"")"),"ในโมเลกุลที่มีอะตอมของโซเดียม มีจำนวนเท่าใดที่ไม่ก่อมะเร็ง?")</f>
        <v>ในโมเลกุลที่มีอะตอมของโซเดียม มีจำนวนเท่าใดที่ไม่ก่อมะเร็ง?</v>
      </c>
      <c r="F201" s="1" t="s">
        <v>682</v>
      </c>
      <c r="G201" s="1" t="s">
        <v>683</v>
      </c>
      <c r="H201" s="1" t="s">
        <v>13</v>
      </c>
    </row>
    <row r="202">
      <c r="A202" s="1">
        <v>200.0</v>
      </c>
      <c r="B202" s="1" t="s">
        <v>663</v>
      </c>
      <c r="C202" s="1" t="s">
        <v>684</v>
      </c>
      <c r="D202" s="1" t="s">
        <v>685</v>
      </c>
      <c r="E202" s="2" t="str">
        <f>IFERROR(__xludf.DUMMYFUNCTION("GOOGLETRANSLATE(C202, ""en"", ""th"")"),"ค้นหาโมเลกุลที่มีพันธะสามชั้นซึ่งเป็นสารก่อมะเร็ง")</f>
        <v>ค้นหาโมเลกุลที่มีพันธะสามชั้นซึ่งเป็นสารก่อมะเร็ง</v>
      </c>
      <c r="F202" s="1" t="s">
        <v>686</v>
      </c>
      <c r="G202" s="1" t="s">
        <v>687</v>
      </c>
      <c r="H202" s="1" t="s">
        <v>13</v>
      </c>
    </row>
    <row r="203">
      <c r="A203" s="1">
        <v>201.0</v>
      </c>
      <c r="B203" s="1" t="s">
        <v>663</v>
      </c>
      <c r="C203" s="1" t="s">
        <v>688</v>
      </c>
      <c r="D203" s="1" t="s">
        <v>689</v>
      </c>
      <c r="E203" s="2" t="str">
        <f>IFERROR(__xludf.DUMMYFUNCTION("GOOGLETRANSLATE(C203, ""en"", ""th"")"),"เปอร์เซ็นต์ของคาร์บอนในโมเลกุลพันธะคู่คือเท่าไร?")</f>
        <v>เปอร์เซ็นต์ของคาร์บอนในโมเลกุลพันธะคู่คือเท่าไร?</v>
      </c>
      <c r="F203" s="1" t="s">
        <v>690</v>
      </c>
      <c r="G203" s="1" t="s">
        <v>691</v>
      </c>
      <c r="H203" s="1" t="s">
        <v>18</v>
      </c>
    </row>
    <row r="204">
      <c r="A204" s="1">
        <v>202.0</v>
      </c>
      <c r="B204" s="1" t="s">
        <v>663</v>
      </c>
      <c r="C204" s="1" t="s">
        <v>692</v>
      </c>
      <c r="D204" s="1" t="s">
        <v>693</v>
      </c>
      <c r="E204" s="2" t="str">
        <f>IFERROR(__xludf.DUMMYFUNCTION("GOOGLETRANSLATE(C204, ""en"", ""th"")"),"พันธบัตรสามประเภทมีกี่แบบ?")</f>
        <v>พันธบัตรสามประเภทมีกี่แบบ?</v>
      </c>
      <c r="F204" s="1" t="s">
        <v>694</v>
      </c>
      <c r="G204" s="1" t="s">
        <v>695</v>
      </c>
      <c r="H204" s="1" t="s">
        <v>13</v>
      </c>
    </row>
    <row r="205">
      <c r="A205" s="1">
        <v>203.0</v>
      </c>
      <c r="B205" s="1" t="s">
        <v>663</v>
      </c>
      <c r="C205" s="1" t="s">
        <v>696</v>
      </c>
      <c r="D205" s="1" t="s">
        <v>697</v>
      </c>
      <c r="E205" s="2" t="str">
        <f>IFERROR(__xludf.DUMMYFUNCTION("GOOGLETRANSLATE(C205, ""en"", ""th"")"),"ไม่มีโบรมีนอยู่ในอะตอมกี่อะตอม?")</f>
        <v>ไม่มีโบรมีนอยู่ในอะตอมกี่อะตอม?</v>
      </c>
      <c r="F205" s="1" t="s">
        <v>698</v>
      </c>
      <c r="G205" s="1" t="s">
        <v>699</v>
      </c>
      <c r="H205" s="1" t="s">
        <v>13</v>
      </c>
    </row>
    <row r="206">
      <c r="A206" s="1">
        <v>204.0</v>
      </c>
      <c r="B206" s="1" t="s">
        <v>663</v>
      </c>
      <c r="C206" s="1" t="s">
        <v>700</v>
      </c>
      <c r="D206" s="1" t="s">
        <v>701</v>
      </c>
      <c r="E206" s="2" t="str">
        <f>IFERROR(__xludf.DUMMYFUNCTION("GOOGLETRANSLATE(C206, ""en"", ""th"")"),"ใน 100 โมเลกุลแรกตามลำดับตัวเลข มีสารก่อมะเร็งกี่โมเลกุล?")</f>
        <v>ใน 100 โมเลกุลแรกตามลำดับตัวเลข มีสารก่อมะเร็งกี่โมเลกุล?</v>
      </c>
      <c r="F206" s="1" t="s">
        <v>702</v>
      </c>
      <c r="G206" s="1" t="s">
        <v>703</v>
      </c>
      <c r="H206" s="1" t="s">
        <v>13</v>
      </c>
    </row>
    <row r="207">
      <c r="A207" s="1">
        <v>205.0</v>
      </c>
      <c r="B207" s="1" t="s">
        <v>663</v>
      </c>
      <c r="C207" s="1" t="s">
        <v>704</v>
      </c>
      <c r="D207" s="1" t="s">
        <v>705</v>
      </c>
      <c r="E207" s="2" t="str">
        <f>IFERROR(__xludf.DUMMYFUNCTION("GOOGLETRANSLATE(C207, ""en"", ""th"")"),"ระบุโมเลกุลที่มีคาร์บอนด้วย ID")</f>
        <v>ระบุโมเลกุลที่มีคาร์บอนด้วย ID</v>
      </c>
      <c r="F207" s="1" t="s">
        <v>706</v>
      </c>
      <c r="G207" s="1" t="s">
        <v>707</v>
      </c>
      <c r="H207" s="1" t="s">
        <v>13</v>
      </c>
    </row>
    <row r="208">
      <c r="A208" s="1">
        <v>206.0</v>
      </c>
      <c r="B208" s="1" t="s">
        <v>663</v>
      </c>
      <c r="C208" s="1" t="s">
        <v>708</v>
      </c>
      <c r="D208" s="1" t="s">
        <v>709</v>
      </c>
      <c r="E208" s="2" t="str">
        <f>IFERROR(__xludf.DUMMYFUNCTION("GOOGLETRANSLATE(C208, ""en"", ""th"")"),"องค์ประกอบใดบ้างที่อยู่ในอะตอมของพันธะ TR004_8_9")</f>
        <v>องค์ประกอบใดบ้างที่อยู่ในอะตอมของพันธะ TR004_8_9</v>
      </c>
      <c r="F208" s="1" t="s">
        <v>710</v>
      </c>
      <c r="G208" s="1" t="s">
        <v>711</v>
      </c>
      <c r="H208" s="1" t="s">
        <v>101</v>
      </c>
    </row>
    <row r="209">
      <c r="A209" s="1">
        <v>207.0</v>
      </c>
      <c r="B209" s="1" t="s">
        <v>663</v>
      </c>
      <c r="C209" s="1" t="s">
        <v>712</v>
      </c>
      <c r="D209" s="1" t="s">
        <v>713</v>
      </c>
      <c r="E209" s="2" t="str">
        <f>IFERROR(__xludf.DUMMYFUNCTION("GOOGLETRANSLATE(C209, ""en"", ""th"")"),"พันธะคู่มีองค์ประกอบอะไรบ้าง?")</f>
        <v>พันธะคู่มีองค์ประกอบอะไรบ้าง?</v>
      </c>
      <c r="F209" s="1" t="s">
        <v>714</v>
      </c>
      <c r="G209" s="1" t="s">
        <v>715</v>
      </c>
      <c r="H209" s="1" t="s">
        <v>101</v>
      </c>
    </row>
    <row r="210">
      <c r="A210" s="1">
        <v>208.0</v>
      </c>
      <c r="B210" s="1" t="s">
        <v>663</v>
      </c>
      <c r="C210" s="1" t="s">
        <v>716</v>
      </c>
      <c r="D210" s="1" t="s">
        <v>717</v>
      </c>
      <c r="E210" s="2" t="str">
        <f>IFERROR(__xludf.DUMMYFUNCTION("GOOGLETRANSLATE(C210, ""en"", ""th"")"),"ฉลากชนิดใดมีอะตอมที่มีไฮโดรเจนมากที่สุด")</f>
        <v>ฉลากชนิดใดมีอะตอมที่มีไฮโดรเจนมากที่สุด</v>
      </c>
      <c r="F210" s="1" t="s">
        <v>718</v>
      </c>
      <c r="G210" s="1" t="s">
        <v>719</v>
      </c>
      <c r="H210" s="1" t="s">
        <v>18</v>
      </c>
    </row>
    <row r="211">
      <c r="A211" s="1">
        <v>209.0</v>
      </c>
      <c r="B211" s="1" t="s">
        <v>663</v>
      </c>
      <c r="C211" s="1" t="s">
        <v>720</v>
      </c>
      <c r="D211" s="1" t="s">
        <v>721</v>
      </c>
      <c r="E211" s="2" t="str">
        <f>IFERROR(__xludf.DUMMYFUNCTION("GOOGLETRANSLATE(C211, ""en"", ""th"")"),"คลอรีนอยู่ในพันธะประเภทใด")</f>
        <v>คลอรีนอยู่ในพันธะประเภทใด</v>
      </c>
      <c r="F211" s="1" t="s">
        <v>722</v>
      </c>
      <c r="G211" s="1" t="s">
        <v>723</v>
      </c>
      <c r="H211" s="1" t="s">
        <v>13</v>
      </c>
    </row>
    <row r="212">
      <c r="A212" s="1">
        <v>210.0</v>
      </c>
      <c r="B212" s="1" t="s">
        <v>663</v>
      </c>
      <c r="C212" s="1" t="s">
        <v>724</v>
      </c>
      <c r="D212" s="1" t="s">
        <v>725</v>
      </c>
      <c r="E212" s="2" t="str">
        <f>IFERROR(__xludf.DUMMYFUNCTION("GOOGLETRANSLATE(C212, ""en"", ""th"")"),"อะตอมใดที่เชื่อมต่อกันเป็นพันธะชนิดเดียว?")</f>
        <v>อะตอมใดที่เชื่อมต่อกันเป็นพันธะชนิดเดียว?</v>
      </c>
      <c r="F212" s="1" t="s">
        <v>726</v>
      </c>
      <c r="G212" s="1" t="s">
        <v>727</v>
      </c>
      <c r="H212" s="1" t="s">
        <v>13</v>
      </c>
    </row>
    <row r="213">
      <c r="A213" s="1">
        <v>211.0</v>
      </c>
      <c r="B213" s="1" t="s">
        <v>663</v>
      </c>
      <c r="C213" s="1" t="s">
        <v>728</v>
      </c>
      <c r="D213" s="1" t="s">
        <v>729</v>
      </c>
      <c r="E213" s="2" t="str">
        <f>IFERROR(__xludf.DUMMYFUNCTION("GOOGLETRANSLATE(C213, ""en"", ""th"")"),"ระบุว่าอะตอมใดเชื่อมต่อกันในโมเลกุลชนิดที่ไม่ก่อมะเร็ง")</f>
        <v>ระบุว่าอะตอมใดเชื่อมต่อกันในโมเลกุลชนิดที่ไม่ก่อมะเร็ง</v>
      </c>
      <c r="F213" s="1" t="s">
        <v>730</v>
      </c>
      <c r="G213" s="1" t="s">
        <v>731</v>
      </c>
      <c r="H213" s="1" t="s">
        <v>13</v>
      </c>
    </row>
    <row r="214">
      <c r="A214" s="1">
        <v>212.0</v>
      </c>
      <c r="B214" s="1" t="s">
        <v>663</v>
      </c>
      <c r="C214" s="1" t="s">
        <v>732</v>
      </c>
      <c r="D214" s="1" t="s">
        <v>733</v>
      </c>
      <c r="E214" s="2" t="str">
        <f>IFERROR(__xludf.DUMMYFUNCTION("GOOGLETRANSLATE(C214, ""en"", ""th"")"),"ธาตุใดมีปริมาณน้อยที่สุดในโมเลกุลที่ไม่ก่อมะเร็ง?")</f>
        <v>ธาตุใดมีปริมาณน้อยที่สุดในโมเลกุลที่ไม่ก่อมะเร็ง?</v>
      </c>
      <c r="F214" s="1" t="s">
        <v>734</v>
      </c>
      <c r="G214" s="1" t="s">
        <v>735</v>
      </c>
      <c r="H214" s="1" t="s">
        <v>101</v>
      </c>
    </row>
    <row r="215">
      <c r="A215" s="1">
        <v>213.0</v>
      </c>
      <c r="B215" s="1" t="s">
        <v>663</v>
      </c>
      <c r="C215" s="1" t="s">
        <v>736</v>
      </c>
      <c r="D215" s="1" t="s">
        <v>737</v>
      </c>
      <c r="E215" s="2" t="str">
        <f>IFERROR(__xludf.DUMMYFUNCTION("GOOGLETRANSLATE(C215, ""en"", ""th"")"),"มีพันธะประเภทใดระหว่างอะตอม TR004_8 และ TR004_20")</f>
        <v>มีพันธะประเภทใดระหว่างอะตอม TR004_8 และ TR004_20</v>
      </c>
      <c r="F215" s="1" t="s">
        <v>738</v>
      </c>
      <c r="G215" s="1" t="s">
        <v>739</v>
      </c>
      <c r="H215" s="1" t="s">
        <v>18</v>
      </c>
    </row>
    <row r="216">
      <c r="A216" s="1">
        <v>214.0</v>
      </c>
      <c r="B216" s="1" t="s">
        <v>663</v>
      </c>
      <c r="C216" s="1" t="s">
        <v>740</v>
      </c>
      <c r="D216" s="1" t="s">
        <v>741</v>
      </c>
      <c r="E216" s="2" t="str">
        <f>IFERROR(__xludf.DUMMYFUNCTION("GOOGLETRANSLATE(C216, ""en"", ""th"")"),"ป้ายประเภทใดไม่อยู่บนโมเลกุลที่มีอะตอมกับดีบุก")</f>
        <v>ป้ายประเภทใดไม่อยู่บนโมเลกุลที่มีอะตอมกับดีบุก</v>
      </c>
      <c r="F216" s="1" t="s">
        <v>742</v>
      </c>
      <c r="G216" s="1" t="s">
        <v>743</v>
      </c>
      <c r="H216" s="1" t="s">
        <v>13</v>
      </c>
    </row>
    <row r="217">
      <c r="A217" s="1">
        <v>215.0</v>
      </c>
      <c r="B217" s="1" t="s">
        <v>663</v>
      </c>
      <c r="C217" s="1" t="s">
        <v>744</v>
      </c>
      <c r="D217" s="1" t="s">
        <v>745</v>
      </c>
      <c r="E217" s="2" t="str">
        <f>IFERROR(__xludf.DUMMYFUNCTION("GOOGLETRANSLATE(C217, ""en"", ""th"")"),"โมเลกุลที่มีพันธะเดี่ยวมีไอโอดีนและธาตุกำมะถันอยู่กี่อะตอม")</f>
        <v>โมเลกุลที่มีพันธะเดี่ยวมีไอโอดีนและธาตุกำมะถันอยู่กี่อะตอม</v>
      </c>
      <c r="F217" s="1" t="s">
        <v>746</v>
      </c>
      <c r="G217" s="1" t="s">
        <v>747</v>
      </c>
      <c r="H217" s="1" t="s">
        <v>101</v>
      </c>
    </row>
    <row r="218">
      <c r="A218" s="1">
        <v>216.0</v>
      </c>
      <c r="B218" s="1" t="s">
        <v>663</v>
      </c>
      <c r="C218" s="1" t="s">
        <v>748</v>
      </c>
      <c r="D218" s="1" t="s">
        <v>749</v>
      </c>
      <c r="E218" s="2" t="str">
        <f>IFERROR(__xludf.DUMMYFUNCTION("GOOGLETRANSLATE(C218, ""en"", ""th"")"),"ระบุอะตอมที่เชื่อมต่อกันทั้งหมดด้วยพันธะสาม")</f>
        <v>ระบุอะตอมที่เชื่อมต่อกันทั้งหมดด้วยพันธะสาม</v>
      </c>
      <c r="F218" s="1" t="s">
        <v>750</v>
      </c>
      <c r="G218" s="1" t="s">
        <v>751</v>
      </c>
      <c r="H218" s="1" t="s">
        <v>13</v>
      </c>
    </row>
    <row r="219">
      <c r="A219" s="1">
        <v>217.0</v>
      </c>
      <c r="B219" s="1" t="s">
        <v>663</v>
      </c>
      <c r="C219" s="1" t="s">
        <v>752</v>
      </c>
      <c r="D219" s="1" t="s">
        <v>753</v>
      </c>
      <c r="E219" s="2" t="str">
        <f>IFERROR(__xludf.DUMMYFUNCTION("GOOGLETRANSLATE(C219, ""en"", ""th"")"),"ระบุอะตอมทั้งหมดที่เชื่อมต่อกับอะตอมของโมเลกุล TR181")</f>
        <v>ระบุอะตอมทั้งหมดที่เชื่อมต่อกับอะตอมของโมเลกุล TR181</v>
      </c>
      <c r="F219" s="1" t="s">
        <v>754</v>
      </c>
      <c r="G219" s="1" t="s">
        <v>755</v>
      </c>
      <c r="H219" s="1" t="s">
        <v>13</v>
      </c>
    </row>
    <row r="220">
      <c r="A220" s="1">
        <v>218.0</v>
      </c>
      <c r="B220" s="1" t="s">
        <v>663</v>
      </c>
      <c r="C220" s="1" t="s">
        <v>756</v>
      </c>
      <c r="D220" s="1" t="s">
        <v>757</v>
      </c>
      <c r="E220" s="2" t="str">
        <f>IFERROR(__xludf.DUMMYFUNCTION("GOOGLETRANSLATE(C220, ""en"", ""th"")"),"โมเลกุลประเภทสารก่อมะเร็งไม่มีฟลูออรีนกี่เปอร์เซ็นต์")</f>
        <v>โมเลกุลประเภทสารก่อมะเร็งไม่มีฟลูออรีนกี่เปอร์เซ็นต์</v>
      </c>
      <c r="F220" s="1" t="s">
        <v>758</v>
      </c>
      <c r="G220" s="1" t="s">
        <v>759</v>
      </c>
      <c r="H220" s="1" t="s">
        <v>101</v>
      </c>
    </row>
    <row r="221">
      <c r="A221" s="1">
        <v>219.0</v>
      </c>
      <c r="B221" s="1" t="s">
        <v>663</v>
      </c>
      <c r="C221" s="1" t="s">
        <v>760</v>
      </c>
      <c r="D221" s="1" t="s">
        <v>761</v>
      </c>
      <c r="E221" s="2" t="str">
        <f>IFERROR(__xludf.DUMMYFUNCTION("GOOGLETRANSLATE(C221, ""en"", ""th"")"),"เปอร์เซ็นต์ของโมเลกุลสารก่อมะเร็งในพันธะสามชนิดคือเท่าใด?")</f>
        <v>เปอร์เซ็นต์ของโมเลกุลสารก่อมะเร็งในพันธะสามชนิดคือเท่าใด?</v>
      </c>
      <c r="F221" s="1" t="s">
        <v>762</v>
      </c>
      <c r="G221" s="1" t="s">
        <v>763</v>
      </c>
      <c r="H221" s="1" t="s">
        <v>101</v>
      </c>
    </row>
    <row r="222">
      <c r="A222" s="1">
        <v>220.0</v>
      </c>
      <c r="B222" s="1" t="s">
        <v>663</v>
      </c>
      <c r="C222" s="1" t="s">
        <v>764</v>
      </c>
      <c r="D222" s="1" t="s">
        <v>765</v>
      </c>
      <c r="E222" s="2" t="str">
        <f>IFERROR(__xludf.DUMMYFUNCTION("GOOGLETRANSLATE(C222, ""en"", ""th"")"),"โปรดระบุองค์ประกอบสามอันดับแรกของพิษวิทยาของโมเลกุล TR000 ตามลำดับตัวอักษร")</f>
        <v>โปรดระบุองค์ประกอบสามอันดับแรกของพิษวิทยาของโมเลกุล TR000 ตามลำดับตัวอักษร</v>
      </c>
      <c r="F222" s="1" t="s">
        <v>766</v>
      </c>
      <c r="G222" s="1" t="s">
        <v>767</v>
      </c>
      <c r="H222" s="1" t="s">
        <v>101</v>
      </c>
    </row>
    <row r="223">
      <c r="A223" s="1">
        <v>221.0</v>
      </c>
      <c r="B223" s="1" t="s">
        <v>663</v>
      </c>
      <c r="C223" s="1" t="s">
        <v>768</v>
      </c>
      <c r="D223" s="1" t="s">
        <v>769</v>
      </c>
      <c r="E223" s="2" t="str">
        <f>IFERROR(__xludf.DUMMYFUNCTION("GOOGLETRANSLATE(C223, ""en"", ""th"")"),"อะตอมที่ถูกพันธะในโมเลกุล TR001 โดยมี ID พันธะเท่ากับ TR001_2_6 คืออะไร")</f>
        <v>อะตอมที่ถูกพันธะในโมเลกุล TR001 โดยมี ID พันธะเท่ากับ TR001_2_6 คืออะไร</v>
      </c>
      <c r="F223" s="1" t="s">
        <v>770</v>
      </c>
      <c r="G223" s="1" t="s">
        <v>771</v>
      </c>
      <c r="H223" s="1" t="s">
        <v>13</v>
      </c>
    </row>
    <row r="224">
      <c r="A224" s="1">
        <v>222.0</v>
      </c>
      <c r="B224" s="1" t="s">
        <v>663</v>
      </c>
      <c r="C224" s="1" t="s">
        <v>772</v>
      </c>
      <c r="D224" s="1" t="s">
        <v>773</v>
      </c>
      <c r="E224" s="2" t="str">
        <f>IFERROR(__xludf.DUMMYFUNCTION("GOOGLETRANSLATE(C224, ""en"", ""th"")"),"อะไรคือความแตกต่างระหว่างจำนวนโมเลกุลที่เป็นสารก่อมะเร็งและที่ไม่ใช่สารก่อมะเร็ง?")</f>
        <v>อะไรคือความแตกต่างระหว่างจำนวนโมเลกุลที่เป็นสารก่อมะเร็งและที่ไม่ใช่สารก่อมะเร็ง?</v>
      </c>
      <c r="F224" s="1" t="s">
        <v>774</v>
      </c>
      <c r="G224" s="1" t="s">
        <v>775</v>
      </c>
      <c r="H224" s="1" t="s">
        <v>18</v>
      </c>
    </row>
    <row r="225">
      <c r="A225" s="1">
        <v>223.0</v>
      </c>
      <c r="B225" s="1" t="s">
        <v>663</v>
      </c>
      <c r="C225" s="1" t="s">
        <v>776</v>
      </c>
      <c r="D225" s="1" t="s">
        <v>777</v>
      </c>
      <c r="E225" s="2" t="str">
        <f>IFERROR(__xludf.DUMMYFUNCTION("GOOGLETRANSLATE(C225, ""en"", ""th"")"),"รหัสอะตอมของพันธะ TR000_2_5 คืออะไร")</f>
        <v>รหัสอะตอมของพันธะ TR000_2_5 คืออะไร</v>
      </c>
      <c r="F225" s="1" t="s">
        <v>778</v>
      </c>
      <c r="G225" s="1" t="s">
        <v>779</v>
      </c>
      <c r="H225" s="1" t="s">
        <v>13</v>
      </c>
    </row>
    <row r="226">
      <c r="A226" s="1">
        <v>224.0</v>
      </c>
      <c r="B226" s="1" t="s">
        <v>663</v>
      </c>
      <c r="C226" s="1" t="s">
        <v>780</v>
      </c>
      <c r="D226" s="1" t="s">
        <v>781</v>
      </c>
      <c r="E226" s="2" t="str">
        <f>IFERROR(__xludf.DUMMYFUNCTION("GOOGLETRANSLATE(C226, ""en"", ""th"")"),"รหัสพันธบัตรที่มี ID อะตอม 2 ของ TR000_2 เหมือนกันคืออะไร")</f>
        <v>รหัสพันธบัตรที่มี ID อะตอม 2 ของ TR000_2 เหมือนกันคืออะไร</v>
      </c>
      <c r="F226" s="1" t="s">
        <v>782</v>
      </c>
      <c r="G226" s="1" t="s">
        <v>783</v>
      </c>
      <c r="H226" s="1" t="s">
        <v>13</v>
      </c>
    </row>
    <row r="227">
      <c r="A227" s="1">
        <v>225.0</v>
      </c>
      <c r="B227" s="1" t="s">
        <v>663</v>
      </c>
      <c r="C227" s="1" t="s">
        <v>784</v>
      </c>
      <c r="D227" s="1" t="s">
        <v>785</v>
      </c>
      <c r="E227" s="2" t="str">
        <f>IFERROR(__xludf.DUMMYFUNCTION("GOOGLETRANSLATE(C227, ""en"", ""th"")"),"โปรดระบุโมเลกุลห้าอันดับแรกที่มีพันธะคู่เรียงตามตัวอักษร")</f>
        <v>โปรดระบุโมเลกุลห้าอันดับแรกที่มีพันธะคู่เรียงตามตัวอักษร</v>
      </c>
      <c r="F227" s="1" t="s">
        <v>786</v>
      </c>
      <c r="G227" s="1" t="s">
        <v>787</v>
      </c>
      <c r="H227" s="1" t="s">
        <v>13</v>
      </c>
    </row>
    <row r="228">
      <c r="A228" s="1">
        <v>226.0</v>
      </c>
      <c r="B228" s="1" t="s">
        <v>663</v>
      </c>
      <c r="C228" s="1" t="s">
        <v>788</v>
      </c>
      <c r="D228" s="1" t="s">
        <v>789</v>
      </c>
      <c r="E228" s="2" t="str">
        <f>IFERROR(__xludf.DUMMYFUNCTION("GOOGLETRANSLATE(C228, ""en"", ""th"")"),"พันธะคู่ในโมเลกุล TR008 มีกี่เปอร์เซ็นต์? โปรดระบุคำตอบของคุณเป็นเปอร์เซ็นต์โดยมีทศนิยมห้าตำแหน่ง")</f>
        <v>พันธะคู่ในโมเลกุล TR008 มีกี่เปอร์เซ็นต์? โปรดระบุคำตอบของคุณเป็นเปอร์เซ็นต์โดยมีทศนิยมห้าตำแหน่ง</v>
      </c>
      <c r="F228" s="1" t="s">
        <v>790</v>
      </c>
      <c r="G228" s="1" t="s">
        <v>791</v>
      </c>
      <c r="H228" s="1" t="s">
        <v>18</v>
      </c>
    </row>
    <row r="229">
      <c r="A229" s="1">
        <v>227.0</v>
      </c>
      <c r="B229" s="1" t="s">
        <v>663</v>
      </c>
      <c r="C229" s="1" t="s">
        <v>792</v>
      </c>
      <c r="D229" s="1" t="s">
        <v>793</v>
      </c>
      <c r="E229" s="2" t="str">
        <f>IFERROR(__xludf.DUMMYFUNCTION("GOOGLETRANSLATE(C229, ""en"", ""th"")"),"เปอร์เซ็นต์ของโมเลกุลที่เป็นสารก่อมะเร็งคือเท่าใด? โปรดระบุคำตอบของคุณเป็นเปอร์เซ็นต์โดยมีทศนิยมสามตำแหน่ง")</f>
        <v>เปอร์เซ็นต์ของโมเลกุลที่เป็นสารก่อมะเร็งคือเท่าใด? โปรดระบุคำตอบของคุณเป็นเปอร์เซ็นต์โดยมีทศนิยมสามตำแหน่ง</v>
      </c>
      <c r="F229" s="1" t="s">
        <v>794</v>
      </c>
      <c r="G229" s="1" t="s">
        <v>795</v>
      </c>
      <c r="H229" s="1" t="s">
        <v>13</v>
      </c>
    </row>
    <row r="230">
      <c r="A230" s="1">
        <v>228.0</v>
      </c>
      <c r="B230" s="1" t="s">
        <v>663</v>
      </c>
      <c r="C230" s="1" t="s">
        <v>796</v>
      </c>
      <c r="D230" s="1" t="s">
        <v>797</v>
      </c>
      <c r="E230" s="2" t="str">
        <f>IFERROR(__xludf.DUMMYFUNCTION("GOOGLETRANSLATE(C230, ""en"", ""th"")"),"ไฮโดรเจนในโมเลกุล TR206 คิดเป็นเท่าใด? โปรดระบุคำตอบของคุณเป็นเปอร์เซ็นต์โดยมีทศนิยมสี่ตำแหน่ง")</f>
        <v>ไฮโดรเจนในโมเลกุล TR206 คิดเป็นเท่าใด? โปรดระบุคำตอบของคุณเป็นเปอร์เซ็นต์โดยมีทศนิยมสี่ตำแหน่ง</v>
      </c>
      <c r="F230" s="1" t="s">
        <v>798</v>
      </c>
      <c r="G230" s="1" t="s">
        <v>799</v>
      </c>
      <c r="H230" s="1" t="s">
        <v>18</v>
      </c>
    </row>
    <row r="231">
      <c r="A231" s="1">
        <v>229.0</v>
      </c>
      <c r="B231" s="1" t="s">
        <v>663</v>
      </c>
      <c r="C231" s="1" t="s">
        <v>800</v>
      </c>
      <c r="D231" s="1" t="s">
        <v>801</v>
      </c>
      <c r="E231" s="2" t="str">
        <f>IFERROR(__xludf.DUMMYFUNCTION("GOOGLETRANSLATE(C231, ""en"", ""th"")"),"เมื่อโมเลกุล TR000 มีพันธะประเภทใดเมื่อเกี่ยวข้องกับพันธะใดๆ?")</f>
        <v>เมื่อโมเลกุล TR000 มีพันธะประเภทใดเมื่อเกี่ยวข้องกับพันธะใดๆ?</v>
      </c>
      <c r="F231" s="1" t="s">
        <v>802</v>
      </c>
      <c r="G231" s="1" t="s">
        <v>803</v>
      </c>
      <c r="H231" s="1" t="s">
        <v>13</v>
      </c>
    </row>
    <row r="232">
      <c r="A232" s="1">
        <v>230.0</v>
      </c>
      <c r="B232" s="1" t="s">
        <v>663</v>
      </c>
      <c r="C232" s="1" t="s">
        <v>804</v>
      </c>
      <c r="D232" s="1" t="s">
        <v>805</v>
      </c>
      <c r="E232" s="2" t="str">
        <f>IFERROR(__xludf.DUMMYFUNCTION("GOOGLETRANSLATE(C232, ""en"", ""th"")"),"พิษวิทยาและฉลากของโมเลกุล TR060 มีองค์ประกอบอะไรบ้าง?")</f>
        <v>พิษวิทยาและฉลากของโมเลกุล TR060 มีองค์ประกอบอะไรบ้าง?</v>
      </c>
      <c r="F232" s="1" t="s">
        <v>806</v>
      </c>
      <c r="G232" s="1" t="s">
        <v>807</v>
      </c>
      <c r="H232" s="1" t="s">
        <v>101</v>
      </c>
    </row>
    <row r="233">
      <c r="A233" s="1">
        <v>231.0</v>
      </c>
      <c r="B233" s="1" t="s">
        <v>663</v>
      </c>
      <c r="C233" s="1" t="s">
        <v>808</v>
      </c>
      <c r="D233" s="1" t="s">
        <v>809</v>
      </c>
      <c r="E233" s="2" t="str">
        <f>IFERROR(__xludf.DUMMYFUNCTION("GOOGLETRANSLATE(C233, ""en"", ""th"")"),"พันธะประเภทใดที่มีส่วนทำให้เกิดพันธะส่วนใหญ่ที่พบในโมเลกุล TR010 และระบุว่าโมเลกุลนี้เป็นสารก่อมะเร็งหรือไม่?")</f>
        <v>พันธะประเภทใดที่มีส่วนทำให้เกิดพันธะส่วนใหญ่ที่พบในโมเลกุล TR010 และระบุว่าโมเลกุลนี้เป็นสารก่อมะเร็งหรือไม่?</v>
      </c>
      <c r="F233" s="1" t="s">
        <v>810</v>
      </c>
      <c r="G233" s="1" t="s">
        <v>811</v>
      </c>
      <c r="H233" s="1" t="s">
        <v>101</v>
      </c>
    </row>
    <row r="234">
      <c r="A234" s="1">
        <v>232.0</v>
      </c>
      <c r="B234" s="1" t="s">
        <v>663</v>
      </c>
      <c r="C234" s="1" t="s">
        <v>812</v>
      </c>
      <c r="D234" s="1" t="s">
        <v>813</v>
      </c>
      <c r="E234" s="2" t="str">
        <f>IFERROR(__xludf.DUMMYFUNCTION("GOOGLETRANSLATE(C234, ""en"", ""th"")"),"โปรดระบุโมเลกุลสามอันดับแรกที่มีพันธะเดี่ยวระหว่างสองอะตอมและไม่เป็นสารก่อมะเร็งตามลำดับตัวอักษร")</f>
        <v>โปรดระบุโมเลกุลสามอันดับแรกที่มีพันธะเดี่ยวระหว่างสองอะตอมและไม่เป็นสารก่อมะเร็งตามลำดับตัวอักษร</v>
      </c>
      <c r="F234" s="1" t="s">
        <v>814</v>
      </c>
      <c r="G234" s="1" t="s">
        <v>815</v>
      </c>
      <c r="H234" s="1" t="s">
        <v>18</v>
      </c>
    </row>
    <row r="235">
      <c r="A235" s="1">
        <v>233.0</v>
      </c>
      <c r="B235" s="1" t="s">
        <v>663</v>
      </c>
      <c r="C235" s="1" t="s">
        <v>816</v>
      </c>
      <c r="D235" s="1" t="s">
        <v>817</v>
      </c>
      <c r="E235" s="2" t="str">
        <f>IFERROR(__xludf.DUMMYFUNCTION("GOOGLETRANSLATE(C235, ""en"", ""th"")"),"โปรดระบุพันธะสองอันดับแรกที่เกิดขึ้นกับโมเลกุล TR006 ตามลำดับตัวอักษร")</f>
        <v>โปรดระบุพันธะสองอันดับแรกที่เกิดขึ้นกับโมเลกุล TR006 ตามลำดับตัวอักษร</v>
      </c>
      <c r="F235" s="1" t="s">
        <v>818</v>
      </c>
      <c r="G235" s="1" t="s">
        <v>819</v>
      </c>
      <c r="H235" s="1" t="s">
        <v>13</v>
      </c>
    </row>
    <row r="236">
      <c r="A236" s="1">
        <v>234.0</v>
      </c>
      <c r="B236" s="1" t="s">
        <v>663</v>
      </c>
      <c r="C236" s="1" t="s">
        <v>820</v>
      </c>
      <c r="D236" s="1" t="s">
        <v>821</v>
      </c>
      <c r="E236" s="2" t="str">
        <f>IFERROR(__xludf.DUMMYFUNCTION("GOOGLETRANSLATE(C236, ""en"", ""th"")"),"โมเลกุล TR009 มีพันธะที่เกี่ยวข้องกับอะตอม 12 กี่พันธะ?")</f>
        <v>โมเลกุล TR009 มีพันธะที่เกี่ยวข้องกับอะตอม 12 กี่พันธะ?</v>
      </c>
      <c r="F236" s="1" t="s">
        <v>822</v>
      </c>
      <c r="G236" s="1" t="s">
        <v>823</v>
      </c>
      <c r="H236" s="1" t="s">
        <v>18</v>
      </c>
    </row>
    <row r="237">
      <c r="A237" s="1">
        <v>235.0</v>
      </c>
      <c r="B237" s="1" t="s">
        <v>663</v>
      </c>
      <c r="C237" s="1" t="s">
        <v>824</v>
      </c>
      <c r="D237" s="1" t="s">
        <v>825</v>
      </c>
      <c r="E237" s="2" t="str">
        <f>IFERROR(__xludf.DUMMYFUNCTION("GOOGLETRANSLATE(C237, ""en"", ""th"")"),"สารก่อมะเร็งและมีธาตุโบรมีนมีกี่โมเลกุล?")</f>
        <v>สารก่อมะเร็งและมีธาตุโบรมีนมีกี่โมเลกุล?</v>
      </c>
      <c r="F237" s="1" t="s">
        <v>826</v>
      </c>
      <c r="G237" s="1" t="s">
        <v>827</v>
      </c>
      <c r="H237" s="1" t="s">
        <v>13</v>
      </c>
    </row>
    <row r="238">
      <c r="A238" s="1">
        <v>236.0</v>
      </c>
      <c r="B238" s="1" t="s">
        <v>663</v>
      </c>
      <c r="C238" s="1" t="s">
        <v>828</v>
      </c>
      <c r="D238" s="1" t="s">
        <v>829</v>
      </c>
      <c r="E238" s="2" t="str">
        <f>IFERROR(__xludf.DUMMYFUNCTION("GOOGLETRANSLATE(C238, ""en"", ""th"")"),"รหัสพันธะของ TR001_6_9 มีพันธะประเภทใดและอะตอมเป็นเท่าใด")</f>
        <v>รหัสพันธะของ TR001_6_9 มีพันธะประเภทใดและอะตอมเป็นเท่าใด</v>
      </c>
      <c r="F238" s="1" t="s">
        <v>830</v>
      </c>
      <c r="G238" s="1" t="s">
        <v>831</v>
      </c>
      <c r="H238" s="1" t="s">
        <v>18</v>
      </c>
    </row>
    <row r="239">
      <c r="A239" s="1">
        <v>237.0</v>
      </c>
      <c r="B239" s="1" t="s">
        <v>663</v>
      </c>
      <c r="C239" s="1" t="s">
        <v>832</v>
      </c>
      <c r="D239" s="1" t="s">
        <v>833</v>
      </c>
      <c r="E239" s="2" t="str">
        <f>IFERROR(__xludf.DUMMYFUNCTION("GOOGLETRANSLATE(C239, ""en"", ""th"")"),"อะตอม TR001_10 อยู่ในโมเลกุลใด โปรดระบุว่าโมเลกุลนี้เป็นสารก่อมะเร็งหรือไม่")</f>
        <v>อะตอม TR001_10 อยู่ในโมเลกุลใด โปรดระบุว่าโมเลกุลนี้เป็นสารก่อมะเร็งหรือไม่</v>
      </c>
      <c r="F239" s="1" t="s">
        <v>834</v>
      </c>
      <c r="G239" s="1" t="s">
        <v>835</v>
      </c>
      <c r="H239" s="1" t="s">
        <v>18</v>
      </c>
    </row>
    <row r="240">
      <c r="A240" s="1">
        <v>238.0</v>
      </c>
      <c r="B240" s="1" t="s">
        <v>663</v>
      </c>
      <c r="C240" s="1" t="s">
        <v>836</v>
      </c>
      <c r="D240" s="1" t="s">
        <v>749</v>
      </c>
      <c r="E240" s="2" t="str">
        <f>IFERROR(__xludf.DUMMYFUNCTION("GOOGLETRANSLATE(C240, ""en"", ""th"")"),"มีกี่โมเลกุลที่มีพันธะสามชนิด?")</f>
        <v>มีกี่โมเลกุลที่มีพันธะสามชนิด?</v>
      </c>
      <c r="F240" s="1" t="s">
        <v>750</v>
      </c>
      <c r="G240" s="1" t="s">
        <v>837</v>
      </c>
      <c r="H240" s="1" t="s">
        <v>13</v>
      </c>
    </row>
    <row r="241">
      <c r="A241" s="1">
        <v>239.0</v>
      </c>
      <c r="B241" s="1" t="s">
        <v>663</v>
      </c>
      <c r="C241" s="1" t="s">
        <v>838</v>
      </c>
      <c r="D241" s="1" t="s">
        <v>839</v>
      </c>
      <c r="E241" s="2" t="str">
        <f>IFERROR(__xludf.DUMMYFUNCTION("GOOGLETRANSLATE(C241, ""en"", ""th"")"),"อะตอม 19 มีการเชื่อมต่อกี่จุด?")</f>
        <v>อะตอม 19 มีการเชื่อมต่อกี่จุด?</v>
      </c>
      <c r="F241" s="1" t="s">
        <v>840</v>
      </c>
      <c r="G241" s="1" t="s">
        <v>841</v>
      </c>
      <c r="H241" s="1" t="s">
        <v>13</v>
      </c>
    </row>
    <row r="242">
      <c r="A242" s="1">
        <v>240.0</v>
      </c>
      <c r="B242" s="1" t="s">
        <v>663</v>
      </c>
      <c r="C242" s="1" t="s">
        <v>842</v>
      </c>
      <c r="D242" s="1" t="s">
        <v>843</v>
      </c>
      <c r="E242" s="2" t="str">
        <f>IFERROR(__xludf.DUMMYFUNCTION("GOOGLETRANSLATE(C242, ""en"", ""th"")"),"รายชื่อองค์ประกอบทั้งหมดของพิษวิทยาของโมเลกุล ""TR004""")</f>
        <v>รายชื่อองค์ประกอบทั้งหมดของพิษวิทยาของโมเลกุล "TR004"</v>
      </c>
      <c r="F242" s="1" t="s">
        <v>844</v>
      </c>
      <c r="G242" s="1" t="s">
        <v>845</v>
      </c>
      <c r="H242" s="1" t="s">
        <v>101</v>
      </c>
    </row>
    <row r="243">
      <c r="A243" s="1">
        <v>241.0</v>
      </c>
      <c r="B243" s="1" t="s">
        <v>663</v>
      </c>
      <c r="C243" s="1" t="s">
        <v>846</v>
      </c>
      <c r="D243" s="1" t="s">
        <v>729</v>
      </c>
      <c r="E243" s="2" t="str">
        <f>IFERROR(__xludf.DUMMYFUNCTION("GOOGLETRANSLATE(C243, ""en"", ""th"")"),"มีกี่โมเลกุลที่ไม่ก่อมะเร็ง?")</f>
        <v>มีกี่โมเลกุลที่ไม่ก่อมะเร็ง?</v>
      </c>
      <c r="F243" s="1" t="s">
        <v>730</v>
      </c>
      <c r="G243" s="1" t="s">
        <v>847</v>
      </c>
      <c r="H243" s="1" t="s">
        <v>13</v>
      </c>
    </row>
    <row r="244">
      <c r="A244" s="1">
        <v>242.0</v>
      </c>
      <c r="B244" s="1" t="s">
        <v>663</v>
      </c>
      <c r="C244" s="1" t="s">
        <v>848</v>
      </c>
      <c r="D244" s="1" t="s">
        <v>849</v>
      </c>
      <c r="E244" s="2" t="str">
        <f>IFERROR(__xludf.DUMMYFUNCTION("GOOGLETRANSLATE(C244, ""en"", ""th"")"),"ในบรรดาอะตอมทั้งหมดตั้งแต่ 21 ถึง 25 ให้ระบุโมเลกุลทั้งหมดที่เป็นสารก่อมะเร็ง")</f>
        <v>ในบรรดาอะตอมทั้งหมดตั้งแต่ 21 ถึง 25 ให้ระบุโมเลกุลทั้งหมดที่เป็นสารก่อมะเร็ง</v>
      </c>
      <c r="F244" s="1" t="s">
        <v>850</v>
      </c>
      <c r="G244" s="1" t="s">
        <v>851</v>
      </c>
      <c r="H244" s="1" t="s">
        <v>18</v>
      </c>
    </row>
    <row r="245">
      <c r="A245" s="1">
        <v>243.0</v>
      </c>
      <c r="B245" s="1" t="s">
        <v>663</v>
      </c>
      <c r="C245" s="1" t="s">
        <v>852</v>
      </c>
      <c r="D245" s="1" t="s">
        <v>853</v>
      </c>
      <c r="E245" s="2" t="str">
        <f>IFERROR(__xludf.DUMMYFUNCTION("GOOGLETRANSLATE(C245, ""en"", ""th"")"),"พันธะที่มีฟอสฟอรัสและไนโตรเจนเป็นองค์ประกอบอะตอมคืออะไร?")</f>
        <v>พันธะที่มีฟอสฟอรัสและไนโตรเจนเป็นองค์ประกอบอะตอมคืออะไร?</v>
      </c>
      <c r="F245" s="1" t="s">
        <v>854</v>
      </c>
      <c r="G245" s="1" t="s">
        <v>855</v>
      </c>
      <c r="H245" s="1" t="s">
        <v>18</v>
      </c>
    </row>
    <row r="246">
      <c r="A246" s="1">
        <v>244.0</v>
      </c>
      <c r="B246" s="1" t="s">
        <v>663</v>
      </c>
      <c r="C246" s="1" t="s">
        <v>856</v>
      </c>
      <c r="D246" s="1" t="s">
        <v>857</v>
      </c>
      <c r="E246" s="2" t="str">
        <f>IFERROR(__xludf.DUMMYFUNCTION("GOOGLETRANSLATE(C246, ""en"", ""th"")"),"โมเลกุลที่มีพันธะคู่มากที่สุดเป็นสารก่อมะเร็งหรือไม่?")</f>
        <v>โมเลกุลที่มีพันธะคู่มากที่สุดเป็นสารก่อมะเร็งหรือไม่?</v>
      </c>
      <c r="F246" s="1" t="s">
        <v>858</v>
      </c>
      <c r="G246" s="1" t="s">
        <v>859</v>
      </c>
      <c r="H246" s="1" t="s">
        <v>18</v>
      </c>
    </row>
    <row r="247">
      <c r="A247" s="1">
        <v>245.0</v>
      </c>
      <c r="B247" s="1" t="s">
        <v>663</v>
      </c>
      <c r="C247" s="1" t="s">
        <v>860</v>
      </c>
      <c r="D247" s="1" t="s">
        <v>861</v>
      </c>
      <c r="E247" s="2" t="str">
        <f>IFERROR(__xludf.DUMMYFUNCTION("GOOGLETRANSLATE(C247, ""en"", ""th"")"),"อะตอมที่มีธาตุไอโอดีนมีพันธะเฉลี่ยเป็นจำนวนเท่าใด")</f>
        <v>อะตอมที่มีธาตุไอโอดีนมีพันธะเฉลี่ยเป็นจำนวนเท่าใด</v>
      </c>
      <c r="F247" s="1" t="s">
        <v>862</v>
      </c>
      <c r="G247" s="1" t="s">
        <v>863</v>
      </c>
      <c r="H247" s="1" t="s">
        <v>18</v>
      </c>
    </row>
    <row r="248">
      <c r="A248" s="1">
        <v>246.0</v>
      </c>
      <c r="B248" s="1" t="s">
        <v>663</v>
      </c>
      <c r="C248" s="1" t="s">
        <v>864</v>
      </c>
      <c r="D248" s="1" t="s">
        <v>865</v>
      </c>
      <c r="E248" s="2" t="str">
        <f>IFERROR(__xludf.DUMMYFUNCTION("GOOGLETRANSLATE(C248, ""en"", ""th"")"),"ระบุประเภทพันธะและ ID พันธะของอะตอม 45")</f>
        <v>ระบุประเภทพันธะและ ID พันธะของอะตอม 45</v>
      </c>
      <c r="F248" s="1" t="s">
        <v>866</v>
      </c>
      <c r="G248" s="1" t="s">
        <v>867</v>
      </c>
      <c r="H248" s="1" t="s">
        <v>18</v>
      </c>
    </row>
    <row r="249">
      <c r="A249" s="1">
        <v>247.0</v>
      </c>
      <c r="B249" s="1" t="s">
        <v>663</v>
      </c>
      <c r="C249" s="1" t="s">
        <v>868</v>
      </c>
      <c r="D249" s="1" t="s">
        <v>869</v>
      </c>
      <c r="E249" s="2" t="str">
        <f>IFERROR(__xludf.DUMMYFUNCTION("GOOGLETRANSLATE(C249, ""en"", ""th"")"),"แสดงรายการองค์ประกอบทั้งหมดของอะตอมที่ไม่สามารถสร้างพันธะกับอะตอมอื่นได้")</f>
        <v>แสดงรายการองค์ประกอบทั้งหมดของอะตอมที่ไม่สามารถสร้างพันธะกับอะตอมอื่นได้</v>
      </c>
      <c r="F249" s="1" t="s">
        <v>870</v>
      </c>
      <c r="G249" s="1" t="s">
        <v>871</v>
      </c>
      <c r="H249" s="1" t="s">
        <v>101</v>
      </c>
    </row>
    <row r="250">
      <c r="A250" s="1">
        <v>248.0</v>
      </c>
      <c r="B250" s="1" t="s">
        <v>663</v>
      </c>
      <c r="C250" s="1" t="s">
        <v>872</v>
      </c>
      <c r="D250" s="1" t="s">
        <v>873</v>
      </c>
      <c r="E250" s="2" t="str">
        <f>IFERROR(__xludf.DUMMYFUNCTION("GOOGLETRANSLATE(C250, ""en"", ""th"")"),"อะตอมของพันธะสามที่มีโมเลกุล ""TR041"" มีอะตอมอะไรบ้าง?")</f>
        <v>อะตอมของพันธะสามที่มีโมเลกุล "TR041" มีอะตอมอะไรบ้าง?</v>
      </c>
      <c r="F250" s="1" t="s">
        <v>874</v>
      </c>
      <c r="G250" s="1" t="s">
        <v>875</v>
      </c>
      <c r="H250" s="1" t="s">
        <v>13</v>
      </c>
    </row>
    <row r="251">
      <c r="A251" s="1">
        <v>249.0</v>
      </c>
      <c r="B251" s="1" t="s">
        <v>663</v>
      </c>
      <c r="C251" s="1" t="s">
        <v>876</v>
      </c>
      <c r="D251" s="1" t="s">
        <v>877</v>
      </c>
      <c r="E251" s="2" t="str">
        <f>IFERROR(__xludf.DUMMYFUNCTION("GOOGLETRANSLATE(C251, ""en"", ""th"")"),"องค์ประกอบของอะตอมของ TR144_8_19 มีอะไรบ้าง?")</f>
        <v>องค์ประกอบของอะตอมของ TR144_8_19 มีอะไรบ้าง?</v>
      </c>
      <c r="F251" s="1" t="s">
        <v>878</v>
      </c>
      <c r="G251" s="1" t="s">
        <v>879</v>
      </c>
      <c r="H251" s="1" t="s">
        <v>101</v>
      </c>
    </row>
    <row r="252">
      <c r="A252" s="1">
        <v>250.0</v>
      </c>
      <c r="B252" s="1" t="s">
        <v>663</v>
      </c>
      <c r="C252" s="1" t="s">
        <v>880</v>
      </c>
      <c r="D252" s="1" t="s">
        <v>881</v>
      </c>
      <c r="E252" s="2" t="str">
        <f>IFERROR(__xludf.DUMMYFUNCTION("GOOGLETRANSLATE(C252, ""en"", ""th"")"),"ในบรรดาโมเลกุลของสารก่อมะเร็งทั้งหมด โมเลกุลใดมีพันธะคู่มากที่สุด?")</f>
        <v>ในบรรดาโมเลกุลของสารก่อมะเร็งทั้งหมด โมเลกุลใดมีพันธะคู่มากที่สุด?</v>
      </c>
      <c r="F252" s="1" t="s">
        <v>882</v>
      </c>
      <c r="G252" s="1" t="s">
        <v>883</v>
      </c>
      <c r="H252" s="1" t="s">
        <v>18</v>
      </c>
    </row>
    <row r="253">
      <c r="A253" s="1">
        <v>251.0</v>
      </c>
      <c r="B253" s="1" t="s">
        <v>663</v>
      </c>
      <c r="C253" s="1" t="s">
        <v>884</v>
      </c>
      <c r="D253" s="1" t="s">
        <v>885</v>
      </c>
      <c r="E253" s="2" t="str">
        <f>IFERROR(__xludf.DUMMYFUNCTION("GOOGLETRANSLATE(C253, ""en"", ""th"")"),"องค์ประกอบที่พบน้อยที่สุดในโมเลกุลของสารก่อมะเร็งทั้งหมดคืออะไร?")</f>
        <v>องค์ประกอบที่พบน้อยที่สุดในโมเลกุลของสารก่อมะเร็งทั้งหมดคืออะไร?</v>
      </c>
      <c r="F253" s="1" t="s">
        <v>886</v>
      </c>
      <c r="G253" s="1" t="s">
        <v>887</v>
      </c>
      <c r="H253" s="1" t="s">
        <v>18</v>
      </c>
    </row>
    <row r="254">
      <c r="A254" s="1">
        <v>252.0</v>
      </c>
      <c r="B254" s="1" t="s">
        <v>663</v>
      </c>
      <c r="C254" s="1" t="s">
        <v>888</v>
      </c>
      <c r="D254" s="1" t="s">
        <v>889</v>
      </c>
      <c r="E254" s="2" t="str">
        <f>IFERROR(__xludf.DUMMYFUNCTION("GOOGLETRANSLATE(C254, ""en"", ""th"")"),"อะตอมที่สามารถเกิดพันธะกับอะตอมที่มีธาตุตะกั่วได้มีอะไรบ้าง")</f>
        <v>อะตอมที่สามารถเกิดพันธะกับอะตอมที่มีธาตุตะกั่วได้มีอะไรบ้าง</v>
      </c>
      <c r="F254" s="1" t="s">
        <v>890</v>
      </c>
      <c r="G254" s="1" t="s">
        <v>891</v>
      </c>
      <c r="H254" s="1" t="s">
        <v>13</v>
      </c>
    </row>
    <row r="255">
      <c r="A255" s="1">
        <v>253.0</v>
      </c>
      <c r="B255" s="1" t="s">
        <v>663</v>
      </c>
      <c r="C255" s="1" t="s">
        <v>892</v>
      </c>
      <c r="D255" s="1" t="s">
        <v>749</v>
      </c>
      <c r="E255" s="2" t="str">
        <f>IFERROR(__xludf.DUMMYFUNCTION("GOOGLETRANSLATE(C255, ""en"", ""th"")"),"ระบุองค์ประกอบของพันธะสามทั้งหมด")</f>
        <v>ระบุองค์ประกอบของพันธะสามทั้งหมด</v>
      </c>
      <c r="F255" s="1" t="s">
        <v>750</v>
      </c>
      <c r="G255" s="1" t="s">
        <v>893</v>
      </c>
      <c r="H255" s="1" t="s">
        <v>101</v>
      </c>
    </row>
    <row r="256">
      <c r="A256" s="1">
        <v>254.0</v>
      </c>
      <c r="B256" s="1" t="s">
        <v>663</v>
      </c>
      <c r="C256" s="1" t="s">
        <v>894</v>
      </c>
      <c r="D256" s="1" t="s">
        <v>895</v>
      </c>
      <c r="E256" s="2" t="str">
        <f>IFERROR(__xludf.DUMMYFUNCTION("GOOGLETRANSLATE(C256, ""en"", ""th"")"),"พันธะที่มีองค์ประกอบของอะตอมรวมกันมากที่สุดมีกี่เปอร์เซ็นต์?")</f>
        <v>พันธะที่มีองค์ประกอบของอะตอมรวมกันมากที่สุดมีกี่เปอร์เซ็นต์?</v>
      </c>
      <c r="F256" s="1" t="s">
        <v>896</v>
      </c>
      <c r="G256" s="1" t="s">
        <v>897</v>
      </c>
      <c r="H256" s="1" t="s">
        <v>18</v>
      </c>
    </row>
    <row r="257">
      <c r="A257" s="1">
        <v>255.0</v>
      </c>
      <c r="B257" s="1" t="s">
        <v>663</v>
      </c>
      <c r="C257" s="1" t="s">
        <v>898</v>
      </c>
      <c r="D257" s="1" t="s">
        <v>899</v>
      </c>
      <c r="E257" s="2" t="str">
        <f>IFERROR(__xludf.DUMMYFUNCTION("GOOGLETRANSLATE(C257, ""en"", ""th"")"),"พันธะเดี่ยวมีสัดส่วนเป็นสารก่อมะเร็งเท่าใด โปรดระบุคำตอบของคุณเป็นเปอร์เซ็นต์โดยมีทศนิยมห้าตำแหน่ง")</f>
        <v>พันธะเดี่ยวมีสัดส่วนเป็นสารก่อมะเร็งเท่าใด โปรดระบุคำตอบของคุณเป็นเปอร์เซ็นต์โดยมีทศนิยมห้าตำแหน่ง</v>
      </c>
      <c r="F257" s="1" t="s">
        <v>900</v>
      </c>
      <c r="G257" s="1" t="s">
        <v>901</v>
      </c>
      <c r="H257" s="1" t="s">
        <v>18</v>
      </c>
    </row>
    <row r="258">
      <c r="A258" s="1">
        <v>256.0</v>
      </c>
      <c r="B258" s="1" t="s">
        <v>663</v>
      </c>
      <c r="C258" s="1" t="s">
        <v>902</v>
      </c>
      <c r="D258" s="1" t="s">
        <v>903</v>
      </c>
      <c r="E258" s="2" t="str">
        <f>IFERROR(__xludf.DUMMYFUNCTION("GOOGLETRANSLATE(C258, ""en"", ""th"")"),"คำนวณอะตอมทั้งหมดที่ประกอบด้วยธาตุคาร์บอนและไฮโดรเจน")</f>
        <v>คำนวณอะตอมทั้งหมดที่ประกอบด้วยธาตุคาร์บอนและไฮโดรเจน</v>
      </c>
      <c r="F258" s="1" t="s">
        <v>904</v>
      </c>
      <c r="G258" s="1" t="s">
        <v>905</v>
      </c>
      <c r="H258" s="1" t="s">
        <v>13</v>
      </c>
    </row>
    <row r="259">
      <c r="A259" s="1">
        <v>257.0</v>
      </c>
      <c r="B259" s="1" t="s">
        <v>663</v>
      </c>
      <c r="C259" s="1" t="s">
        <v>906</v>
      </c>
      <c r="D259" s="1" t="s">
        <v>907</v>
      </c>
      <c r="E259" s="2" t="str">
        <f>IFERROR(__xludf.DUMMYFUNCTION("GOOGLETRANSLATE(C259, ""en"", ""th"")"),"ลงรายการอะตอม id2 สำหรับอะตอมที่มีธาตุกำมะถัน")</f>
        <v>ลงรายการอะตอม id2 สำหรับอะตอมที่มีธาตุกำมะถัน</v>
      </c>
      <c r="F259" s="1" t="s">
        <v>908</v>
      </c>
      <c r="G259" s="1" t="s">
        <v>909</v>
      </c>
      <c r="H259" s="1" t="s">
        <v>13</v>
      </c>
    </row>
    <row r="260">
      <c r="A260" s="1">
        <v>258.0</v>
      </c>
      <c r="B260" s="1" t="s">
        <v>663</v>
      </c>
      <c r="C260" s="1" t="s">
        <v>910</v>
      </c>
      <c r="D260" s="1" t="s">
        <v>911</v>
      </c>
      <c r="E260" s="2" t="str">
        <f>IFERROR(__xludf.DUMMYFUNCTION("GOOGLETRANSLATE(C260, ""en"", ""th"")"),"อะตอมที่มีธาตุดีบุกมีพันธะประเภทใด")</f>
        <v>อะตอมที่มีธาตุดีบุกมีพันธะประเภทใด</v>
      </c>
      <c r="F260" s="1" t="s">
        <v>912</v>
      </c>
      <c r="G260" s="1" t="s">
        <v>913</v>
      </c>
      <c r="H260" s="1" t="s">
        <v>18</v>
      </c>
    </row>
    <row r="261">
      <c r="A261" s="1">
        <v>259.0</v>
      </c>
      <c r="B261" s="1" t="s">
        <v>663</v>
      </c>
      <c r="C261" s="1" t="s">
        <v>914</v>
      </c>
      <c r="D261" s="1" t="s">
        <v>915</v>
      </c>
      <c r="E261" s="2" t="str">
        <f>IFERROR(__xludf.DUMMYFUNCTION("GOOGLETRANSLATE(C261, ""en"", ""th"")"),"โมเลกุลของพันธะเดี่ยวมีองค์ประกอบกี่องค์ประกอบ?")</f>
        <v>โมเลกุลของพันธะเดี่ยวมีองค์ประกอบกี่องค์ประกอบ?</v>
      </c>
      <c r="F261" s="1" t="s">
        <v>916</v>
      </c>
      <c r="G261" s="1" t="s">
        <v>917</v>
      </c>
      <c r="H261" s="1" t="s">
        <v>13</v>
      </c>
    </row>
    <row r="262">
      <c r="A262" s="1">
        <v>260.0</v>
      </c>
      <c r="B262" s="1" t="s">
        <v>663</v>
      </c>
      <c r="C262" s="1" t="s">
        <v>918</v>
      </c>
      <c r="D262" s="1" t="s">
        <v>919</v>
      </c>
      <c r="E262" s="2" t="str">
        <f>IFERROR(__xludf.DUMMYFUNCTION("GOOGLETRANSLATE(C262, ""en"", ""th"")"),"คำนวณอะตอมทั้งหมดที่มีโมเลกุลพันธะสามที่มีธาตุฟอสฟอรัสหรือโบรมีน")</f>
        <v>คำนวณอะตอมทั้งหมดที่มีโมเลกุลพันธะสามที่มีธาตุฟอสฟอรัสหรือโบรมีน</v>
      </c>
      <c r="F262" s="1" t="s">
        <v>920</v>
      </c>
      <c r="G262" s="1" t="s">
        <v>921</v>
      </c>
      <c r="H262" s="1" t="s">
        <v>18</v>
      </c>
    </row>
    <row r="263">
      <c r="A263" s="1">
        <v>261.0</v>
      </c>
      <c r="B263" s="1" t="s">
        <v>663</v>
      </c>
      <c r="C263" s="1" t="s">
        <v>922</v>
      </c>
      <c r="D263" s="1" t="s">
        <v>885</v>
      </c>
      <c r="E263" s="2" t="str">
        <f>IFERROR(__xludf.DUMMYFUNCTION("GOOGLETRANSLATE(C263, ""en"", ""th"")"),"จดรหัสพันธะสำหรับโมเลกุลที่เป็นสารก่อมะเร็ง")</f>
        <v>จดรหัสพันธะสำหรับโมเลกุลที่เป็นสารก่อมะเร็ง</v>
      </c>
      <c r="F263" s="1" t="s">
        <v>886</v>
      </c>
      <c r="G263" s="1" t="s">
        <v>923</v>
      </c>
      <c r="H263" s="1" t="s">
        <v>13</v>
      </c>
    </row>
    <row r="264">
      <c r="A264" s="1">
        <v>262.0</v>
      </c>
      <c r="B264" s="1" t="s">
        <v>663</v>
      </c>
      <c r="C264" s="1" t="s">
        <v>924</v>
      </c>
      <c r="D264" s="1" t="s">
        <v>925</v>
      </c>
      <c r="E264" s="2" t="str">
        <f>IFERROR(__xludf.DUMMYFUNCTION("GOOGLETRANSLATE(C264, ""en"", ""th"")"),"ในบรรดารหัสโมเลกุลพันธะเดี่ยว โมเลกุลใดไม่เป็นสารก่อมะเร็ง")</f>
        <v>ในบรรดารหัสโมเลกุลพันธะเดี่ยว โมเลกุลใดไม่เป็นสารก่อมะเร็ง</v>
      </c>
      <c r="F264" s="1" t="s">
        <v>926</v>
      </c>
      <c r="G264" s="1" t="s">
        <v>927</v>
      </c>
      <c r="H264" s="1" t="s">
        <v>13</v>
      </c>
    </row>
    <row r="265">
      <c r="A265" s="1">
        <v>263.0</v>
      </c>
      <c r="B265" s="1" t="s">
        <v>663</v>
      </c>
      <c r="C265" s="1" t="s">
        <v>928</v>
      </c>
      <c r="D265" s="1" t="s">
        <v>929</v>
      </c>
      <c r="E265" s="2" t="str">
        <f>IFERROR(__xludf.DUMMYFUNCTION("GOOGLETRANSLATE(C265, ""en"", ""th"")"),"องค์ประกอบของคลอรีนเป็นเปอร์เซ็นต์ในบรรดาโมเลกุลพันธะเดี่ยวคืออะไร?")</f>
        <v>องค์ประกอบของคลอรีนเป็นเปอร์เซ็นต์ในบรรดาโมเลกุลพันธะเดี่ยวคืออะไร?</v>
      </c>
      <c r="F265" s="1" t="s">
        <v>930</v>
      </c>
      <c r="G265" s="1" t="s">
        <v>931</v>
      </c>
      <c r="H265" s="1" t="s">
        <v>101</v>
      </c>
    </row>
    <row r="266">
      <c r="A266" s="1">
        <v>264.0</v>
      </c>
      <c r="B266" s="1" t="s">
        <v>663</v>
      </c>
      <c r="C266" s="1" t="s">
        <v>932</v>
      </c>
      <c r="D266" s="1" t="s">
        <v>933</v>
      </c>
      <c r="E266" s="2" t="str">
        <f>IFERROR(__xludf.DUMMYFUNCTION("GOOGLETRANSLATE(C266, ""en"", ""th"")"),"ฉลากสำหรับ TR000, TR001 และ TR002 คืออะไร?")</f>
        <v>ฉลากสำหรับ TR000, TR001 และ TR002 คืออะไร?</v>
      </c>
      <c r="F266" s="1" t="s">
        <v>934</v>
      </c>
      <c r="G266" s="1" t="s">
        <v>935</v>
      </c>
      <c r="H266" s="1" t="s">
        <v>13</v>
      </c>
    </row>
    <row r="267">
      <c r="A267" s="1">
        <v>265.0</v>
      </c>
      <c r="B267" s="1" t="s">
        <v>663</v>
      </c>
      <c r="C267" s="1" t="s">
        <v>936</v>
      </c>
      <c r="D267" s="1" t="s">
        <v>729</v>
      </c>
      <c r="E267" s="2" t="str">
        <f>IFERROR(__xludf.DUMMYFUNCTION("GOOGLETRANSLATE(C267, ""en"", ""th"")"),"ลงรายการรหัสโมเลกุลสำหรับโมเลกุลที่ไม่ก่อมะเร็ง")</f>
        <v>ลงรายการรหัสโมเลกุลสำหรับโมเลกุลที่ไม่ก่อมะเร็ง</v>
      </c>
      <c r="F267" s="1" t="s">
        <v>730</v>
      </c>
      <c r="G267" s="1" t="s">
        <v>937</v>
      </c>
      <c r="H267" s="1" t="s">
        <v>13</v>
      </c>
    </row>
    <row r="268">
      <c r="A268" s="1">
        <v>266.0</v>
      </c>
      <c r="B268" s="1" t="s">
        <v>663</v>
      </c>
      <c r="C268" s="1" t="s">
        <v>938</v>
      </c>
      <c r="D268" s="1" t="s">
        <v>885</v>
      </c>
      <c r="E268" s="2" t="str">
        <f>IFERROR(__xludf.DUMMYFUNCTION("GOOGLETRANSLATE(C268, ""en"", ""th"")"),"คำนวณโมเลกุลของสารก่อมะเร็งทั้งหมดสำหรับรหัสโมเลกุลตั้งแต่ TR000 ถึง TR030")</f>
        <v>คำนวณโมเลกุลของสารก่อมะเร็งทั้งหมดสำหรับรหัสโมเลกุลตั้งแต่ TR000 ถึง TR030</v>
      </c>
      <c r="F268" s="1" t="s">
        <v>886</v>
      </c>
      <c r="G268" s="1" t="s">
        <v>939</v>
      </c>
      <c r="H268" s="1" t="s">
        <v>13</v>
      </c>
    </row>
    <row r="269">
      <c r="A269" s="1">
        <v>267.0</v>
      </c>
      <c r="B269" s="1" t="s">
        <v>663</v>
      </c>
      <c r="C269" s="1" t="s">
        <v>940</v>
      </c>
      <c r="D269" s="1" t="s">
        <v>941</v>
      </c>
      <c r="E269" s="2" t="str">
        <f>IFERROR(__xludf.DUMMYFUNCTION("GOOGLETRANSLATE(C269, ""en"", ""th"")"),"ลงรายการประเภทพันธะสำหรับโมเลกุลตั้งแต่รหัสโมเลกุล TR000 ถึง TR050")</f>
        <v>ลงรายการประเภทพันธะสำหรับโมเลกุลตั้งแต่รหัสโมเลกุล TR000 ถึง TR050</v>
      </c>
      <c r="F269" s="1" t="s">
        <v>942</v>
      </c>
      <c r="G269" s="1" t="s">
        <v>943</v>
      </c>
      <c r="H269" s="1" t="s">
        <v>18</v>
      </c>
    </row>
    <row r="270">
      <c r="A270" s="1">
        <v>268.0</v>
      </c>
      <c r="B270" s="1" t="s">
        <v>663</v>
      </c>
      <c r="C270" s="1" t="s">
        <v>944</v>
      </c>
      <c r="D270" s="1" t="s">
        <v>945</v>
      </c>
      <c r="E270" s="2" t="str">
        <f>IFERROR(__xludf.DUMMYFUNCTION("GOOGLETRANSLATE(C270, ""en"", ""th"")"),"องค์ประกอบสำหรับรหัสพันธบัตร TR001_10_11 มีอะไรบ้าง")</f>
        <v>องค์ประกอบสำหรับรหัสพันธบัตร TR001_10_11 มีอะไรบ้าง</v>
      </c>
      <c r="F270" s="1" t="s">
        <v>946</v>
      </c>
      <c r="G270" s="1" t="s">
        <v>947</v>
      </c>
      <c r="H270" s="1" t="s">
        <v>101</v>
      </c>
    </row>
    <row r="271">
      <c r="A271" s="1">
        <v>269.0</v>
      </c>
      <c r="B271" s="1" t="s">
        <v>663</v>
      </c>
      <c r="C271" s="1" t="s">
        <v>948</v>
      </c>
      <c r="D271" s="1" t="s">
        <v>949</v>
      </c>
      <c r="E271" s="2" t="str">
        <f>IFERROR(__xludf.DUMMYFUNCTION("GOOGLETRANSLATE(C271, ""en"", ""th"")"),"รหัสพันธะมีธาตุไอโอดีนจำนวนเท่าใด")</f>
        <v>รหัสพันธะมีธาตุไอโอดีนจำนวนเท่าใด</v>
      </c>
      <c r="F271" s="1" t="s">
        <v>950</v>
      </c>
      <c r="G271" s="1" t="s">
        <v>951</v>
      </c>
      <c r="H271" s="1" t="s">
        <v>13</v>
      </c>
    </row>
    <row r="272">
      <c r="A272" s="1">
        <v>270.0</v>
      </c>
      <c r="B272" s="1" t="s">
        <v>663</v>
      </c>
      <c r="C272" s="1" t="s">
        <v>952</v>
      </c>
      <c r="D272" s="1" t="s">
        <v>953</v>
      </c>
      <c r="E272" s="2" t="str">
        <f>IFERROR(__xludf.DUMMYFUNCTION("GOOGLETRANSLATE(C272, ""en"", ""th"")"),"ในบรรดาโมเลกุลที่มีธาตุแคลเซียม ส่วนใหญ่เป็นสารก่อมะเร็งหรือไม่ก่อมะเร็ง?")</f>
        <v>ในบรรดาโมเลกุลที่มีธาตุแคลเซียม ส่วนใหญ่เป็นสารก่อมะเร็งหรือไม่ก่อมะเร็ง?</v>
      </c>
      <c r="F272" s="1" t="s">
        <v>954</v>
      </c>
      <c r="G272" s="1" t="s">
        <v>955</v>
      </c>
      <c r="H272" s="1" t="s">
        <v>18</v>
      </c>
    </row>
    <row r="273">
      <c r="A273" s="1">
        <v>271.0</v>
      </c>
      <c r="B273" s="1" t="s">
        <v>663</v>
      </c>
      <c r="C273" s="1" t="s">
        <v>956</v>
      </c>
      <c r="D273" s="1" t="s">
        <v>957</v>
      </c>
      <c r="E273" s="2" t="str">
        <f>IFERROR(__xludf.DUMMYFUNCTION("GOOGLETRANSLATE(C273, ""en"", ""th"")"),"Bond id TR001_1_8 มีทั้งธาตุคลอรีนและคาร์บอนหรือไม่?")</f>
        <v>Bond id TR001_1_8 มีทั้งธาตุคลอรีนและคาร์บอนหรือไม่?</v>
      </c>
      <c r="F273" s="1" t="s">
        <v>958</v>
      </c>
      <c r="G273" s="1" t="s">
        <v>959</v>
      </c>
      <c r="H273" s="1" t="s">
        <v>13</v>
      </c>
    </row>
    <row r="274">
      <c r="A274" s="1">
        <v>272.0</v>
      </c>
      <c r="B274" s="1" t="s">
        <v>663</v>
      </c>
      <c r="C274" s="1" t="s">
        <v>960</v>
      </c>
      <c r="D274" s="1" t="s">
        <v>961</v>
      </c>
      <c r="E274" s="2" t="str">
        <f>IFERROR(__xludf.DUMMYFUNCTION("GOOGLETRANSLATE(C274, ""en"", ""th"")"),"แสดงรายการ ID โมเลกุล 2 โมเลกุลของโมเลกุลที่ไม่ก่อมะเร็งด้วยพันธะสามที่มีธาตุคาร์บอน")</f>
        <v>แสดงรายการ ID โมเลกุล 2 โมเลกุลของโมเลกุลที่ไม่ก่อมะเร็งด้วยพันธะสามที่มีธาตุคาร์บอน</v>
      </c>
      <c r="F274" s="1" t="s">
        <v>962</v>
      </c>
      <c r="G274" s="1" t="s">
        <v>963</v>
      </c>
      <c r="H274" s="1" t="s">
        <v>18</v>
      </c>
    </row>
    <row r="275">
      <c r="A275" s="1">
        <v>273.0</v>
      </c>
      <c r="B275" s="1" t="s">
        <v>663</v>
      </c>
      <c r="C275" s="1" t="s">
        <v>964</v>
      </c>
      <c r="D275" s="1" t="s">
        <v>965</v>
      </c>
      <c r="E275" s="2" t="str">
        <f>IFERROR(__xludf.DUMMYFUNCTION("GOOGLETRANSLATE(C275, ""en"", ""th"")"),"เปอร์เซ็นต์ของธาตุคลอรีนในโมเลกุลของสารก่อมะเร็งคือเท่าไร?")</f>
        <v>เปอร์เซ็นต์ของธาตุคลอรีนในโมเลกุลของสารก่อมะเร็งคือเท่าไร?</v>
      </c>
      <c r="F275" s="1" t="s">
        <v>966</v>
      </c>
      <c r="G275" s="1" t="s">
        <v>967</v>
      </c>
      <c r="H275" s="1" t="s">
        <v>18</v>
      </c>
    </row>
    <row r="276">
      <c r="A276" s="1">
        <v>274.0</v>
      </c>
      <c r="B276" s="1" t="s">
        <v>663</v>
      </c>
      <c r="C276" s="1" t="s">
        <v>968</v>
      </c>
      <c r="D276" s="1" t="s">
        <v>969</v>
      </c>
      <c r="E276" s="2" t="str">
        <f>IFERROR(__xludf.DUMMYFUNCTION("GOOGLETRANSLATE(C276, ""en"", ""th"")"),"ระบุองค์ประกอบทางพิษวิทยาที่เกี่ยวข้องกับโมเลกุล TR001")</f>
        <v>ระบุองค์ประกอบทางพิษวิทยาที่เกี่ยวข้องกับโมเลกุล TR001</v>
      </c>
      <c r="F276" s="1" t="s">
        <v>970</v>
      </c>
      <c r="G276" s="1" t="s">
        <v>971</v>
      </c>
      <c r="H276" s="1" t="s">
        <v>13</v>
      </c>
    </row>
    <row r="277">
      <c r="A277" s="1">
        <v>275.0</v>
      </c>
      <c r="B277" s="1" t="s">
        <v>663</v>
      </c>
      <c r="C277" s="1" t="s">
        <v>972</v>
      </c>
      <c r="D277" s="1" t="s">
        <v>785</v>
      </c>
      <c r="E277" s="2" t="str">
        <f>IFERROR(__xludf.DUMMYFUNCTION("GOOGLETRANSLATE(C277, ""en"", ""th"")"),"ขอรหัสโมเลกุลของประเภทพันธะคู่หน่อย")</f>
        <v>ขอรหัสโมเลกุลของประเภทพันธะคู่หน่อย</v>
      </c>
      <c r="F277" s="1" t="s">
        <v>786</v>
      </c>
      <c r="G277" s="1" t="s">
        <v>973</v>
      </c>
      <c r="H277" s="1" t="s">
        <v>13</v>
      </c>
    </row>
    <row r="278">
      <c r="A278" s="1">
        <v>276.0</v>
      </c>
      <c r="B278" s="1" t="s">
        <v>663</v>
      </c>
      <c r="C278" s="1" t="s">
        <v>974</v>
      </c>
      <c r="D278" s="1" t="s">
        <v>975</v>
      </c>
      <c r="E278" s="2" t="str">
        <f>IFERROR(__xludf.DUMMYFUNCTION("GOOGLETRANSLATE(C278, ""en"", ""th"")"),"เขียนรหัสอะตอมของอะตอมที่หนึ่งและที่สองของโมเลกุลประเภทพันธะสาม")</f>
        <v>เขียนรหัสอะตอมของอะตอมที่หนึ่งและที่สองของโมเลกุลประเภทพันธะสาม</v>
      </c>
      <c r="F278" s="1" t="s">
        <v>976</v>
      </c>
      <c r="G278" s="1" t="s">
        <v>751</v>
      </c>
      <c r="H278" s="1" t="s">
        <v>13</v>
      </c>
    </row>
    <row r="279">
      <c r="A279" s="1">
        <v>277.0</v>
      </c>
      <c r="B279" s="1" t="s">
        <v>663</v>
      </c>
      <c r="C279" s="1" t="s">
        <v>977</v>
      </c>
      <c r="D279" s="1" t="s">
        <v>978</v>
      </c>
      <c r="E279" s="2" t="str">
        <f>IFERROR(__xludf.DUMMYFUNCTION("GOOGLETRANSLATE(C279, ""en"", ""th"")"),"องค์ประกอบทางพิษวิทยาที่เกี่ยวข้องกับพันธะ ID TR000_1_2 มีอะไรบ้าง")</f>
        <v>องค์ประกอบทางพิษวิทยาที่เกี่ยวข้องกับพันธะ ID TR000_1_2 มีอะไรบ้าง</v>
      </c>
      <c r="F279" s="1" t="s">
        <v>979</v>
      </c>
      <c r="G279" s="1" t="s">
        <v>980</v>
      </c>
      <c r="H279" s="1" t="s">
        <v>101</v>
      </c>
    </row>
    <row r="280">
      <c r="A280" s="1">
        <v>278.0</v>
      </c>
      <c r="B280" s="1" t="s">
        <v>663</v>
      </c>
      <c r="C280" s="1" t="s">
        <v>981</v>
      </c>
      <c r="D280" s="1" t="s">
        <v>925</v>
      </c>
      <c r="E280" s="2" t="str">
        <f>IFERROR(__xludf.DUMMYFUNCTION("GOOGLETRANSLATE(C280, ""en"", ""th"")"),"พันธะเดี่ยวมีกี่โมเลกุลที่ไม่ก่อมะเร็ง?")</f>
        <v>พันธะเดี่ยวมีกี่โมเลกุลที่ไม่ก่อมะเร็ง?</v>
      </c>
      <c r="F280" s="1" t="s">
        <v>926</v>
      </c>
      <c r="G280" s="1" t="s">
        <v>982</v>
      </c>
      <c r="H280" s="1" t="s">
        <v>13</v>
      </c>
    </row>
    <row r="281">
      <c r="A281" s="1">
        <v>279.0</v>
      </c>
      <c r="B281" s="1" t="s">
        <v>663</v>
      </c>
      <c r="C281" s="1" t="s">
        <v>983</v>
      </c>
      <c r="D281" s="1" t="s">
        <v>984</v>
      </c>
      <c r="E281" s="2" t="str">
        <f>IFERROR(__xludf.DUMMYFUNCTION("GOOGLETRANSLATE(C281, ""en"", ""th"")"),"ป้ายชื่อพันธบัตร ID TR001_10_11 คืออะไร")</f>
        <v>ป้ายชื่อพันธบัตร ID TR001_10_11 คืออะไร</v>
      </c>
      <c r="F281" s="1" t="s">
        <v>985</v>
      </c>
      <c r="G281" s="1" t="s">
        <v>986</v>
      </c>
      <c r="H281" s="1" t="s">
        <v>13</v>
      </c>
    </row>
    <row r="282">
      <c r="A282" s="1">
        <v>280.0</v>
      </c>
      <c r="B282" s="1" t="s">
        <v>663</v>
      </c>
      <c r="C282" s="1" t="s">
        <v>987</v>
      </c>
      <c r="D282" s="1" t="s">
        <v>988</v>
      </c>
      <c r="E282" s="2" t="str">
        <f>IFERROR(__xludf.DUMMYFUNCTION("GOOGLETRANSLATE(C282, ""en"", ""th"")"),"แจกแจง ID พันธะของโมเลกุลประเภทพันธะสาม และบอกฉันว่าเป็นสารก่อมะเร็งหรือไม่")</f>
        <v>แจกแจง ID พันธะของโมเลกุลประเภทพันธะสาม และบอกฉันว่าเป็นสารก่อมะเร็งหรือไม่</v>
      </c>
      <c r="F282" s="1" t="s">
        <v>989</v>
      </c>
      <c r="G282" s="1" t="s">
        <v>990</v>
      </c>
      <c r="H282" s="1" t="s">
        <v>18</v>
      </c>
    </row>
    <row r="283">
      <c r="A283" s="1">
        <v>281.0</v>
      </c>
      <c r="B283" s="1" t="s">
        <v>663</v>
      </c>
      <c r="C283" s="1" t="s">
        <v>991</v>
      </c>
      <c r="D283" s="1" t="s">
        <v>992</v>
      </c>
      <c r="E283" s="2" t="str">
        <f>IFERROR(__xludf.DUMMYFUNCTION("GOOGLETRANSLATE(C283, ""en"", ""th"")"),"นับองค์ประกอบทางพิษวิทยาของอะตอมที่ 4 ของแต่ละโมเลกุลที่เป็นสารก่อมะเร็ง")</f>
        <v>นับองค์ประกอบทางพิษวิทยาของอะตอมที่ 4 ของแต่ละโมเลกุลที่เป็นสารก่อมะเร็ง</v>
      </c>
      <c r="F283" s="1" t="s">
        <v>993</v>
      </c>
      <c r="G283" s="1" t="s">
        <v>994</v>
      </c>
      <c r="H283" s="1" t="s">
        <v>101</v>
      </c>
    </row>
    <row r="284">
      <c r="A284" s="1">
        <v>282.0</v>
      </c>
      <c r="B284" s="1" t="s">
        <v>663</v>
      </c>
      <c r="C284" s="1" t="s">
        <v>995</v>
      </c>
      <c r="D284" s="1" t="s">
        <v>996</v>
      </c>
      <c r="E284" s="2" t="str">
        <f>IFERROR(__xludf.DUMMYFUNCTION("GOOGLETRANSLATE(C284, ""en"", ""th"")"),"อัตราส่วนของธาตุไฮโดรเจนในโมเลกุล ID TR006 เป็นเท่าใด ระบุอัตราส่วนพร้อมป้ายกำกับ")</f>
        <v>อัตราส่วนของธาตุไฮโดรเจนในโมเลกุล ID TR006 เป็นเท่าใด ระบุอัตราส่วนพร้อมป้ายกำกับ</v>
      </c>
      <c r="F284" s="1" t="s">
        <v>997</v>
      </c>
      <c r="G284" s="1" t="s">
        <v>998</v>
      </c>
      <c r="H284" s="1" t="s">
        <v>101</v>
      </c>
    </row>
    <row r="285">
      <c r="A285" s="1">
        <v>283.0</v>
      </c>
      <c r="B285" s="1" t="s">
        <v>663</v>
      </c>
      <c r="C285" s="1" t="s">
        <v>999</v>
      </c>
      <c r="D285" s="1" t="s">
        <v>1000</v>
      </c>
      <c r="E285" s="2" t="str">
        <f>IFERROR(__xludf.DUMMYFUNCTION("GOOGLETRANSLATE(C285, ""en"", ""th"")"),"ระบุว่าสารประกอบทางเคมีที่มีแคลเซียมเป็นสารก่อมะเร็งหรือไม่")</f>
        <v>ระบุว่าสารประกอบทางเคมีที่มีแคลเซียมเป็นสารก่อมะเร็งหรือไม่</v>
      </c>
      <c r="F285" s="1" t="s">
        <v>1001</v>
      </c>
      <c r="G285" s="1" t="s">
        <v>1002</v>
      </c>
      <c r="H285" s="1" t="s">
        <v>18</v>
      </c>
    </row>
    <row r="286">
      <c r="A286" s="1">
        <v>284.0</v>
      </c>
      <c r="B286" s="1" t="s">
        <v>663</v>
      </c>
      <c r="C286" s="1" t="s">
        <v>1003</v>
      </c>
      <c r="D286" s="1" t="s">
        <v>1004</v>
      </c>
      <c r="E286" s="2" t="str">
        <f>IFERROR(__xludf.DUMMYFUNCTION("GOOGLETRANSLATE(C286, ""en"", ""th"")"),"กำหนดชนิดของพันธะที่เกิดขึ้นในสารประกอบเคมีที่มีธาตุคาร์บอน")</f>
        <v>กำหนดชนิดของพันธะที่เกิดขึ้นในสารประกอบเคมีที่มีธาตุคาร์บอน</v>
      </c>
      <c r="F286" s="1" t="s">
        <v>1005</v>
      </c>
      <c r="G286" s="1" t="s">
        <v>1006</v>
      </c>
      <c r="H286" s="1" t="s">
        <v>18</v>
      </c>
    </row>
    <row r="287">
      <c r="A287" s="1">
        <v>285.0</v>
      </c>
      <c r="B287" s="1" t="s">
        <v>663</v>
      </c>
      <c r="C287" s="1" t="s">
        <v>1007</v>
      </c>
      <c r="D287" s="1" t="s">
        <v>1008</v>
      </c>
      <c r="E287" s="2" t="str">
        <f>IFERROR(__xludf.DUMMYFUNCTION("GOOGLETRANSLATE(C287, ""en"", ""th"")"),"ตั้งชื่อองค์ประกอบทางเคมีที่ก่อให้เกิดพันธะ TR001_10_11")</f>
        <v>ตั้งชื่อองค์ประกอบทางเคมีที่ก่อให้เกิดพันธะ TR001_10_11</v>
      </c>
      <c r="F287" s="1" t="s">
        <v>1009</v>
      </c>
      <c r="G287" s="1" t="s">
        <v>1010</v>
      </c>
      <c r="H287" s="1" t="s">
        <v>101</v>
      </c>
    </row>
    <row r="288">
      <c r="A288" s="1">
        <v>286.0</v>
      </c>
      <c r="B288" s="1" t="s">
        <v>663</v>
      </c>
      <c r="C288" s="1" t="s">
        <v>1011</v>
      </c>
      <c r="D288" s="1" t="s">
        <v>749</v>
      </c>
      <c r="E288" s="2" t="str">
        <f>IFERROR(__xludf.DUMMYFUNCTION("GOOGLETRANSLATE(C288, ""en"", ""th"")"),"ในบรรดาสารประกอบเคมีทั้งหมดที่ระบุในฐานข้อมูล มีเปอร์เซ็นต์ของสารประกอบที่ก่อให้เกิดพันธะสาม")</f>
        <v>ในบรรดาสารประกอบเคมีทั้งหมดที่ระบุในฐานข้อมูล มีเปอร์เซ็นต์ของสารประกอบที่ก่อให้เกิดพันธะสาม</v>
      </c>
      <c r="F288" s="1" t="s">
        <v>750</v>
      </c>
      <c r="G288" s="1" t="s">
        <v>1012</v>
      </c>
      <c r="H288" s="1" t="s">
        <v>13</v>
      </c>
    </row>
    <row r="289">
      <c r="A289" s="1">
        <v>287.0</v>
      </c>
      <c r="B289" s="1" t="s">
        <v>663</v>
      </c>
      <c r="C289" s="1" t="s">
        <v>1013</v>
      </c>
      <c r="D289" s="1" t="s">
        <v>1014</v>
      </c>
      <c r="E289" s="2" t="str">
        <f>IFERROR(__xludf.DUMMYFUNCTION("GOOGLETRANSLATE(C289, ""en"", ""th"")"),"ในบรรดาสารประกอบเคมีทั้งหมดที่มีโมเลกุล TR047 ให้ระบุเปอร์เซ็นต์ที่ก่อให้เกิดพันธะคู่")</f>
        <v>ในบรรดาสารประกอบเคมีทั้งหมดที่มีโมเลกุล TR047 ให้ระบุเปอร์เซ็นต์ที่ก่อให้เกิดพันธะคู่</v>
      </c>
      <c r="F289" s="1" t="s">
        <v>1015</v>
      </c>
      <c r="G289" s="1" t="s">
        <v>1016</v>
      </c>
      <c r="H289" s="1" t="s">
        <v>18</v>
      </c>
    </row>
    <row r="290">
      <c r="A290" s="1">
        <v>288.0</v>
      </c>
      <c r="B290" s="1" t="s">
        <v>663</v>
      </c>
      <c r="C290" s="1" t="s">
        <v>1017</v>
      </c>
      <c r="D290" s="1" t="s">
        <v>1018</v>
      </c>
      <c r="E290" s="2" t="str">
        <f>IFERROR(__xludf.DUMMYFUNCTION("GOOGLETRANSLATE(C290, ""en"", ""th"")"),"ระบุว่าโมเลกุลที่มีอะตอม TR001_1 เป็นสารก่อมะเร็งหรือไม่")</f>
        <v>ระบุว่าโมเลกุลที่มีอะตอม TR001_1 เป็นสารก่อมะเร็งหรือไม่</v>
      </c>
      <c r="F290" s="1" t="s">
        <v>886</v>
      </c>
      <c r="G290" s="1" t="s">
        <v>1019</v>
      </c>
      <c r="H290" s="1" t="s">
        <v>13</v>
      </c>
    </row>
    <row r="291">
      <c r="A291" s="1">
        <v>289.0</v>
      </c>
      <c r="B291" s="1" t="s">
        <v>663</v>
      </c>
      <c r="C291" s="1" t="s">
        <v>1020</v>
      </c>
      <c r="D291" s="1" t="s">
        <v>1018</v>
      </c>
      <c r="E291" s="2" t="str">
        <f>IFERROR(__xludf.DUMMYFUNCTION("GOOGLETRANSLATE(C291, ""en"", ""th"")"),"โมเลกุล TR151 เป็นสารก่อมะเร็งหรือไม่?")</f>
        <v>โมเลกุล TR151 เป็นสารก่อมะเร็งหรือไม่?</v>
      </c>
      <c r="F291" s="1" t="s">
        <v>886</v>
      </c>
      <c r="G291" s="1" t="s">
        <v>1021</v>
      </c>
      <c r="H291" s="1" t="s">
        <v>13</v>
      </c>
    </row>
    <row r="292">
      <c r="A292" s="1">
        <v>290.0</v>
      </c>
      <c r="B292" s="1" t="s">
        <v>663</v>
      </c>
      <c r="C292" s="1" t="s">
        <v>1022</v>
      </c>
      <c r="D292" s="1" t="s">
        <v>1023</v>
      </c>
      <c r="E292" s="2" t="str">
        <f>IFERROR(__xludf.DUMMYFUNCTION("GOOGLETRANSLATE(C292, ""en"", ""th"")"),"สารพิษชนิดใดที่พบในโมเลกุล TR151")</f>
        <v>สารพิษชนิดใดที่พบในโมเลกุล TR151</v>
      </c>
      <c r="F292" s="1" t="s">
        <v>1024</v>
      </c>
      <c r="G292" s="1" t="s">
        <v>1025</v>
      </c>
      <c r="H292" s="1" t="s">
        <v>101</v>
      </c>
    </row>
    <row r="293">
      <c r="A293" s="1">
        <v>291.0</v>
      </c>
      <c r="B293" s="1" t="s">
        <v>663</v>
      </c>
      <c r="C293" s="1" t="s">
        <v>1026</v>
      </c>
      <c r="D293" s="1" t="s">
        <v>1018</v>
      </c>
      <c r="E293" s="2" t="str">
        <f>IFERROR(__xludf.DUMMYFUNCTION("GOOGLETRANSLATE(C293, ""en"", ""th"")"),"มีสารประกอบทางเคมีในฐานข้อมูลกี่ชนิดที่ถูกระบุว่าเป็นสารก่อมะเร็ง")</f>
        <v>มีสารประกอบทางเคมีในฐานข้อมูลกี่ชนิดที่ถูกระบุว่าเป็นสารก่อมะเร็ง</v>
      </c>
      <c r="F293" s="1" t="s">
        <v>886</v>
      </c>
      <c r="G293" s="1" t="s">
        <v>1027</v>
      </c>
      <c r="H293" s="1" t="s">
        <v>13</v>
      </c>
    </row>
    <row r="294">
      <c r="A294" s="1">
        <v>292.0</v>
      </c>
      <c r="B294" s="1" t="s">
        <v>663</v>
      </c>
      <c r="C294" s="1" t="s">
        <v>1028</v>
      </c>
      <c r="D294" s="1" t="s">
        <v>1029</v>
      </c>
      <c r="E294" s="2" t="str">
        <f>IFERROR(__xludf.DUMMYFUNCTION("GOOGLETRANSLATE(C294, ""en"", ""th"")"),"ระบุอะตอมที่เป็นของโมเลกุลที่มี ID ระหว่าง TR010 ถึง TR050 ซึ่งมีองค์ประกอบคาร์บอน")</f>
        <v>ระบุอะตอมที่เป็นของโมเลกุลที่มี ID ระหว่าง TR010 ถึง TR050 ซึ่งมีองค์ประกอบคาร์บอน</v>
      </c>
      <c r="F294" s="1" t="s">
        <v>1030</v>
      </c>
      <c r="G294" s="1" t="s">
        <v>1031</v>
      </c>
      <c r="H294" s="1" t="s">
        <v>13</v>
      </c>
    </row>
    <row r="295">
      <c r="A295" s="1">
        <v>293.0</v>
      </c>
      <c r="B295" s="1" t="s">
        <v>663</v>
      </c>
      <c r="C295" s="1" t="s">
        <v>1032</v>
      </c>
      <c r="D295" s="1" t="s">
        <v>1018</v>
      </c>
      <c r="E295" s="2" t="str">
        <f>IFERROR(__xludf.DUMMYFUNCTION("GOOGLETRANSLATE(C295, ""en"", ""th"")"),"มีอะตอมกี่อะตอมที่อยู่ในโมเลกุลที่มีป้ายกำกับว่าเป็นสารก่อมะเร็ง?")</f>
        <v>มีอะตอมกี่อะตอมที่อยู่ในโมเลกุลที่มีป้ายกำกับว่าเป็นสารก่อมะเร็ง?</v>
      </c>
      <c r="F295" s="1" t="s">
        <v>886</v>
      </c>
      <c r="G295" s="1" t="s">
        <v>1033</v>
      </c>
      <c r="H295" s="1" t="s">
        <v>13</v>
      </c>
    </row>
    <row r="296">
      <c r="A296" s="1">
        <v>294.0</v>
      </c>
      <c r="B296" s="1" t="s">
        <v>663</v>
      </c>
      <c r="C296" s="1" t="s">
        <v>1034</v>
      </c>
      <c r="D296" s="1" t="s">
        <v>881</v>
      </c>
      <c r="E296" s="2" t="str">
        <f>IFERROR(__xludf.DUMMYFUNCTION("GOOGLETRANSLATE(C296, ""en"", ""th"")"),"รหัสพันธะใดมีพันธะคู่กับสารประกอบก่อมะเร็ง")</f>
        <v>รหัสพันธะใดมีพันธะคู่กับสารประกอบก่อมะเร็ง</v>
      </c>
      <c r="F296" s="1" t="s">
        <v>882</v>
      </c>
      <c r="G296" s="1" t="s">
        <v>1035</v>
      </c>
      <c r="H296" s="1" t="s">
        <v>13</v>
      </c>
    </row>
    <row r="297">
      <c r="A297" s="1">
        <v>295.0</v>
      </c>
      <c r="B297" s="1" t="s">
        <v>663</v>
      </c>
      <c r="C297" s="1" t="s">
        <v>1036</v>
      </c>
      <c r="D297" s="1" t="s">
        <v>1037</v>
      </c>
      <c r="E297" s="2" t="str">
        <f>IFERROR(__xludf.DUMMYFUNCTION("GOOGLETRANSLATE(C297, ""en"", ""th"")"),"มีอะตอมกี่อะตอมที่อยู่ในโมเลกุลซึ่งมีธาตุไฮโดรเจนและมีฉลากเป็นสารประกอบก่อมะเร็ง")</f>
        <v>มีอะตอมกี่อะตอมที่อยู่ในโมเลกุลซึ่งมีธาตุไฮโดรเจนและมีฉลากเป็นสารประกอบก่อมะเร็ง</v>
      </c>
      <c r="F297" s="1" t="s">
        <v>1038</v>
      </c>
      <c r="G297" s="1" t="s">
        <v>1039</v>
      </c>
      <c r="H297" s="1" t="s">
        <v>13</v>
      </c>
    </row>
    <row r="298">
      <c r="A298" s="1">
        <v>296.0</v>
      </c>
      <c r="B298" s="1" t="s">
        <v>663</v>
      </c>
      <c r="C298" s="1" t="s">
        <v>1040</v>
      </c>
      <c r="E298" s="2" t="str">
        <f>IFERROR(__xludf.DUMMYFUNCTION("GOOGLETRANSLATE(C298, ""en"", ""th"")"),"ระบุว่ารหัสโมเลกุลเป็นของพันธะ TR000_1_2 ที่มีอะตอมแรกชื่อ TR000_1")</f>
        <v>ระบุว่ารหัสโมเลกุลเป็นของพันธะ TR000_1_2 ที่มีอะตอมแรกชื่อ TR000_1</v>
      </c>
      <c r="G298" s="1" t="s">
        <v>1041</v>
      </c>
      <c r="H298" s="1" t="s">
        <v>13</v>
      </c>
    </row>
    <row r="299">
      <c r="A299" s="1">
        <v>297.0</v>
      </c>
      <c r="B299" s="1" t="s">
        <v>663</v>
      </c>
      <c r="C299" s="1" t="s">
        <v>1042</v>
      </c>
      <c r="D299" s="1" t="s">
        <v>1043</v>
      </c>
      <c r="E299" s="2" t="str">
        <f>IFERROR(__xludf.DUMMYFUNCTION("GOOGLETRANSLATE(C299, ""en"", ""th"")"),"ในบรรดาอะตอมที่มีธาตุคาร์บอน อะตอมใดไม่มีสารก่อมะเร็ง?")</f>
        <v>ในบรรดาอะตอมที่มีธาตุคาร์บอน อะตอมใดไม่มีสารก่อมะเร็ง?</v>
      </c>
      <c r="F299" s="1" t="s">
        <v>1044</v>
      </c>
      <c r="G299" s="1" t="s">
        <v>1045</v>
      </c>
      <c r="H299" s="1" t="s">
        <v>13</v>
      </c>
    </row>
    <row r="300">
      <c r="A300" s="1">
        <v>298.0</v>
      </c>
      <c r="B300" s="1" t="s">
        <v>663</v>
      </c>
      <c r="C300" s="1" t="s">
        <v>1046</v>
      </c>
      <c r="D300" s="1" t="s">
        <v>1047</v>
      </c>
      <c r="E300" s="2" t="str">
        <f>IFERROR(__xludf.DUMMYFUNCTION("GOOGLETRANSLATE(C300, ""en"", ""th"")"),"คำนวณเปอร์เซ็นต์ของโมเลกุลที่มีสารก่อมะเร็งซึ่งมีธาตุเป็นไฮโดรเจน")</f>
        <v>คำนวณเปอร์เซ็นต์ของโมเลกุลที่มีสารก่อมะเร็งซึ่งมีธาตุเป็นไฮโดรเจน</v>
      </c>
      <c r="F300" s="1" t="s">
        <v>1048</v>
      </c>
      <c r="G300" s="1" t="s">
        <v>1049</v>
      </c>
      <c r="H300" s="1" t="s">
        <v>18</v>
      </c>
    </row>
    <row r="301">
      <c r="A301" s="1">
        <v>299.0</v>
      </c>
      <c r="B301" s="1" t="s">
        <v>663</v>
      </c>
      <c r="C301" s="1" t="s">
        <v>1050</v>
      </c>
      <c r="D301" s="1" t="s">
        <v>1018</v>
      </c>
      <c r="E301" s="2" t="str">
        <f>IFERROR(__xludf.DUMMYFUNCTION("GOOGLETRANSLATE(C301, ""en"", ""th"")"),"โมเลกุล TR124 เป็นสารก่อมะเร็งหรือไม่?")</f>
        <v>โมเลกุล TR124 เป็นสารก่อมะเร็งหรือไม่?</v>
      </c>
      <c r="F301" s="1" t="s">
        <v>886</v>
      </c>
      <c r="G301" s="1" t="s">
        <v>1051</v>
      </c>
      <c r="H301" s="1" t="s">
        <v>13</v>
      </c>
    </row>
    <row r="302">
      <c r="A302" s="1">
        <v>300.0</v>
      </c>
      <c r="B302" s="1" t="s">
        <v>663</v>
      </c>
      <c r="C302" s="1" t="s">
        <v>1052</v>
      </c>
      <c r="D302" s="1" t="s">
        <v>1053</v>
      </c>
      <c r="E302" s="2" t="str">
        <f>IFERROR(__xludf.DUMMYFUNCTION("GOOGLETRANSLATE(C302, ""en"", ""th"")"),"TR186 ประกอบด้วยอะตอมอะไรบ้าง")</f>
        <v>TR186 ประกอบด้วยอะตอมอะไรบ้าง</v>
      </c>
      <c r="F302" s="1" t="s">
        <v>1054</v>
      </c>
      <c r="G302" s="1" t="s">
        <v>1055</v>
      </c>
      <c r="H302" s="1" t="s">
        <v>13</v>
      </c>
    </row>
    <row r="303">
      <c r="A303" s="1">
        <v>301.0</v>
      </c>
      <c r="B303" s="1" t="s">
        <v>663</v>
      </c>
      <c r="C303" s="1" t="s">
        <v>1056</v>
      </c>
      <c r="D303" s="1" t="s">
        <v>941</v>
      </c>
      <c r="E303" s="2" t="str">
        <f>IFERROR(__xludf.DUMMYFUNCTION("GOOGLETRANSLATE(C303, ""en"", ""th"")"),"TR007_4_19มีพันธบัตรประเภทใด?")</f>
        <v>TR007_4_19มีพันธบัตรประเภทใด?</v>
      </c>
      <c r="F303" s="1" t="s">
        <v>942</v>
      </c>
      <c r="G303" s="1" t="s">
        <v>1057</v>
      </c>
      <c r="H303" s="1" t="s">
        <v>13</v>
      </c>
    </row>
    <row r="304">
      <c r="A304" s="1">
        <v>302.0</v>
      </c>
      <c r="B304" s="1" t="s">
        <v>663</v>
      </c>
      <c r="C304" s="1" t="s">
        <v>1058</v>
      </c>
      <c r="D304" s="1" t="s">
        <v>1023</v>
      </c>
      <c r="E304" s="2" t="str">
        <f>IFERROR(__xludf.DUMMYFUNCTION("GOOGLETRANSLATE(C304, ""en"", ""th"")"),"ตั้งชื่อองค์ประกอบที่ประกอบด้วยอะตอมของพันธะ TR001_2_4")</f>
        <v>ตั้งชื่อองค์ประกอบที่ประกอบด้วยอะตอมของพันธะ TR001_2_4</v>
      </c>
      <c r="F304" s="1" t="s">
        <v>1024</v>
      </c>
      <c r="G304" s="1" t="s">
        <v>1059</v>
      </c>
      <c r="H304" s="1" t="s">
        <v>101</v>
      </c>
    </row>
    <row r="305">
      <c r="A305" s="1">
        <v>303.0</v>
      </c>
      <c r="B305" s="1" t="s">
        <v>663</v>
      </c>
      <c r="C305" s="1" t="s">
        <v>1060</v>
      </c>
      <c r="D305" s="1" t="s">
        <v>1061</v>
      </c>
      <c r="E305" s="2" t="str">
        <f>IFERROR(__xludf.DUMMYFUNCTION("GOOGLETRANSLATE(C305, ""en"", ""th"")"),"TR006 มีพันธะคู่กี่ตัวและเป็นสารก่อมะเร็งหรือไม่?")</f>
        <v>TR006 มีพันธะคู่กี่ตัวและเป็นสารก่อมะเร็งหรือไม่?</v>
      </c>
      <c r="F305" s="1" t="s">
        <v>1062</v>
      </c>
      <c r="G305" s="1" t="s">
        <v>1063</v>
      </c>
      <c r="H305" s="1" t="s">
        <v>18</v>
      </c>
    </row>
    <row r="306">
      <c r="A306" s="1">
        <v>304.0</v>
      </c>
      <c r="B306" s="1" t="s">
        <v>663</v>
      </c>
      <c r="C306" s="1" t="s">
        <v>1064</v>
      </c>
      <c r="D306" s="1" t="s">
        <v>1065</v>
      </c>
      <c r="E306" s="2" t="str">
        <f>IFERROR(__xludf.DUMMYFUNCTION("GOOGLETRANSLATE(C306, ""en"", ""th"")"),"รายชื่อโมเลกุลและองค์ประกอบของสารก่อมะเร็งทั้งหมด")</f>
        <v>รายชื่อโมเลกุลและองค์ประกอบของสารก่อมะเร็งทั้งหมด</v>
      </c>
      <c r="F306" s="1" t="s">
        <v>1066</v>
      </c>
      <c r="G306" s="1" t="s">
        <v>1067</v>
      </c>
      <c r="H306" s="1" t="s">
        <v>101</v>
      </c>
    </row>
    <row r="307">
      <c r="A307" s="1">
        <v>305.0</v>
      </c>
      <c r="B307" s="1" t="s">
        <v>663</v>
      </c>
      <c r="C307" s="1" t="s">
        <v>1068</v>
      </c>
      <c r="D307" s="1" t="s">
        <v>915</v>
      </c>
      <c r="E307" s="2" t="str">
        <f>IFERROR(__xludf.DUMMYFUNCTION("GOOGLETRANSLATE(C307, ""en"", ""th"")"),"ตั้งชื่อพันธะทั้งหมดที่มีพันธะเดี่ยวและอะตอมใดที่เชื่อมต่อกับโมเลกุล")</f>
        <v>ตั้งชื่อพันธะทั้งหมดที่มีพันธะเดี่ยวและอะตอมใดที่เชื่อมต่อกับโมเลกุล</v>
      </c>
      <c r="F307" s="1" t="s">
        <v>916</v>
      </c>
      <c r="G307" s="1" t="s">
        <v>1069</v>
      </c>
      <c r="H307" s="1" t="s">
        <v>13</v>
      </c>
    </row>
    <row r="308">
      <c r="A308" s="1">
        <v>306.0</v>
      </c>
      <c r="B308" s="1" t="s">
        <v>663</v>
      </c>
      <c r="C308" s="1" t="s">
        <v>1070</v>
      </c>
      <c r="D308" s="1" t="s">
        <v>1071</v>
      </c>
      <c r="E308" s="2" t="str">
        <f>IFERROR(__xludf.DUMMYFUNCTION("GOOGLETRANSLATE(C308, ""en"", ""th"")"),"โมเลกุลใดมีพันธะสามเท่าและแสดงรายการองค์ประกอบทั้งหมดที่มี")</f>
        <v>โมเลกุลใดมีพันธะสามเท่าและแสดงรายการองค์ประกอบทั้งหมดที่มี</v>
      </c>
      <c r="F308" s="1" t="s">
        <v>1072</v>
      </c>
      <c r="G308" s="1" t="s">
        <v>1073</v>
      </c>
      <c r="H308" s="1" t="s">
        <v>101</v>
      </c>
    </row>
    <row r="309">
      <c r="A309" s="1">
        <v>307.0</v>
      </c>
      <c r="B309" s="1" t="s">
        <v>663</v>
      </c>
      <c r="C309" s="1" t="s">
        <v>1074</v>
      </c>
      <c r="D309" s="1" t="s">
        <v>1023</v>
      </c>
      <c r="E309" s="2" t="str">
        <f>IFERROR(__xludf.DUMMYFUNCTION("GOOGLETRANSLATE(C309, ""en"", ""th"")"),"ตั้งชื่อองค์ประกอบของอะตอมที่ก่อให้เกิดพันธะ TR000_2_3")</f>
        <v>ตั้งชื่อองค์ประกอบของอะตอมที่ก่อให้เกิดพันธะ TR000_2_3</v>
      </c>
      <c r="F309" s="1" t="s">
        <v>1024</v>
      </c>
      <c r="G309" s="1" t="s">
        <v>1075</v>
      </c>
      <c r="H309" s="1" t="s">
        <v>101</v>
      </c>
    </row>
    <row r="310">
      <c r="A310" s="1">
        <v>308.0</v>
      </c>
      <c r="B310" s="1" t="s">
        <v>663</v>
      </c>
      <c r="C310" s="1" t="s">
        <v>1076</v>
      </c>
      <c r="D310" s="1" t="s">
        <v>1077</v>
      </c>
      <c r="E310" s="2" t="str">
        <f>IFERROR(__xludf.DUMMYFUNCTION("GOOGLETRANSLATE(C310, ""en"", ""th"")"),"อะตอมที่เกิดพันธะกับธาตุคลอรีนเกิดพันธะได้จำนวนเท่าใด")</f>
        <v>อะตอมที่เกิดพันธะกับธาตุคลอรีนเกิดพันธะได้จำนวนเท่าใด</v>
      </c>
      <c r="F310" s="1" t="s">
        <v>1078</v>
      </c>
      <c r="G310" s="1" t="s">
        <v>1079</v>
      </c>
      <c r="H310" s="1" t="s">
        <v>13</v>
      </c>
    </row>
    <row r="311">
      <c r="A311" s="1">
        <v>309.0</v>
      </c>
      <c r="B311" s="1" t="s">
        <v>663</v>
      </c>
      <c r="C311" s="1" t="s">
        <v>1080</v>
      </c>
      <c r="E311" s="2" t="str">
        <f>IFERROR(__xludf.DUMMYFUNCTION("GOOGLETRANSLATE(C311, ""en"", ""th"")"),"ระบุรหัสอะตอมที่เป็นของโมเลกุล TR346 และโมเลกุลนี้สามารถสร้างพันธะได้กี่ประเภท")</f>
        <v>ระบุรหัสอะตอมที่เป็นของโมเลกุล TR346 และโมเลกุลนี้สามารถสร้างพันธะได้กี่ประเภท</v>
      </c>
      <c r="G311" s="1" t="s">
        <v>1081</v>
      </c>
      <c r="H311" s="1" t="s">
        <v>13</v>
      </c>
    </row>
    <row r="312">
      <c r="A312" s="1">
        <v>310.0</v>
      </c>
      <c r="B312" s="1" t="s">
        <v>663</v>
      </c>
      <c r="C312" s="1" t="s">
        <v>1082</v>
      </c>
      <c r="D312" s="1" t="s">
        <v>1083</v>
      </c>
      <c r="E312" s="2" t="str">
        <f>IFERROR(__xludf.DUMMYFUNCTION("GOOGLETRANSLATE(C312, ""en"", ""th"")"),"มีโมเลกุลที่มีพันธะคู่กี่โมเลกุล และในบรรดาโมเลกุลเหล่านี้มีกี่โมเลกุลที่ติดฉลากว่าเป็นสารประกอบก่อมะเร็ง")</f>
        <v>มีโมเลกุลที่มีพันธะคู่กี่โมเลกุล และในบรรดาโมเลกุลเหล่านี้มีกี่โมเลกุลที่ติดฉลากว่าเป็นสารประกอบก่อมะเร็ง</v>
      </c>
      <c r="F312" s="1" t="s">
        <v>858</v>
      </c>
      <c r="G312" s="1" t="s">
        <v>1084</v>
      </c>
      <c r="H312" s="1" t="s">
        <v>18</v>
      </c>
    </row>
    <row r="313">
      <c r="A313" s="1">
        <v>311.0</v>
      </c>
      <c r="B313" s="1" t="s">
        <v>663</v>
      </c>
      <c r="C313" s="1" t="s">
        <v>1085</v>
      </c>
      <c r="D313" s="1" t="s">
        <v>1086</v>
      </c>
      <c r="E313" s="2" t="str">
        <f>IFERROR(__xludf.DUMMYFUNCTION("GOOGLETRANSLATE(C313, ""en"", ""th"")"),"มีกี่โมเลกุลที่ไม่มีธาตุซัลเฟอร์ที่ไม่มีพันธะคู่?")</f>
        <v>มีกี่โมเลกุลที่ไม่มีธาตุซัลเฟอร์ที่ไม่มีพันธะคู่?</v>
      </c>
      <c r="F313" s="1" t="s">
        <v>1087</v>
      </c>
      <c r="G313" s="1" t="s">
        <v>1088</v>
      </c>
      <c r="H313" s="1" t="s">
        <v>13</v>
      </c>
    </row>
    <row r="314">
      <c r="A314" s="1">
        <v>312.0</v>
      </c>
      <c r="B314" s="1" t="s">
        <v>663</v>
      </c>
      <c r="C314" s="1" t="s">
        <v>1089</v>
      </c>
      <c r="D314" s="1" t="s">
        <v>885</v>
      </c>
      <c r="E314" s="2" t="str">
        <f>IFERROR(__xludf.DUMMYFUNCTION("GOOGLETRANSLATE(C314, ""en"", ""th"")"),"ฉลากสารก่อมะเร็งสำหรับพันธบัตร TR001_2_4 คืออะไร?")</f>
        <v>ฉลากสารก่อมะเร็งสำหรับพันธบัตร TR001_2_4 คืออะไร?</v>
      </c>
      <c r="F314" s="1" t="s">
        <v>886</v>
      </c>
      <c r="G314" s="1" t="s">
        <v>1090</v>
      </c>
      <c r="H314" s="1" t="s">
        <v>13</v>
      </c>
    </row>
    <row r="315">
      <c r="A315" s="1">
        <v>313.0</v>
      </c>
      <c r="B315" s="1" t="s">
        <v>663</v>
      </c>
      <c r="C315" s="1" t="s">
        <v>1091</v>
      </c>
      <c r="E315" s="2" t="str">
        <f>IFERROR(__xludf.DUMMYFUNCTION("GOOGLETRANSLATE(C315, ""en"", ""th"")"),"รหัสโมเลกุล TR001 มีอะตอมกี่อะตอม?")</f>
        <v>รหัสโมเลกุล TR001 มีอะตอมกี่อะตอม?</v>
      </c>
      <c r="G315" s="1" t="s">
        <v>1092</v>
      </c>
      <c r="H315" s="1" t="s">
        <v>13</v>
      </c>
    </row>
    <row r="316">
      <c r="A316" s="1">
        <v>314.0</v>
      </c>
      <c r="B316" s="1" t="s">
        <v>663</v>
      </c>
      <c r="C316" s="1" t="s">
        <v>1093</v>
      </c>
      <c r="D316" s="1" t="s">
        <v>915</v>
      </c>
      <c r="E316" s="2" t="str">
        <f>IFERROR(__xludf.DUMMYFUNCTION("GOOGLETRANSLATE(C316, ""en"", ""th"")"),"มีพันธบัตรเดี่ยวกี่รายการในรายการ?")</f>
        <v>มีพันธบัตรเดี่ยวกี่รายการในรายการ?</v>
      </c>
      <c r="F316" s="1" t="s">
        <v>916</v>
      </c>
      <c r="G316" s="1" t="s">
        <v>1094</v>
      </c>
      <c r="H316" s="1" t="s">
        <v>13</v>
      </c>
    </row>
    <row r="317">
      <c r="A317" s="1">
        <v>315.0</v>
      </c>
      <c r="B317" s="1" t="s">
        <v>663</v>
      </c>
      <c r="C317" s="1" t="s">
        <v>1095</v>
      </c>
      <c r="D317" s="1" t="s">
        <v>1018</v>
      </c>
      <c r="E317" s="2" t="str">
        <f>IFERROR(__xludf.DUMMYFUNCTION("GOOGLETRANSLATE(C317, ""en"", ""th"")"),"ในบรรดาโมเลกุลที่มีธาตุ ""cl"" สารใดเป็นสารก่อมะเร็ง?")</f>
        <v>ในบรรดาโมเลกุลที่มีธาตุ "cl" สารใดเป็นสารก่อมะเร็ง?</v>
      </c>
      <c r="F317" s="1" t="s">
        <v>886</v>
      </c>
      <c r="G317" s="1" t="s">
        <v>1096</v>
      </c>
      <c r="H317" s="1" t="s">
        <v>13</v>
      </c>
    </row>
    <row r="318">
      <c r="A318" s="1">
        <v>316.0</v>
      </c>
      <c r="B318" s="1" t="s">
        <v>663</v>
      </c>
      <c r="C318" s="1" t="s">
        <v>1097</v>
      </c>
      <c r="D318" s="1" t="s">
        <v>729</v>
      </c>
      <c r="E318" s="2" t="str">
        <f>IFERROR(__xludf.DUMMYFUNCTION("GOOGLETRANSLATE(C318, ""en"", ""th"")"),"ในบรรดาโมเลกุลที่มีธาตุ ""c"" โมเลกุลใดไม่เป็นสารก่อมะเร็ง?")</f>
        <v>ในบรรดาโมเลกุลที่มีธาตุ "c" โมเลกุลใดไม่เป็นสารก่อมะเร็ง?</v>
      </c>
      <c r="F318" s="1" t="s">
        <v>730</v>
      </c>
      <c r="G318" s="1" t="s">
        <v>1098</v>
      </c>
      <c r="H318" s="1" t="s">
        <v>13</v>
      </c>
    </row>
    <row r="319">
      <c r="A319" s="1">
        <v>317.0</v>
      </c>
      <c r="B319" s="1" t="s">
        <v>663</v>
      </c>
      <c r="C319" s="1" t="s">
        <v>1099</v>
      </c>
      <c r="D319" s="1" t="s">
        <v>1100</v>
      </c>
      <c r="E319" s="2" t="str">
        <f>IFERROR(__xludf.DUMMYFUNCTION("GOOGLETRANSLATE(C319, ""en"", ""th"")"),"คำนวณเปอร์เซ็นต์ของโมเลกุลสารก่อมะเร็งซึ่งมีธาตุคลอรีน")</f>
        <v>คำนวณเปอร์เซ็นต์ของโมเลกุลสารก่อมะเร็งซึ่งมีธาตุคลอรีน</v>
      </c>
      <c r="F319" s="1" t="s">
        <v>1101</v>
      </c>
      <c r="G319" s="1" t="s">
        <v>1102</v>
      </c>
      <c r="H319" s="1" t="s">
        <v>18</v>
      </c>
    </row>
    <row r="320">
      <c r="A320" s="1">
        <v>318.0</v>
      </c>
      <c r="B320" s="1" t="s">
        <v>663</v>
      </c>
      <c r="C320" s="1" t="s">
        <v>1103</v>
      </c>
      <c r="E320" s="2" t="str">
        <f>IFERROR(__xludf.DUMMYFUNCTION("GOOGLETRANSLATE(C320, ""en"", ""th"")"),"รหัสโมเลกุลของรหัสพันธะ TR001_1_7 คืออะไร")</f>
        <v>รหัสโมเลกุลของรหัสพันธะ TR001_1_7 คืออะไร</v>
      </c>
      <c r="G320" s="1" t="s">
        <v>1104</v>
      </c>
      <c r="H320" s="1" t="s">
        <v>13</v>
      </c>
    </row>
    <row r="321">
      <c r="A321" s="1">
        <v>319.0</v>
      </c>
      <c r="B321" s="1" t="s">
        <v>663</v>
      </c>
      <c r="C321" s="1" t="s">
        <v>1105</v>
      </c>
      <c r="D321" s="1" t="s">
        <v>1023</v>
      </c>
      <c r="E321" s="2" t="str">
        <f>IFERROR(__xludf.DUMMYFUNCTION("GOOGLETRANSLATE(C321, ""en"", ""th"")"),"มีองค์ประกอบกี่องค์ประกอบใน Bond_id TR001_3_4")</f>
        <v>มีองค์ประกอบกี่องค์ประกอบใน Bond_id TR001_3_4</v>
      </c>
      <c r="F321" s="1" t="s">
        <v>1024</v>
      </c>
      <c r="G321" s="1" t="s">
        <v>1106</v>
      </c>
      <c r="H321" s="1" t="s">
        <v>101</v>
      </c>
    </row>
    <row r="322">
      <c r="A322" s="1">
        <v>320.0</v>
      </c>
      <c r="B322" s="1" t="s">
        <v>663</v>
      </c>
      <c r="C322" s="1" t="s">
        <v>1107</v>
      </c>
      <c r="D322" s="1" t="s">
        <v>1108</v>
      </c>
      <c r="E322" s="2" t="str">
        <f>IFERROR(__xludf.DUMMYFUNCTION("GOOGLETRANSLATE(C322, ""en"", ""th"")"),"พันธะประเภทใดที่แสดงถึงความเชื่อมโยงระหว่างสองอะตอม TR000_1 และ TR000_2?")</f>
        <v>พันธะประเภทใดที่แสดงถึงความเชื่อมโยงระหว่างสองอะตอม TR000_1 และ TR000_2?</v>
      </c>
      <c r="F322" s="1" t="s">
        <v>1109</v>
      </c>
      <c r="G322" s="1" t="s">
        <v>1110</v>
      </c>
      <c r="H322" s="1" t="s">
        <v>18</v>
      </c>
    </row>
    <row r="323">
      <c r="A323" s="1">
        <v>321.0</v>
      </c>
      <c r="B323" s="1" t="s">
        <v>663</v>
      </c>
      <c r="C323" s="1" t="s">
        <v>1111</v>
      </c>
      <c r="E323" s="2" t="str">
        <f>IFERROR(__xludf.DUMMYFUNCTION("GOOGLETRANSLATE(C323, ""en"", ""th"")"),"โมเลกุลของรหัสอะตอม ""TR000_2"" และรหัสอะตอม 2 ""TR000_4"" คืออะไร")</f>
        <v>โมเลกุลของรหัสอะตอม "TR000_2" และรหัสอะตอม 2 "TR000_4" คืออะไร</v>
      </c>
      <c r="G323" s="1" t="s">
        <v>1112</v>
      </c>
      <c r="H323" s="1" t="s">
        <v>13</v>
      </c>
    </row>
    <row r="324">
      <c r="A324" s="1">
        <v>322.0</v>
      </c>
      <c r="B324" s="1" t="s">
        <v>663</v>
      </c>
      <c r="C324" s="1" t="s">
        <v>1113</v>
      </c>
      <c r="D324" s="1" t="s">
        <v>1114</v>
      </c>
      <c r="E324" s="2" t="str">
        <f>IFERROR(__xludf.DUMMYFUNCTION("GOOGLETRANSLATE(C324, ""en"", ""th"")"),"ธาตุทางพิษวิทยาสำหรับอะตอมที่มีค่า ID เป็น TR000_1 คืออะไร?")</f>
        <v>ธาตุทางพิษวิทยาสำหรับอะตอมที่มีค่า ID เป็น TR000_1 คืออะไร?</v>
      </c>
      <c r="F324" s="1" t="s">
        <v>1115</v>
      </c>
      <c r="G324" s="1" t="s">
        <v>1116</v>
      </c>
      <c r="H324" s="1" t="s">
        <v>101</v>
      </c>
    </row>
    <row r="325">
      <c r="A325" s="1">
        <v>323.0</v>
      </c>
      <c r="B325" s="1" t="s">
        <v>663</v>
      </c>
      <c r="C325" s="1" t="s">
        <v>1117</v>
      </c>
      <c r="D325" s="1" t="s">
        <v>984</v>
      </c>
      <c r="E325" s="2" t="str">
        <f>IFERROR(__xludf.DUMMYFUNCTION("GOOGLETRANSLATE(C325, ""en"", ""th"")"),"โมเลกุล TR000 เป็นสารก่อมะเร็งหรือไม่?")</f>
        <v>โมเลกุล TR000 เป็นสารก่อมะเร็งหรือไม่?</v>
      </c>
      <c r="F325" s="1" t="s">
        <v>985</v>
      </c>
      <c r="G325" s="1" t="s">
        <v>1118</v>
      </c>
      <c r="H325" s="1" t="s">
        <v>13</v>
      </c>
    </row>
    <row r="326">
      <c r="A326" s="1">
        <v>324.0</v>
      </c>
      <c r="B326" s="1" t="s">
        <v>663</v>
      </c>
      <c r="C326" s="1" t="s">
        <v>1119</v>
      </c>
      <c r="D326" s="1" t="s">
        <v>1120</v>
      </c>
      <c r="E326" s="2" t="str">
        <f>IFERROR(__xludf.DUMMYFUNCTION("GOOGLETRANSLATE(C326, ""en"", ""th"")"),"ค้นหาเปอร์เซ็นต์ของอะตอมที่มีพันธะเดี่ยว")</f>
        <v>ค้นหาเปอร์เซ็นต์ของอะตอมที่มีพันธะเดี่ยว</v>
      </c>
      <c r="F326" s="1" t="s">
        <v>1121</v>
      </c>
      <c r="G326" s="1" t="s">
        <v>1122</v>
      </c>
      <c r="H326" s="1" t="s">
        <v>13</v>
      </c>
    </row>
    <row r="327">
      <c r="A327" s="1">
        <v>325.0</v>
      </c>
      <c r="B327" s="1" t="s">
        <v>663</v>
      </c>
      <c r="C327" s="1" t="s">
        <v>1123</v>
      </c>
      <c r="D327" s="1" t="s">
        <v>1124</v>
      </c>
      <c r="E327" s="2" t="str">
        <f>IFERROR(__xludf.DUMMYFUNCTION("GOOGLETRANSLATE(C327, ""en"", ""th"")"),"สารก่อมะเร็งที่ประกอบด้วยไนโตรเจนมีกี่โมเลกุล?")</f>
        <v>สารก่อมะเร็งที่ประกอบด้วยไนโตรเจนมีกี่โมเลกุล?</v>
      </c>
      <c r="F327" s="1" t="s">
        <v>1125</v>
      </c>
      <c r="G327" s="1" t="s">
        <v>1126</v>
      </c>
      <c r="H327" s="1" t="s">
        <v>13</v>
      </c>
    </row>
    <row r="328">
      <c r="A328" s="1">
        <v>326.0</v>
      </c>
      <c r="B328" s="1" t="s">
        <v>663</v>
      </c>
      <c r="C328" s="1" t="s">
        <v>1127</v>
      </c>
      <c r="D328" s="1" t="s">
        <v>1128</v>
      </c>
      <c r="E328" s="2" t="str">
        <f>IFERROR(__xludf.DUMMYFUNCTION("GOOGLETRANSLATE(C328, ""en"", ""th"")"),"โมเลกุลใดประกอบด้วยอะตอมซัลเฟอร์ที่มีพันธะคู่")</f>
        <v>โมเลกุลใดประกอบด้วยอะตอมซัลเฟอร์ที่มีพันธะคู่</v>
      </c>
      <c r="F328" s="1" t="s">
        <v>1129</v>
      </c>
      <c r="G328" s="1" t="s">
        <v>1130</v>
      </c>
      <c r="H328" s="1" t="s">
        <v>13</v>
      </c>
    </row>
    <row r="329">
      <c r="A329" s="1">
        <v>327.0</v>
      </c>
      <c r="B329" s="1" t="s">
        <v>663</v>
      </c>
      <c r="C329" s="1" t="s">
        <v>1131</v>
      </c>
      <c r="D329" s="1" t="s">
        <v>1132</v>
      </c>
      <c r="E329" s="2" t="str">
        <f>IFERROR(__xludf.DUMMYFUNCTION("GOOGLETRANSLATE(C329, ""en"", ""th"")"),"โมเลกุลที่ไม่ก่อมะเร็งในข้อใดมีมากกว่า 5 อะตอม")</f>
        <v>โมเลกุลที่ไม่ก่อมะเร็งในข้อใดมีมากกว่า 5 อะตอม</v>
      </c>
      <c r="F329" s="1" t="s">
        <v>1133</v>
      </c>
      <c r="G329" s="1" t="s">
        <v>1134</v>
      </c>
      <c r="H329" s="1" t="s">
        <v>18</v>
      </c>
    </row>
    <row r="330">
      <c r="A330" s="1">
        <v>328.0</v>
      </c>
      <c r="B330" s="1" t="s">
        <v>663</v>
      </c>
      <c r="C330" s="1" t="s">
        <v>1135</v>
      </c>
      <c r="D330" s="1" t="s">
        <v>1136</v>
      </c>
      <c r="E330" s="2" t="str">
        <f>IFERROR(__xludf.DUMMYFUNCTION("GOOGLETRANSLATE(C330, ""en"", ""th"")"),"รายชื่อธาตุทั้งหมดที่มีพันธะคู่ ประกอบด้วยโมเลกุล TR024")</f>
        <v>รายชื่อธาตุทั้งหมดที่มีพันธะคู่ ประกอบด้วยโมเลกุล TR024</v>
      </c>
      <c r="F330" s="1" t="s">
        <v>1137</v>
      </c>
      <c r="G330" s="1" t="s">
        <v>1138</v>
      </c>
      <c r="H330" s="1" t="s">
        <v>101</v>
      </c>
    </row>
    <row r="331">
      <c r="A331" s="1">
        <v>329.0</v>
      </c>
      <c r="B331" s="1" t="s">
        <v>663</v>
      </c>
      <c r="C331" s="1" t="s">
        <v>1139</v>
      </c>
      <c r="D331" s="1" t="s">
        <v>1140</v>
      </c>
      <c r="E331" s="2" t="str">
        <f>IFERROR(__xludf.DUMMYFUNCTION("GOOGLETRANSLATE(C331, ""en"", ""th"")"),"สารก่อมะเร็งโมเลกุลใดมีจำนวนอะตอมมากที่สุด?")</f>
        <v>สารก่อมะเร็งโมเลกุลใดมีจำนวนอะตอมมากที่สุด?</v>
      </c>
      <c r="F331" s="1" t="s">
        <v>1141</v>
      </c>
      <c r="G331" s="1" t="s">
        <v>1142</v>
      </c>
      <c r="H331" s="1" t="s">
        <v>18</v>
      </c>
    </row>
    <row r="332">
      <c r="A332" s="1">
        <v>330.0</v>
      </c>
      <c r="B332" s="1" t="s">
        <v>663</v>
      </c>
      <c r="C332" s="1" t="s">
        <v>1143</v>
      </c>
      <c r="D332" s="1" t="s">
        <v>1144</v>
      </c>
      <c r="E332" s="2" t="str">
        <f>IFERROR(__xludf.DUMMYFUNCTION("GOOGLETRANSLATE(C332, ""en"", ""th"")"),"คำนวณเปอร์เซ็นต์ของโมเลกุลสารก่อมะเร็งด้วยอะตอมของไฮโดรเจนที่มีพันธะสามเท่า")</f>
        <v>คำนวณเปอร์เซ็นต์ของโมเลกุลสารก่อมะเร็งด้วยอะตอมของไฮโดรเจนที่มีพันธะสามเท่า</v>
      </c>
      <c r="F332" s="1" t="s">
        <v>1145</v>
      </c>
      <c r="G332" s="1" t="s">
        <v>1146</v>
      </c>
      <c r="H332" s="1" t="s">
        <v>101</v>
      </c>
    </row>
    <row r="333">
      <c r="A333" s="1">
        <v>331.0</v>
      </c>
      <c r="B333" s="1" t="s">
        <v>663</v>
      </c>
      <c r="C333" s="1" t="s">
        <v>1147</v>
      </c>
      <c r="D333" s="1" t="s">
        <v>1018</v>
      </c>
      <c r="E333" s="2" t="str">
        <f>IFERROR(__xludf.DUMMYFUNCTION("GOOGLETRANSLATE(C333, ""en"", ""th"")"),"มีสารก่อมะเร็งกี่โมเลกุล?")</f>
        <v>มีสารก่อมะเร็งกี่โมเลกุล?</v>
      </c>
      <c r="F333" s="1" t="s">
        <v>886</v>
      </c>
      <c r="G333" s="1" t="s">
        <v>1027</v>
      </c>
      <c r="H333" s="1" t="s">
        <v>13</v>
      </c>
    </row>
    <row r="334">
      <c r="A334" s="1">
        <v>332.0</v>
      </c>
      <c r="B334" s="1" t="s">
        <v>663</v>
      </c>
      <c r="C334" s="1" t="s">
        <v>1148</v>
      </c>
      <c r="D334" s="1" t="s">
        <v>1149</v>
      </c>
      <c r="E334" s="2" t="str">
        <f>IFERROR(__xludf.DUMMYFUNCTION("GOOGLETRANSLATE(C334, ""en"", ""th"")"),"ในบรรดาโมเลกุลระหว่าง TR004 ถึง TR010 มีกี่โมเลกุลที่มีพันธะเดี่ยว")</f>
        <v>ในบรรดาโมเลกุลระหว่าง TR004 ถึง TR010 มีกี่โมเลกุลที่มีพันธะเดี่ยว</v>
      </c>
      <c r="F334" s="1" t="s">
        <v>1150</v>
      </c>
      <c r="G334" s="1" t="s">
        <v>1151</v>
      </c>
      <c r="H334" s="1" t="s">
        <v>13</v>
      </c>
    </row>
    <row r="335">
      <c r="A335" s="1">
        <v>333.0</v>
      </c>
      <c r="B335" s="1" t="s">
        <v>663</v>
      </c>
      <c r="C335" s="1" t="s">
        <v>1152</v>
      </c>
      <c r="D335" s="1" t="s">
        <v>1153</v>
      </c>
      <c r="E335" s="2" t="str">
        <f>IFERROR(__xludf.DUMMYFUNCTION("GOOGLETRANSLATE(C335, ""en"", ""th"")"),"ในโมเลกุล TR008 มีคาร์บอนอยู่กี่ตัว?")</f>
        <v>ในโมเลกุล TR008 มีคาร์บอนอยู่กี่ตัว?</v>
      </c>
      <c r="F335" s="1" t="s">
        <v>1154</v>
      </c>
      <c r="G335" s="1" t="s">
        <v>1155</v>
      </c>
      <c r="H335" s="1" t="s">
        <v>13</v>
      </c>
    </row>
    <row r="336">
      <c r="A336" s="1">
        <v>334.0</v>
      </c>
      <c r="B336" s="1" t="s">
        <v>663</v>
      </c>
      <c r="C336" s="1" t="s">
        <v>1156</v>
      </c>
      <c r="D336" s="1" t="s">
        <v>1157</v>
      </c>
      <c r="E336" s="2" t="str">
        <f>IFERROR(__xludf.DUMMYFUNCTION("GOOGLETRANSLATE(C336, ""en"", ""th"")"),"ธาตุใดมีรหัสอะตอมเท่ากับ TR004_7 ในโมเลกุลที่ไม่ก่อมะเร็ง?")</f>
        <v>ธาตุใดมีรหัสอะตอมเท่ากับ TR004_7 ในโมเลกุลที่ไม่ก่อมะเร็ง?</v>
      </c>
      <c r="F336" s="1" t="s">
        <v>1158</v>
      </c>
      <c r="G336" s="1" t="s">
        <v>1159</v>
      </c>
      <c r="H336" s="1" t="s">
        <v>101</v>
      </c>
    </row>
    <row r="337">
      <c r="A337" s="1">
        <v>335.0</v>
      </c>
      <c r="B337" s="1" t="s">
        <v>663</v>
      </c>
      <c r="C337" s="1" t="s">
        <v>1160</v>
      </c>
      <c r="D337" s="1" t="s">
        <v>1161</v>
      </c>
      <c r="E337" s="2" t="str">
        <f>IFERROR(__xludf.DUMMYFUNCTION("GOOGLETRANSLATE(C337, ""en"", ""th"")"),"โมเลกุลที่มีออกซิเจนพันธะคู่มีทั้งหมดกี่โมเลกุล?")</f>
        <v>โมเลกุลที่มีออกซิเจนพันธะคู่มีทั้งหมดกี่โมเลกุล?</v>
      </c>
      <c r="F337" s="1" t="s">
        <v>1162</v>
      </c>
      <c r="G337" s="1" t="s">
        <v>1163</v>
      </c>
      <c r="H337" s="1" t="s">
        <v>13</v>
      </c>
    </row>
    <row r="338">
      <c r="A338" s="1">
        <v>336.0</v>
      </c>
      <c r="B338" s="1" t="s">
        <v>663</v>
      </c>
      <c r="C338" s="1" t="s">
        <v>1164</v>
      </c>
      <c r="D338" s="1" t="s">
        <v>1165</v>
      </c>
      <c r="E338" s="2" t="str">
        <f>IFERROR(__xludf.DUMMYFUNCTION("GOOGLETRANSLATE(C338, ""en"", ""th"")"),"ในโมเลกุลที่มีพันธะสามเท่ามีกี่ตัวที่ไม่ก่อมะเร็ง?")</f>
        <v>ในโมเลกุลที่มีพันธะสามเท่ามีกี่ตัวที่ไม่ก่อมะเร็ง?</v>
      </c>
      <c r="F338" s="1" t="s">
        <v>1166</v>
      </c>
      <c r="G338" s="1" t="s">
        <v>1167</v>
      </c>
      <c r="H338" s="1" t="s">
        <v>13</v>
      </c>
    </row>
    <row r="339">
      <c r="A339" s="1">
        <v>337.0</v>
      </c>
      <c r="B339" s="1" t="s">
        <v>663</v>
      </c>
      <c r="C339" s="1" t="s">
        <v>1168</v>
      </c>
      <c r="D339" s="1" t="s">
        <v>1169</v>
      </c>
      <c r="E339" s="2" t="str">
        <f>IFERROR(__xludf.DUMMYFUNCTION("GOOGLETRANSLATE(C339, ""en"", ""th"")"),"ระบุองค์ประกอบและประเภทของพันธะที่รวมอยู่ในโมเลกุลซึ่งมีรหัสโมเลกุลเป็น TR002")</f>
        <v>ระบุองค์ประกอบและประเภทของพันธะที่รวมอยู่ในโมเลกุลซึ่งมีรหัสโมเลกุลเป็น TR002</v>
      </c>
      <c r="F339" s="1" t="s">
        <v>1170</v>
      </c>
      <c r="G339" s="1" t="s">
        <v>1171</v>
      </c>
      <c r="H339" s="1" t="s">
        <v>101</v>
      </c>
    </row>
    <row r="340">
      <c r="A340" s="1">
        <v>338.0</v>
      </c>
      <c r="B340" s="1" t="s">
        <v>663</v>
      </c>
      <c r="C340" s="1" t="s">
        <v>1172</v>
      </c>
      <c r="D340" s="1" t="s">
        <v>1173</v>
      </c>
      <c r="E340" s="2" t="str">
        <f>IFERROR(__xludf.DUMMYFUNCTION("GOOGLETRANSLATE(C340, ""en"", ""th"")"),"รหัสอะตอมของคาร์บอนที่มีพันธะคู่ในโมเลกุล TR012 คืออะไร?")</f>
        <v>รหัสอะตอมของคาร์บอนที่มีพันธะคู่ในโมเลกุล TR012 คืออะไร?</v>
      </c>
      <c r="F340" s="1" t="s">
        <v>1174</v>
      </c>
      <c r="G340" s="1" t="s">
        <v>1175</v>
      </c>
      <c r="H340" s="1" t="s">
        <v>18</v>
      </c>
    </row>
    <row r="341">
      <c r="A341" s="1">
        <v>339.0</v>
      </c>
      <c r="B341" s="1" t="s">
        <v>663</v>
      </c>
      <c r="C341" s="1" t="s">
        <v>1176</v>
      </c>
      <c r="D341" s="1" t="s">
        <v>1177</v>
      </c>
      <c r="E341" s="2" t="str">
        <f>IFERROR(__xludf.DUMMYFUNCTION("GOOGLETRANSLATE(C341, ""en"", ""th"")"),"ระบุรหัสอะตอมของโมเลกุลสารก่อมะเร็งที่มีออกซิเจนหรือไม่")</f>
        <v>ระบุรหัสอะตอมของโมเลกุลสารก่อมะเร็งที่มีออกซิเจนหรือไม่</v>
      </c>
      <c r="F341" s="1" t="s">
        <v>1178</v>
      </c>
      <c r="G341" s="1" t="s">
        <v>1179</v>
      </c>
      <c r="H341" s="1" t="s">
        <v>13</v>
      </c>
    </row>
    <row r="342">
      <c r="A342" s="1">
        <v>340.0</v>
      </c>
      <c r="B342" s="1" t="s">
        <v>1180</v>
      </c>
      <c r="C342" s="1" t="s">
        <v>1181</v>
      </c>
      <c r="D342" s="1" t="s">
        <v>1182</v>
      </c>
      <c r="E342" s="2" t="str">
        <f>IFERROR(__xludf.DUMMYFUNCTION("GOOGLETRANSLATE(C342, ""en"", ""th"")"),"ซึ่งเป็นไพ่ที่มีฟอยล์ที่ทรงพลังอย่างเหลือเชื่อ")</f>
        <v>ซึ่งเป็นไพ่ที่มีฟอยล์ที่ทรงพลังอย่างเหลือเชื่อ</v>
      </c>
      <c r="F342" s="1" t="s">
        <v>1183</v>
      </c>
      <c r="G342" s="1" t="s">
        <v>1184</v>
      </c>
      <c r="H342" s="1" t="s">
        <v>13</v>
      </c>
    </row>
    <row r="343">
      <c r="A343" s="1">
        <v>341.0</v>
      </c>
      <c r="B343" s="1" t="s">
        <v>1180</v>
      </c>
      <c r="C343" s="1" t="s">
        <v>1185</v>
      </c>
      <c r="D343" s="1" t="s">
        <v>1186</v>
      </c>
      <c r="E343" s="2" t="str">
        <f>IFERROR(__xludf.DUMMYFUNCTION("GOOGLETRANSLATE(C343, ""en"", ""th"")"),"การ์ดไร้ขอบที่ไม่มีฟอยล์อันทรงพลังมีอะไรบ้าง?")</f>
        <v>การ์ดไร้ขอบที่ไม่มีฟอยล์อันทรงพลังมีอะไรบ้าง?</v>
      </c>
      <c r="F343" s="1" t="s">
        <v>1187</v>
      </c>
      <c r="G343" s="1" t="s">
        <v>1188</v>
      </c>
      <c r="H343" s="1" t="s">
        <v>13</v>
      </c>
    </row>
    <row r="344">
      <c r="A344" s="1">
        <v>342.0</v>
      </c>
      <c r="B344" s="1" t="s">
        <v>1180</v>
      </c>
      <c r="C344" s="1" t="s">
        <v>1189</v>
      </c>
      <c r="D344" s="1" t="s">
        <v>1190</v>
      </c>
      <c r="E344" s="2" t="str">
        <f>IFERROR(__xludf.DUMMYFUNCTION("GOOGLETRANSLATE(C344, ""en"", ""th"")"),"ระบุชื่อการ์ดที่มีมูลค่าซึ่งใช้มานาที่ถูกแปลงมากขึ้นสำหรับใบหน้า")</f>
        <v>ระบุชื่อการ์ดที่มีมูลค่าซึ่งใช้มานาที่ถูกแปลงมากขึ้นสำหรับใบหน้า</v>
      </c>
      <c r="F344" s="1" t="s">
        <v>1191</v>
      </c>
      <c r="G344" s="1" t="s">
        <v>1192</v>
      </c>
      <c r="H344" s="1" t="s">
        <v>13</v>
      </c>
    </row>
    <row r="345">
      <c r="A345" s="1">
        <v>343.0</v>
      </c>
      <c r="B345" s="1" t="s">
        <v>1180</v>
      </c>
      <c r="C345" s="1" t="s">
        <v>1193</v>
      </c>
      <c r="D345" s="1" t="s">
        <v>1194</v>
      </c>
      <c r="E345" s="2" t="str">
        <f>IFERROR(__xludf.DUMMYFUNCTION("GOOGLETRANSLATE(C345, ""en"", ""th"")"),"ตั้งชื่อการ์ดทั้งหมดที่มีรูปแบบเฟรมปี 2015 ซึ่งจัดอันดับต่ำกว่า 100 บน EDHRec")</f>
        <v>ตั้งชื่อการ์ดทั้งหมดที่มีรูปแบบเฟรมปี 2015 ซึ่งจัดอันดับต่ำกว่า 100 บน EDHRec</v>
      </c>
      <c r="F345" s="1" t="s">
        <v>1195</v>
      </c>
      <c r="G345" s="1" t="s">
        <v>1196</v>
      </c>
      <c r="H345" s="1" t="s">
        <v>13</v>
      </c>
    </row>
    <row r="346">
      <c r="A346" s="1">
        <v>344.0</v>
      </c>
      <c r="B346" s="1" t="s">
        <v>1180</v>
      </c>
      <c r="C346" s="1" t="s">
        <v>1197</v>
      </c>
      <c r="D346" s="1" t="s">
        <v>1198</v>
      </c>
      <c r="E346" s="2" t="str">
        <f>IFERROR(__xludf.DUMMYFUNCTION("GOOGLETRANSLATE(C346, ""en"", ""th"")"),"แสดงรายการการ์ดพิมพ์หายากในตำนานทั้งหมดที่ถูกแบนในรูปแบบกลาดิเอเตอร์")</f>
        <v>แสดงรายการการ์ดพิมพ์หายากในตำนานทั้งหมดที่ถูกแบนในรูปแบบกลาดิเอเตอร์</v>
      </c>
      <c r="F346" s="1" t="s">
        <v>1199</v>
      </c>
      <c r="G346" s="1" t="s">
        <v>1200</v>
      </c>
      <c r="H346" s="1" t="s">
        <v>18</v>
      </c>
    </row>
    <row r="347">
      <c r="A347" s="1">
        <v>345.0</v>
      </c>
      <c r="B347" s="1" t="s">
        <v>1180</v>
      </c>
      <c r="C347" s="1" t="s">
        <v>1201</v>
      </c>
      <c r="D347" s="1" t="s">
        <v>1202</v>
      </c>
      <c r="E347" s="2" t="str">
        <f>IFERROR(__xludf.DUMMYFUNCTION("GOOGLETRANSLATE(C347, ""en"", ""th"")"),"สำหรับการ์ดประเภทสิ่งประดิษฐ์ที่ไม่มีหลายหน้าบนการ์ดใบเดียวกัน ให้ระบุสถานะทางกฎหมายสำหรับรูปแบบการเล่นแบบวินเทจ")</f>
        <v>สำหรับการ์ดประเภทสิ่งประดิษฐ์ที่ไม่มีหลายหน้าบนการ์ดใบเดียวกัน ให้ระบุสถานะทางกฎหมายสำหรับรูปแบบการเล่นแบบวินเทจ</v>
      </c>
      <c r="F347" s="1" t="s">
        <v>1203</v>
      </c>
      <c r="G347" s="1" t="s">
        <v>1204</v>
      </c>
      <c r="H347" s="1" t="s">
        <v>18</v>
      </c>
    </row>
    <row r="348">
      <c r="A348" s="1">
        <v>346.0</v>
      </c>
      <c r="B348" s="1" t="s">
        <v>1180</v>
      </c>
      <c r="C348" s="1" t="s">
        <v>1205</v>
      </c>
      <c r="D348" s="1" t="s">
        <v>1206</v>
      </c>
      <c r="E348" s="2" t="str">
        <f>IFERROR(__xludf.DUMMYFUNCTION("GOOGLETRANSLATE(C348, ""en"", ""th"")"),"ระบุรหัสการ์ดและศิลปินทั้งหมดที่มีพลังที่ไม่รู้จักซึ่งถูกกฎหมายสำหรับรูปแบบการเล่นของผู้บัญชาการ")</f>
        <v>ระบุรหัสการ์ดและศิลปินทั้งหมดที่มีพลังที่ไม่รู้จักซึ่งถูกกฎหมายสำหรับรูปแบบการเล่นของผู้บัญชาการ</v>
      </c>
      <c r="F348" s="1" t="s">
        <v>1207</v>
      </c>
      <c r="G348" s="1" t="s">
        <v>1208</v>
      </c>
      <c r="H348" s="1" t="s">
        <v>18</v>
      </c>
    </row>
    <row r="349">
      <c r="A349" s="1">
        <v>347.0</v>
      </c>
      <c r="B349" s="1" t="s">
        <v>1180</v>
      </c>
      <c r="C349" s="1" t="s">
        <v>1209</v>
      </c>
      <c r="D349" s="1" t="s">
        <v>1210</v>
      </c>
      <c r="E349" s="2" t="str">
        <f>IFERROR(__xludf.DUMMYFUNCTION("GOOGLETRANSLATE(C349, ""en"", ""th"")"),"ค้นหาการ์ดทั้งหมดที่แสดงโดย Stephen Daniel และอธิบายข้อความการพิจารณาคดีของการ์ดเหล่านี้ ระบุว่าการ์ดเหล่านี้มีคุณสมบัติและค่าที่ขาดหายไปหรือลดลง")</f>
        <v>ค้นหาการ์ดทั้งหมดที่แสดงโดย Stephen Daniel และอธิบายข้อความการพิจารณาคดีของการ์ดเหล่านี้ ระบุว่าการ์ดเหล่านี้มีคุณสมบัติและค่าที่ขาดหายไปหรือลดลง</v>
      </c>
      <c r="F349" s="1" t="s">
        <v>1211</v>
      </c>
      <c r="G349" s="1" t="s">
        <v>1212</v>
      </c>
      <c r="H349" s="1" t="s">
        <v>18</v>
      </c>
    </row>
    <row r="350">
      <c r="A350" s="1">
        <v>348.0</v>
      </c>
      <c r="B350" s="1" t="s">
        <v>1180</v>
      </c>
      <c r="C350" s="1" t="s">
        <v>1213</v>
      </c>
      <c r="D350" s="1" t="s">
        <v>1214</v>
      </c>
      <c r="E350" s="2" t="str">
        <f>IFERROR(__xludf.DUMMYFUNCTION("GOOGLETRANSLATE(C350, ""en"", ""th"")"),"อธิบายข้อมูลเกี่ยวกับคำตัดสินของการ์ดชื่อ 'Sublime Epiphany' ที่มีหมายเลข 74")</f>
        <v>อธิบายข้อมูลเกี่ยวกับคำตัดสินของการ์ดชื่อ 'Sublime Epiphany' ที่มีหมายเลข 74</v>
      </c>
      <c r="F350" s="1" t="s">
        <v>1215</v>
      </c>
      <c r="G350" s="1" t="s">
        <v>1216</v>
      </c>
      <c r="H350" s="1" t="s">
        <v>13</v>
      </c>
    </row>
    <row r="351">
      <c r="A351" s="1">
        <v>349.0</v>
      </c>
      <c r="B351" s="1" t="s">
        <v>1180</v>
      </c>
      <c r="C351" s="1" t="s">
        <v>1217</v>
      </c>
      <c r="D351" s="1" t="s">
        <v>1218</v>
      </c>
      <c r="E351" s="2" t="str">
        <f>IFERROR(__xludf.DUMMYFUNCTION("GOOGLETRANSLATE(C351, ""en"", ""th"")"),"ตั้งชื่อการ์ดและศิลปินที่มีข้อมูลตัดสินมากที่สุด ระบุด้วยว่าบัตรนี้เป็นการพิมพ์เพื่อส่งเสริมการขายหรือไม่")</f>
        <v>ตั้งชื่อการ์ดและศิลปินที่มีข้อมูลตัดสินมากที่สุด ระบุด้วยว่าบัตรนี้เป็นการพิมพ์เพื่อส่งเสริมการขายหรือไม่</v>
      </c>
      <c r="F351" s="1" t="s">
        <v>1219</v>
      </c>
      <c r="G351" s="1" t="s">
        <v>1220</v>
      </c>
      <c r="H351" s="1" t="s">
        <v>18</v>
      </c>
    </row>
    <row r="352">
      <c r="A352" s="1">
        <v>350.0</v>
      </c>
      <c r="B352" s="1" t="s">
        <v>1180</v>
      </c>
      <c r="C352" s="1" t="s">
        <v>1221</v>
      </c>
      <c r="D352" s="1" t="s">
        <v>1222</v>
      </c>
      <c r="E352" s="2" t="str">
        <f>IFERROR(__xludf.DUMMYFUNCTION("GOOGLETRANSLATE(C352, ""en"", ""th"")"),"ระบุภาษาทางเลือกสำหรับบัตรชื่อ Annul หมายเลข 29")</f>
        <v>ระบุภาษาทางเลือกสำหรับบัตรชื่อ Annul หมายเลข 29</v>
      </c>
      <c r="F352" s="1" t="s">
        <v>1223</v>
      </c>
      <c r="G352" s="1" t="s">
        <v>1224</v>
      </c>
      <c r="H352" s="1" t="s">
        <v>13</v>
      </c>
    </row>
    <row r="353">
      <c r="A353" s="1">
        <v>351.0</v>
      </c>
      <c r="B353" s="1" t="s">
        <v>1180</v>
      </c>
      <c r="C353" s="1" t="s">
        <v>1225</v>
      </c>
      <c r="D353" s="1" t="s">
        <v>1226</v>
      </c>
      <c r="E353" s="2" t="str">
        <f>IFERROR(__xludf.DUMMYFUNCTION("GOOGLETRANSLATE(C353, ""en"", ""th"")"),"ตั้งชื่อไพ่ทั้งหมดที่มีภาษาอื่นเป็นภาษาญี่ปุ่น")</f>
        <v>ตั้งชื่อไพ่ทั้งหมดที่มีภาษาอื่นเป็นภาษาญี่ปุ่น</v>
      </c>
      <c r="F353" s="1" t="s">
        <v>1227</v>
      </c>
      <c r="G353" s="1" t="s">
        <v>1228</v>
      </c>
      <c r="H353" s="1" t="s">
        <v>13</v>
      </c>
    </row>
    <row r="354">
      <c r="A354" s="1">
        <v>352.0</v>
      </c>
      <c r="B354" s="1" t="s">
        <v>1180</v>
      </c>
      <c r="C354" s="1" t="s">
        <v>1229</v>
      </c>
      <c r="D354" s="1" t="s">
        <v>1230</v>
      </c>
      <c r="E354" s="2" t="str">
        <f>IFERROR(__xludf.DUMMYFUNCTION("GOOGLETRANSLATE(C354, ""en"", ""th"")"),"คำนวณเปอร์เซ็นต์ของไพ่ที่มีในภาษาจีนตัวย่อ")</f>
        <v>คำนวณเปอร์เซ็นต์ของไพ่ที่มีในภาษาจีนตัวย่อ</v>
      </c>
      <c r="F354" s="1" t="s">
        <v>1231</v>
      </c>
      <c r="G354" s="1" t="s">
        <v>1232</v>
      </c>
      <c r="H354" s="1" t="s">
        <v>18</v>
      </c>
    </row>
    <row r="355">
      <c r="A355" s="1">
        <v>353.0</v>
      </c>
      <c r="B355" s="1" t="s">
        <v>1180</v>
      </c>
      <c r="C355" s="1" t="s">
        <v>1233</v>
      </c>
      <c r="D355" s="1" t="s">
        <v>1234</v>
      </c>
      <c r="E355" s="2" t="str">
        <f>IFERROR(__xludf.DUMMYFUNCTION("GOOGLETRANSLATE(C355, ""en"", ""th"")"),"รายชื่อชุดทั้งหมดที่มีอยู่ในการแปลภาษาอิตาลี ระบุจำนวนไพ่ทั้งหมดต่อชุด")</f>
        <v>รายชื่อชุดทั้งหมดที่มีอยู่ในการแปลภาษาอิตาลี ระบุจำนวนไพ่ทั้งหมดต่อชุด</v>
      </c>
      <c r="F355" s="1" t="s">
        <v>1235</v>
      </c>
      <c r="G355" s="1" t="s">
        <v>1236</v>
      </c>
      <c r="H355" s="1" t="s">
        <v>13</v>
      </c>
    </row>
    <row r="356">
      <c r="A356" s="1">
        <v>354.0</v>
      </c>
      <c r="B356" s="1" t="s">
        <v>1180</v>
      </c>
      <c r="C356" s="1" t="s">
        <v>1237</v>
      </c>
      <c r="D356" s="1" t="s">
        <v>1238</v>
      </c>
      <c r="E356" s="2" t="str">
        <f>IFERROR(__xludf.DUMMYFUNCTION("GOOGLETRANSLATE(C356, ""en"", ""th"")"),"ศิลปิน Aaron Boyd วาดภาพเกี่ยวกับศิลปะการ์ดมีการ์ดกี่ประเภท")</f>
        <v>ศิลปิน Aaron Boyd วาดภาพเกี่ยวกับศิลปะการ์ดมีการ์ดกี่ประเภท</v>
      </c>
      <c r="F356" s="1" t="s">
        <v>1239</v>
      </c>
      <c r="G356" s="1" t="s">
        <v>1240</v>
      </c>
      <c r="H356" s="1" t="s">
        <v>13</v>
      </c>
    </row>
    <row r="357">
      <c r="A357" s="1">
        <v>355.0</v>
      </c>
      <c r="B357" s="1" t="s">
        <v>1180</v>
      </c>
      <c r="C357" s="1" t="s">
        <v>1241</v>
      </c>
      <c r="D357" s="1" t="s">
        <v>1242</v>
      </c>
      <c r="E357" s="2" t="str">
        <f>IFERROR(__xludf.DUMMYFUNCTION("GOOGLETRANSLATE(C357, ""en"", ""th"")"),"คำหลักที่พบในการ์ด 'เทวดาแห่งความเมตตา' คืออะไร?")</f>
        <v>คำหลักที่พบในการ์ด 'เทวดาแห่งความเมตตา' คืออะไร?</v>
      </c>
      <c r="F357" s="1" t="s">
        <v>1243</v>
      </c>
      <c r="G357" s="1" t="s">
        <v>1244</v>
      </c>
      <c r="H357" s="1" t="s">
        <v>13</v>
      </c>
    </row>
    <row r="358">
      <c r="A358" s="1">
        <v>356.0</v>
      </c>
      <c r="B358" s="1" t="s">
        <v>1180</v>
      </c>
      <c r="C358" s="1" t="s">
        <v>1245</v>
      </c>
      <c r="D358" s="1" t="s">
        <v>1246</v>
      </c>
      <c r="E358" s="2" t="str">
        <f>IFERROR(__xludf.DUMMYFUNCTION("GOOGLETRANSLATE(C358, ""en"", ""th"")"),"ไพ่กี่ใบมีพลังอนันต์?")</f>
        <v>ไพ่กี่ใบมีพลังอนันต์?</v>
      </c>
      <c r="F358" s="1" t="s">
        <v>1247</v>
      </c>
      <c r="G358" s="1" t="s">
        <v>1248</v>
      </c>
      <c r="H358" s="1" t="s">
        <v>13</v>
      </c>
    </row>
    <row r="359">
      <c r="A359" s="1">
        <v>357.0</v>
      </c>
      <c r="B359" s="1" t="s">
        <v>1180</v>
      </c>
      <c r="C359" s="1" t="s">
        <v>1249</v>
      </c>
      <c r="D359" s="1" t="s">
        <v>1250</v>
      </c>
      <c r="E359" s="2" t="str">
        <f>IFERROR(__xludf.DUMMYFUNCTION("GOOGLETRANSLATE(C359, ""en"", ""th"")"),"บัตร 'Duress' มีโปรโมชั่นประเภทใดบ้าง?")</f>
        <v>บัตร 'Duress' มีโปรโมชั่นประเภทใดบ้าง?</v>
      </c>
      <c r="F359" s="1" t="s">
        <v>1251</v>
      </c>
      <c r="G359" s="1" t="s">
        <v>1252</v>
      </c>
      <c r="H359" s="1" t="s">
        <v>13</v>
      </c>
    </row>
    <row r="360">
      <c r="A360" s="1">
        <v>358.0</v>
      </c>
      <c r="B360" s="1" t="s">
        <v>1180</v>
      </c>
      <c r="C360" s="1" t="s">
        <v>1253</v>
      </c>
      <c r="D360" s="1" t="s">
        <v>1254</v>
      </c>
      <c r="E360" s="2" t="str">
        <f>IFERROR(__xludf.DUMMYFUNCTION("GOOGLETRANSLATE(C360, ""en"", ""th"")"),"การ์ด ""ผู้ถูกเลือกของบรรพบุรุษ"" มีขอบสีอะไร?")</f>
        <v>การ์ด "ผู้ถูกเลือกของบรรพบุรุษ" มีขอบสีอะไร?</v>
      </c>
      <c r="F360" s="1" t="s">
        <v>1255</v>
      </c>
      <c r="G360" s="1" t="s">
        <v>1256</v>
      </c>
      <c r="H360" s="1" t="s">
        <v>13</v>
      </c>
    </row>
    <row r="361">
      <c r="A361" s="1">
        <v>359.0</v>
      </c>
      <c r="B361" s="1" t="s">
        <v>1180</v>
      </c>
      <c r="C361" s="1" t="s">
        <v>1257</v>
      </c>
      <c r="D361" s="1" t="s">
        <v>1258</v>
      </c>
      <c r="E361" s="2" t="str">
        <f>IFERROR(__xludf.DUMMYFUNCTION("GOOGLETRANSLATE(C361, ""en"", ""th"")"),"การ์ด ""Ancestor's Chosen"" ตามที่พิมพ์ครั้งแรกเป็นประเภทใด")</f>
        <v>การ์ด "Ancestor's Chosen" ตามที่พิมพ์ครั้งแรกเป็นประเภทใด</v>
      </c>
      <c r="F361" s="1" t="s">
        <v>1259</v>
      </c>
      <c r="G361" s="1" t="s">
        <v>1260</v>
      </c>
      <c r="H361" s="1" t="s">
        <v>13</v>
      </c>
    </row>
    <row r="362">
      <c r="A362" s="1">
        <v>360.0</v>
      </c>
      <c r="B362" s="1" t="s">
        <v>1180</v>
      </c>
      <c r="C362" s="1" t="s">
        <v>1261</v>
      </c>
      <c r="D362" s="1" t="s">
        <v>1242</v>
      </c>
      <c r="E362" s="2" t="str">
        <f>IFERROR(__xludf.DUMMYFUNCTION("GOOGLETRANSLATE(C362, ""en"", ""th"")"),"การ์ดไม่ได้เชื่อมโยงโดยตรงกับภาษา แต่ผ่านตาราง 'ชุด' คุณต้องเพิ่มชุดในตารางที่ครอบคลุมและเรียบเรียงคำถามของคุณใหม่
ชุดการ์ด 'Angel of Mercy' มีภาษาอะไรบ้าง?")</f>
        <v>การ์ดไม่ได้เชื่อมโยงโดยตรงกับภาษา แต่ผ่านตาราง 'ชุด' คุณต้องเพิ่มชุดในตารางที่ครอบคลุมและเรียบเรียงคำถามของคุณใหม่
ชุดการ์ด 'Angel of Mercy' มีภาษาอะไรบ้าง?</v>
      </c>
      <c r="F362" s="1" t="s">
        <v>1243</v>
      </c>
      <c r="G362" s="1" t="s">
        <v>1262</v>
      </c>
      <c r="H362" s="1" t="s">
        <v>18</v>
      </c>
    </row>
    <row r="363">
      <c r="A363" s="1">
        <v>361.0</v>
      </c>
      <c r="B363" s="1" t="s">
        <v>1180</v>
      </c>
      <c r="C363" s="1" t="s">
        <v>1263</v>
      </c>
      <c r="D363" s="1" t="s">
        <v>1264</v>
      </c>
      <c r="E363" s="2" t="str">
        <f>IFERROR(__xludf.DUMMYFUNCTION("GOOGLETRANSLATE(C363, ""en"", ""th"")"),"บัตรถูกต้องตามกฎหมายที่มีสถานะถูกจำกัดมีกล่องข้อความกี่ใบ")</f>
        <v>บัตรถูกต้องตามกฎหมายที่มีสถานะถูกจำกัดมีกล่องข้อความกี่ใบ</v>
      </c>
      <c r="F363" s="1" t="s">
        <v>1265</v>
      </c>
      <c r="G363" s="1" t="s">
        <v>1266</v>
      </c>
      <c r="H363" s="1" t="s">
        <v>13</v>
      </c>
    </row>
    <row r="364">
      <c r="A364" s="1">
        <v>362.0</v>
      </c>
      <c r="B364" s="1" t="s">
        <v>1180</v>
      </c>
      <c r="C364" s="1" t="s">
        <v>1267</v>
      </c>
      <c r="D364" s="1" t="s">
        <v>1268</v>
      </c>
      <c r="E364" s="2" t="str">
        <f>IFERROR(__xludf.DUMMYFUNCTION("GOOGLETRANSLATE(C364, ""en"", ""th"")"),"คำอธิบายเกี่ยวกับการพิจารณาคดีของการ์ด ""ประณาม"" คืออะไร?")</f>
        <v>คำอธิบายเกี่ยวกับการพิจารณาคดีของการ์ด "ประณาม" คืออะไร?</v>
      </c>
      <c r="F364" s="1" t="s">
        <v>1269</v>
      </c>
      <c r="G364" s="1" t="s">
        <v>1270</v>
      </c>
      <c r="H364" s="1" t="s">
        <v>13</v>
      </c>
    </row>
    <row r="365">
      <c r="A365" s="1">
        <v>363.0</v>
      </c>
      <c r="B365" s="1" t="s">
        <v>1180</v>
      </c>
      <c r="C365" s="1" t="s">
        <v>1271</v>
      </c>
      <c r="D365" s="1" t="s">
        <v>1272</v>
      </c>
      <c r="E365" s="2" t="str">
        <f>IFERROR(__xludf.DUMMYFUNCTION("GOOGLETRANSLATE(C365, ""en"", ""th"")"),"มีไพ่ถูกต้องตามกฎหมายที่มีสถานะถูกจำกัดกี่ใบในสำรับเริ่มต้น?")</f>
        <v>มีไพ่ถูกต้องตามกฎหมายที่มีสถานะถูกจำกัดกี่ใบในสำรับเริ่มต้น?</v>
      </c>
      <c r="F365" s="1" t="s">
        <v>1273</v>
      </c>
      <c r="G365" s="1" t="s">
        <v>1274</v>
      </c>
      <c r="H365" s="1" t="s">
        <v>13</v>
      </c>
    </row>
    <row r="366">
      <c r="A366" s="1">
        <v>364.0</v>
      </c>
      <c r="B366" s="1" t="s">
        <v>1180</v>
      </c>
      <c r="C366" s="1" t="s">
        <v>1275</v>
      </c>
      <c r="D366" s="1" t="s">
        <v>1276</v>
      </c>
      <c r="E366" s="2" t="str">
        <f>IFERROR(__xludf.DUMMYFUNCTION("GOOGLETRANSLATE(C366, ""en"", ""th"")"),"สถานะของการ์ด ""Cloudchaser Eagle"" คืออะไร?")</f>
        <v>สถานะของการ์ด "Cloudchaser Eagle" คืออะไร?</v>
      </c>
      <c r="F366" s="1" t="s">
        <v>1277</v>
      </c>
      <c r="G366" s="1" t="s">
        <v>1278</v>
      </c>
      <c r="H366" s="1" t="s">
        <v>13</v>
      </c>
    </row>
    <row r="367">
      <c r="A367" s="1">
        <v>365.0</v>
      </c>
      <c r="B367" s="1" t="s">
        <v>1180</v>
      </c>
      <c r="C367" s="1" t="s">
        <v>1279</v>
      </c>
      <c r="D367" s="1" t="s">
        <v>1280</v>
      </c>
      <c r="E367" s="2" t="str">
        <f>IFERROR(__xludf.DUMMYFUNCTION("GOOGLETRANSLATE(C367, ""en"", ""th"")"),"ไพ่ “เบนาลิช ไนท์” เป็นไพ่ประเภทไหน?")</f>
        <v>ไพ่ “เบนาลิช ไนท์” เป็นไพ่ประเภทไหน?</v>
      </c>
      <c r="F367" s="1" t="s">
        <v>1281</v>
      </c>
      <c r="G367" s="1" t="s">
        <v>1282</v>
      </c>
      <c r="H367" s="1" t="s">
        <v>13</v>
      </c>
    </row>
    <row r="368">
      <c r="A368" s="1">
        <v>366.0</v>
      </c>
      <c r="B368" s="1" t="s">
        <v>1180</v>
      </c>
      <c r="C368" s="1" t="s">
        <v>1283</v>
      </c>
      <c r="D368" s="1" t="s">
        <v>1284</v>
      </c>
      <c r="E368" s="2" t="str">
        <f>IFERROR(__xludf.DUMMYFUNCTION("GOOGLETRANSLATE(C368, ""en"", ""th"")"),"กฎการเล่นไพ่ ""Benalish Knight"" คืออะไร?")</f>
        <v>กฎการเล่นไพ่ "Benalish Knight" คืออะไร?</v>
      </c>
      <c r="F368" s="1" t="s">
        <v>1285</v>
      </c>
      <c r="G368" s="1" t="s">
        <v>1286</v>
      </c>
      <c r="H368" s="1" t="s">
        <v>13</v>
      </c>
    </row>
    <row r="369">
      <c r="A369" s="1">
        <v>367.0</v>
      </c>
      <c r="B369" s="1" t="s">
        <v>1180</v>
      </c>
      <c r="C369" s="1" t="s">
        <v>1287</v>
      </c>
      <c r="D369" s="1" t="s">
        <v>1288</v>
      </c>
      <c r="E369" s="2" t="str">
        <f>IFERROR(__xludf.DUMMYFUNCTION("GOOGLETRANSLATE(C369, ""en"", ""th"")"),"โปรดระบุชื่อของศิลปินที่วาดภาพศิลปะการ์ดในภาษา Phyrexian")</f>
        <v>โปรดระบุชื่อของศิลปินที่วาดภาพศิลปะการ์ดในภาษา Phyrexian</v>
      </c>
      <c r="F369" s="1" t="s">
        <v>1289</v>
      </c>
      <c r="G369" s="1" t="s">
        <v>1290</v>
      </c>
      <c r="H369" s="1" t="s">
        <v>13</v>
      </c>
    </row>
    <row r="370">
      <c r="A370" s="1">
        <v>368.0</v>
      </c>
      <c r="B370" s="1" t="s">
        <v>1180</v>
      </c>
      <c r="C370" s="1" t="s">
        <v>1291</v>
      </c>
      <c r="D370" s="1" t="s">
        <v>1292</v>
      </c>
      <c r="E370" s="2" t="str">
        <f>IFERROR(__xludf.DUMMYFUNCTION("GOOGLETRANSLATE(C370, ""en"", ""th"")"),"การ์ดไร้ขอบมีกี่เปอร์เซ็นต์?")</f>
        <v>การ์ดไร้ขอบมีกี่เปอร์เซ็นต์?</v>
      </c>
      <c r="F370" s="1" t="s">
        <v>1293</v>
      </c>
      <c r="G370" s="1" t="s">
        <v>1294</v>
      </c>
      <c r="H370" s="1" t="s">
        <v>13</v>
      </c>
    </row>
    <row r="371">
      <c r="A371" s="1">
        <v>369.0</v>
      </c>
      <c r="B371" s="1" t="s">
        <v>1180</v>
      </c>
      <c r="C371" s="1" t="s">
        <v>1295</v>
      </c>
      <c r="D371" s="1" t="s">
        <v>1296</v>
      </c>
      <c r="E371" s="2" t="str">
        <f>IFERROR(__xludf.DUMMYFUNCTION("GOOGLETRANSLATE(C371, ""en"", ""th"")"),"มีการพิมพ์ซ้ำการ์ดที่แสดงเป็นภาษาเยอรมันกี่ใบ?")</f>
        <v>มีการพิมพ์ซ้ำการ์ดที่แสดงเป็นภาษาเยอรมันกี่ใบ?</v>
      </c>
      <c r="F371" s="1" t="s">
        <v>1297</v>
      </c>
      <c r="G371" s="1" t="s">
        <v>1298</v>
      </c>
      <c r="H371" s="1" t="s">
        <v>13</v>
      </c>
    </row>
    <row r="372">
      <c r="A372" s="1">
        <v>370.0</v>
      </c>
      <c r="B372" s="1" t="s">
        <v>1180</v>
      </c>
      <c r="C372" s="1" t="s">
        <v>1299</v>
      </c>
      <c r="D372" s="1" t="s">
        <v>1300</v>
      </c>
      <c r="E372" s="2" t="str">
        <f>IFERROR(__xludf.DUMMYFUNCTION("GOOGLETRANSLATE(C372, ""en"", ""th"")"),"มีการ์ดไร้ขอบกี่ใบที่แสดงเป็นภาษารัสเซีย")</f>
        <v>มีการ์ดไร้ขอบกี่ใบที่แสดงเป็นภาษารัสเซีย</v>
      </c>
      <c r="F372" s="1" t="s">
        <v>1301</v>
      </c>
      <c r="G372" s="1" t="s">
        <v>1302</v>
      </c>
      <c r="H372" s="1" t="s">
        <v>13</v>
      </c>
    </row>
    <row r="373">
      <c r="A373" s="1">
        <v>371.0</v>
      </c>
      <c r="B373" s="1" t="s">
        <v>1180</v>
      </c>
      <c r="C373" s="1" t="s">
        <v>1303</v>
      </c>
      <c r="D373" s="1" t="s">
        <v>1304</v>
      </c>
      <c r="E373" s="2" t="str">
        <f>IFERROR(__xludf.DUMMYFUNCTION("GOOGLETRANSLATE(C373, ""en"", ""th"")"),"การ์ดที่มีภาษาฝรั่งเศสในการ์ด Story Spotlight มีกี่เปอร์เซ็นต์")</f>
        <v>การ์ดที่มีภาษาฝรั่งเศสในการ์ด Story Spotlight มีกี่เปอร์เซ็นต์</v>
      </c>
      <c r="F373" s="1" t="s">
        <v>1305</v>
      </c>
      <c r="G373" s="1" t="s">
        <v>1306</v>
      </c>
      <c r="H373" s="1" t="s">
        <v>101</v>
      </c>
    </row>
    <row r="374">
      <c r="A374" s="1">
        <v>372.0</v>
      </c>
      <c r="B374" s="1" t="s">
        <v>1180</v>
      </c>
      <c r="C374" s="1" t="s">
        <v>1307</v>
      </c>
      <c r="E374" s="2" t="str">
        <f>IFERROR(__xludf.DUMMYFUNCTION("GOOGLETRANSLATE(C374, ""en"", ""th"")"),"ความเหนียว 99 มีกี่ใบ?")</f>
        <v>ความเหนียว 99 มีกี่ใบ?</v>
      </c>
      <c r="G374" s="1" t="s">
        <v>1308</v>
      </c>
      <c r="H374" s="1" t="s">
        <v>13</v>
      </c>
    </row>
    <row r="375">
      <c r="A375" s="1">
        <v>373.0</v>
      </c>
      <c r="B375" s="1" t="s">
        <v>1180</v>
      </c>
      <c r="C375" s="1" t="s">
        <v>1309</v>
      </c>
      <c r="D375" s="1" t="s">
        <v>1238</v>
      </c>
      <c r="E375" s="2" t="str">
        <f>IFERROR(__xludf.DUMMYFUNCTION("GOOGLETRANSLATE(C375, ""en"", ""th"")"),"ตั้งชื่อไพ่ที่แอรอน บอยด์วาดภาพไว้")</f>
        <v>ตั้งชื่อไพ่ที่แอรอน บอยด์วาดภาพไว้</v>
      </c>
      <c r="F375" s="1" t="s">
        <v>1239</v>
      </c>
      <c r="G375" s="1" t="s">
        <v>1310</v>
      </c>
      <c r="H375" s="1" t="s">
        <v>13</v>
      </c>
    </row>
    <row r="376">
      <c r="A376" s="1">
        <v>374.0</v>
      </c>
      <c r="B376" s="1" t="s">
        <v>1180</v>
      </c>
      <c r="C376" s="1" t="s">
        <v>1311</v>
      </c>
      <c r="D376" s="1" t="s">
        <v>1312</v>
      </c>
      <c r="E376" s="2" t="str">
        <f>IFERROR(__xludf.DUMMYFUNCTION("GOOGLETRANSLATE(C376, ""en"", ""th"")"),"การ์ดขอบสีดำที่มีเฉพาะใน mtgo มีกี่ใบ?")</f>
        <v>การ์ดขอบสีดำที่มีเฉพาะใน mtgo มีกี่ใบ?</v>
      </c>
      <c r="F376" s="1" t="s">
        <v>1313</v>
      </c>
      <c r="G376" s="1" t="s">
        <v>1314</v>
      </c>
      <c r="H376" s="1" t="s">
        <v>13</v>
      </c>
    </row>
    <row r="377">
      <c r="A377" s="1">
        <v>375.0</v>
      </c>
      <c r="B377" s="1" t="s">
        <v>1180</v>
      </c>
      <c r="C377" s="1" t="s">
        <v>1315</v>
      </c>
      <c r="D377" s="1" t="s">
        <v>1316</v>
      </c>
      <c r="E377" s="2" t="str">
        <f>IFERROR(__xludf.DUMMYFUNCTION("GOOGLETRANSLATE(C377, ""en"", ""th"")"),"แสดงรายการ ID การ์ดทั้งหมดที่มีค่าใช้จ่ายมานาที่แปลงเป็น 0")</f>
        <v>แสดงรายการ ID การ์ดทั้งหมดที่มีค่าใช้จ่ายมานาที่แปลงเป็น 0</v>
      </c>
      <c r="F377" s="1" t="s">
        <v>1317</v>
      </c>
      <c r="G377" s="1" t="s">
        <v>1318</v>
      </c>
      <c r="H377" s="1" t="s">
        <v>13</v>
      </c>
    </row>
    <row r="378">
      <c r="A378" s="1">
        <v>376.0</v>
      </c>
      <c r="B378" s="1" t="s">
        <v>1180</v>
      </c>
      <c r="C378" s="1" t="s">
        <v>1319</v>
      </c>
      <c r="E378" s="2" t="str">
        <f>IFERROR(__xludf.DUMMYFUNCTION("GOOGLETRANSLATE(C378, ""en"", ""th"")"),"เค้าโครงไพ่ของไพ่ที่มีคำสำคัญว่าการบินคืออะไร?")</f>
        <v>เค้าโครงไพ่ของไพ่ที่มีคำสำคัญว่าการบินคืออะไร?</v>
      </c>
      <c r="G378" s="1" t="s">
        <v>1320</v>
      </c>
      <c r="H378" s="1" t="s">
        <v>13</v>
      </c>
    </row>
    <row r="379">
      <c r="A379" s="1">
        <v>377.0</v>
      </c>
      <c r="B379" s="1" t="s">
        <v>1180</v>
      </c>
      <c r="C379" s="1" t="s">
        <v>1321</v>
      </c>
      <c r="D379" s="1" t="s">
        <v>1322</v>
      </c>
      <c r="E379" s="2" t="str">
        <f>IFERROR(__xludf.DUMMYFUNCTION("GOOGLETRANSLATE(C379, ""en"", ""th"")"),"การ์ดประเภทดั้งเดิมของ ""Summon - Angel"" มีการ์ดประเภทย่อยนอกเหนือจาก ""Angel"" กี่ใบ?")</f>
        <v>การ์ดประเภทดั้งเดิมของ "Summon - Angel" มีการ์ดประเภทย่อยนอกเหนือจาก "Angel" กี่ใบ?</v>
      </c>
      <c r="F379" s="1" t="s">
        <v>1323</v>
      </c>
      <c r="G379" s="1" t="s">
        <v>1324</v>
      </c>
      <c r="H379" s="1" t="s">
        <v>13</v>
      </c>
    </row>
    <row r="380">
      <c r="A380" s="1">
        <v>378.0</v>
      </c>
      <c r="B380" s="1" t="s">
        <v>1180</v>
      </c>
      <c r="C380" s="1" t="s">
        <v>1325</v>
      </c>
      <c r="D380" s="1" t="s">
        <v>1326</v>
      </c>
      <c r="E380" s="2" t="str">
        <f>IFERROR(__xludf.DUMMYFUNCTION("GOOGLETRANSLATE(C380, ""en"", ""th"")"),"การ์ดที่ฟอยล์คืออะไรที่มีประสิทธิภาพอย่างเหลือเชื่อเมื่อจับคู่กับการ์ดที่ไม่ฟอยล์? แสดงรายการรหัส")</f>
        <v>การ์ดที่ฟอยล์คืออะไรที่มีประสิทธิภาพอย่างเหลือเชื่อเมื่อจับคู่กับการ์ดที่ไม่ฟอยล์? แสดงรายการรหัส</v>
      </c>
      <c r="F380" s="1" t="s">
        <v>1327</v>
      </c>
      <c r="G380" s="1" t="s">
        <v>1328</v>
      </c>
      <c r="H380" s="1" t="s">
        <v>13</v>
      </c>
    </row>
    <row r="381">
      <c r="A381" s="1">
        <v>379.0</v>
      </c>
      <c r="B381" s="1" t="s">
        <v>1180</v>
      </c>
      <c r="C381" s="1" t="s">
        <v>1329</v>
      </c>
      <c r="D381" s="1" t="s">
        <v>1330</v>
      </c>
      <c r="E381" s="2" t="str">
        <f>IFERROR(__xludf.DUMMYFUNCTION("GOOGLETRANSLATE(C381, ""en"", ""th"")"),"ไพ่ใดบ้างที่เป็นของ Duel Deck a? ระบุรหัสประจำตัว")</f>
        <v>ไพ่ใดบ้างที่เป็นของ Duel Deck a? ระบุรหัสประจำตัว</v>
      </c>
      <c r="F381" s="1" t="s">
        <v>1331</v>
      </c>
      <c r="G381" s="1" t="s">
        <v>1332</v>
      </c>
      <c r="H381" s="1" t="s">
        <v>13</v>
      </c>
    </row>
    <row r="382">
      <c r="A382" s="1">
        <v>380.0</v>
      </c>
      <c r="B382" s="1" t="s">
        <v>1180</v>
      </c>
      <c r="C382" s="1" t="s">
        <v>1333</v>
      </c>
      <c r="E382" s="2" t="str">
        <f>IFERROR(__xludf.DUMMYFUNCTION("GOOGLETRANSLATE(C382, ""en"", ""th"")"),"แสดงรายการ edhrecRank สำหรับการ์ดที่มีเฟรมเวอร์ชัน 2015")</f>
        <v>แสดงรายการ edhrecRank สำหรับการ์ดที่มีเฟรมเวอร์ชัน 2015</v>
      </c>
      <c r="G382" s="1" t="s">
        <v>1334</v>
      </c>
      <c r="H382" s="1" t="s">
        <v>13</v>
      </c>
    </row>
    <row r="383">
      <c r="A383" s="1">
        <v>381.0</v>
      </c>
      <c r="B383" s="1" t="s">
        <v>1180</v>
      </c>
      <c r="C383" s="1" t="s">
        <v>1335</v>
      </c>
      <c r="D383" s="1" t="s">
        <v>1336</v>
      </c>
      <c r="E383" s="2" t="str">
        <f>IFERROR(__xludf.DUMMYFUNCTION("GOOGLETRANSLATE(C383, ""en"", ""th"")"),"รายชื่อศิลปินสำหรับการ์ดเป็นภาษาจีนตัวย่อ")</f>
        <v>รายชื่อศิลปินสำหรับการ์ดเป็นภาษาจีนตัวย่อ</v>
      </c>
      <c r="F383" s="1" t="s">
        <v>1337</v>
      </c>
      <c r="G383" s="1" t="s">
        <v>1338</v>
      </c>
      <c r="H383" s="1" t="s">
        <v>13</v>
      </c>
    </row>
    <row r="384">
      <c r="A384" s="1">
        <v>382.0</v>
      </c>
      <c r="B384" s="1" t="s">
        <v>1180</v>
      </c>
      <c r="C384" s="1" t="s">
        <v>1339</v>
      </c>
      <c r="D384" s="1" t="s">
        <v>1340</v>
      </c>
      <c r="E384" s="2" t="str">
        <f>IFERROR(__xludf.DUMMYFUNCTION("GOOGLETRANSLATE(C384, ""en"", ""th"")"),"การ์ดอะไรบ้างที่มีเฉพาะกระดาษและภาษาญี่ปุ่น?")</f>
        <v>การ์ดอะไรบ้างที่มีเฉพาะกระดาษและภาษาญี่ปุ่น?</v>
      </c>
      <c r="F384" s="1" t="s">
        <v>1341</v>
      </c>
      <c r="G384" s="1" t="s">
        <v>1342</v>
      </c>
      <c r="H384" s="1" t="s">
        <v>13</v>
      </c>
    </row>
    <row r="385">
      <c r="A385" s="1">
        <v>383.0</v>
      </c>
      <c r="B385" s="1" t="s">
        <v>1180</v>
      </c>
      <c r="C385" s="1" t="s">
        <v>1343</v>
      </c>
      <c r="D385" s="1" t="s">
        <v>1344</v>
      </c>
      <c r="E385" s="2" t="str">
        <f>IFERROR(__xludf.DUMMYFUNCTION("GOOGLETRANSLATE(C385, ""en"", ""th"")"),"การ์ดที่ถูกแบนมีขอบสีขาวกี่ใบ?")</f>
        <v>การ์ดที่ถูกแบนมีขอบสีขาวกี่ใบ?</v>
      </c>
      <c r="F385" s="1" t="s">
        <v>1345</v>
      </c>
      <c r="G385" s="1" t="s">
        <v>1346</v>
      </c>
      <c r="H385" s="1" t="s">
        <v>13</v>
      </c>
    </row>
    <row r="386">
      <c r="A386" s="1">
        <v>384.0</v>
      </c>
      <c r="B386" s="1" t="s">
        <v>1180</v>
      </c>
      <c r="C386" s="1" t="s">
        <v>1347</v>
      </c>
      <c r="D386" s="1" t="s">
        <v>1348</v>
      </c>
      <c r="E386" s="2" t="str">
        <f>IFERROR(__xludf.DUMMYFUNCTION("GOOGLETRANSLATE(C386, ""en"", ""th"")"),"ลงรายการ uuid สำหรับการ์ดแบบเดิมและภาษาต่างประเทศของการ์ดเหล่านี้")</f>
        <v>ลงรายการ uuid สำหรับการ์ดแบบเดิมและภาษาต่างประเทศของการ์ดเหล่านี้</v>
      </c>
      <c r="F386" s="1" t="s">
        <v>1349</v>
      </c>
      <c r="G386" s="1" t="s">
        <v>1350</v>
      </c>
      <c r="H386" s="1" t="s">
        <v>13</v>
      </c>
    </row>
    <row r="387">
      <c r="A387" s="1">
        <v>385.0</v>
      </c>
      <c r="B387" s="1" t="s">
        <v>1180</v>
      </c>
      <c r="C387" s="1" t="s">
        <v>1351</v>
      </c>
      <c r="D387" s="1" t="s">
        <v>1352</v>
      </c>
      <c r="E387" s="2" t="str">
        <f>IFERROR(__xludf.DUMMYFUNCTION("GOOGLETRANSLATE(C387, ""en"", ""th"")"),"เขียนคำตัดสินของ Beacon of Immortality")</f>
        <v>เขียนคำตัดสินของ Beacon of Immortality</v>
      </c>
      <c r="F387" s="1" t="s">
        <v>1353</v>
      </c>
      <c r="G387" s="1" t="s">
        <v>1354</v>
      </c>
      <c r="H387" s="1" t="s">
        <v>13</v>
      </c>
    </row>
    <row r="388">
      <c r="A388" s="1">
        <v>386.0</v>
      </c>
      <c r="B388" s="1" t="s">
        <v>1180</v>
      </c>
      <c r="C388" s="1" t="s">
        <v>1355</v>
      </c>
      <c r="D388" s="1" t="s">
        <v>1356</v>
      </c>
      <c r="E388" s="2" t="str">
        <f>IFERROR(__xludf.DUMMYFUNCTION("GOOGLETRANSLATE(C388, ""en"", ""th"")"),"มีการ์ดกี่ใบที่มีเฟรมเวอร์ชันในอนาคต และการ์ดเหล่านี้มีสถานะทางกฎหมายอย่างไร")</f>
        <v>มีการ์ดกี่ใบที่มีเฟรมเวอร์ชันในอนาคต และการ์ดเหล่านี้มีสถานะทางกฎหมายอย่างไร</v>
      </c>
      <c r="F388" s="1" t="s">
        <v>1357</v>
      </c>
      <c r="G388" s="1" t="s">
        <v>1358</v>
      </c>
      <c r="H388" s="1" t="s">
        <v>13</v>
      </c>
    </row>
    <row r="389">
      <c r="A389" s="1">
        <v>387.0</v>
      </c>
      <c r="B389" s="1" t="s">
        <v>1180</v>
      </c>
      <c r="C389" s="1" t="s">
        <v>1359</v>
      </c>
      <c r="D389" s="1" t="s">
        <v>1360</v>
      </c>
      <c r="E389" s="2" t="str">
        <f>IFERROR(__xludf.DUMMYFUNCTION("GOOGLETRANSLATE(C389, ""en"", ""th"")"),"การ์ดสำหรับชุด OGW คืออะไร? ระบุสีของการ์ดเหล่านี้")</f>
        <v>การ์ดสำหรับชุด OGW คืออะไร? ระบุสีของการ์ดเหล่านี้</v>
      </c>
      <c r="F389" s="1" t="s">
        <v>1361</v>
      </c>
      <c r="G389" s="1" t="s">
        <v>1362</v>
      </c>
      <c r="H389" s="1" t="s">
        <v>13</v>
      </c>
    </row>
    <row r="390">
      <c r="A390" s="1">
        <v>388.0</v>
      </c>
      <c r="B390" s="1" t="s">
        <v>1180</v>
      </c>
      <c r="C390" s="1" t="s">
        <v>1363</v>
      </c>
      <c r="D390" s="1" t="s">
        <v>1364</v>
      </c>
      <c r="E390" s="2" t="str">
        <f>IFERROR(__xludf.DUMMYFUNCTION("GOOGLETRANSLATE(C390, ""en"", ""th"")"),"การ์ดในชุด 10E ที่มีมานาที่แปลงเป็น 5 คืออะไร มีการแปล และภาษาอะไรบ้าง?")</f>
        <v>การ์ดในชุด 10E ที่มีมานาที่แปลงเป็น 5 คืออะไร มีการแปล และภาษาอะไรบ้าง?</v>
      </c>
      <c r="F390" s="1" t="s">
        <v>1365</v>
      </c>
      <c r="G390" s="1" t="s">
        <v>1366</v>
      </c>
      <c r="H390" s="1" t="s">
        <v>13</v>
      </c>
    </row>
    <row r="391">
      <c r="A391" s="1">
        <v>389.0</v>
      </c>
      <c r="B391" s="1" t="s">
        <v>1180</v>
      </c>
      <c r="C391" s="1" t="s">
        <v>1367</v>
      </c>
      <c r="D391" s="1" t="s">
        <v>1368</v>
      </c>
      <c r="E391" s="2" t="str">
        <f>IFERROR(__xludf.DUMMYFUNCTION("GOOGLETRANSLATE(C391, ""en"", ""th"")"),"รายชื่อการ์ดที่มีประเภทสิ่งมีชีวิตดั้งเดิม - เอลฟ์ และวันที่ตัดสินสำหรับการ์ดเหล่านี้")</f>
        <v>รายชื่อการ์ดที่มีประเภทสิ่งมีชีวิตดั้งเดิม - เอลฟ์ และวันที่ตัดสินสำหรับการ์ดเหล่านี้</v>
      </c>
      <c r="F391" s="1" t="s">
        <v>1369</v>
      </c>
      <c r="G391" s="1" t="s">
        <v>1370</v>
      </c>
      <c r="H391" s="1" t="s">
        <v>13</v>
      </c>
    </row>
    <row r="392">
      <c r="A392" s="1">
        <v>390.0</v>
      </c>
      <c r="B392" s="1" t="s">
        <v>1180</v>
      </c>
      <c r="C392" s="1" t="s">
        <v>1371</v>
      </c>
      <c r="D392" s="1" t="s">
        <v>1372</v>
      </c>
      <c r="E392" s="2" t="str">
        <f>IFERROR(__xludf.DUMMYFUNCTION("GOOGLETRANSLATE(C392, ""en"", ""th"")"),"บัตร ID 1-20 มีสีอะไรบ้าง? การ์ดเหล่านี้มีรูปแบบอะไรบ้าง?")</f>
        <v>บัตร ID 1-20 มีสีอะไรบ้าง? การ์ดเหล่านี้มีรูปแบบอะไรบ้าง?</v>
      </c>
      <c r="F392" s="1" t="s">
        <v>1373</v>
      </c>
      <c r="G392" s="1" t="s">
        <v>1374</v>
      </c>
      <c r="H392" s="1" t="s">
        <v>13</v>
      </c>
    </row>
    <row r="393">
      <c r="A393" s="1">
        <v>391.0</v>
      </c>
      <c r="B393" s="1" t="s">
        <v>1180</v>
      </c>
      <c r="C393" s="1" t="s">
        <v>1375</v>
      </c>
      <c r="D393" s="1" t="s">
        <v>1376</v>
      </c>
      <c r="E393" s="2" t="str">
        <f>IFERROR(__xludf.DUMMYFUNCTION("GOOGLETRANSLATE(C393, ""en"", ""th"")"),"ในบรรดาการ์ด Artifact ที่เป็นสีดำและมาพร้อมกับการแปลภาษาต่างประเทศล่ะ?")</f>
        <v>ในบรรดาการ์ด Artifact ที่เป็นสีดำและมาพร้อมกับการแปลภาษาต่างประเทศล่ะ?</v>
      </c>
      <c r="F393" s="1" t="s">
        <v>1377</v>
      </c>
      <c r="G393" s="1" t="s">
        <v>1378</v>
      </c>
      <c r="H393" s="1" t="s">
        <v>18</v>
      </c>
    </row>
    <row r="394">
      <c r="A394" s="1">
        <v>392.0</v>
      </c>
      <c r="B394" s="1" t="s">
        <v>1180</v>
      </c>
      <c r="C394" s="1" t="s">
        <v>1379</v>
      </c>
      <c r="D394" s="1" t="s">
        <v>1380</v>
      </c>
      <c r="E394" s="2" t="str">
        <f>IFERROR(__xludf.DUMMYFUNCTION("GOOGLETRANSLATE(C394, ""en"", ""th"")"),"เลือกไพ่ 3 ใบที่หายาก เรียงชื่อการ์ดเหล่านี้ตามลำดับจากน้อยไปมากของวันที่ปกครอง")</f>
        <v>เลือกไพ่ 3 ใบที่หายาก เรียงชื่อการ์ดเหล่านี้ตามลำดับจากน้อยไปมากของวันที่ปกครอง</v>
      </c>
      <c r="F394" s="1" t="s">
        <v>1381</v>
      </c>
      <c r="G394" s="1" t="s">
        <v>1382</v>
      </c>
      <c r="H394" s="1" t="s">
        <v>13</v>
      </c>
    </row>
    <row r="395">
      <c r="A395" s="1">
        <v>393.0</v>
      </c>
      <c r="B395" s="1" t="s">
        <v>1180</v>
      </c>
      <c r="C395" s="1" t="s">
        <v>1383</v>
      </c>
      <c r="D395" s="1" t="s">
        <v>1384</v>
      </c>
      <c r="E395" s="2" t="str">
        <f>IFERROR(__xludf.DUMMYFUNCTION("GOOGLETRANSLATE(C395, ""en"", ""th"")"),"การ์ดที่ออกแบบโดย John Avon มีการ์ดกี่ใบที่ไม่มีประสิทธิภาพ?")</f>
        <v>การ์ดที่ออกแบบโดย John Avon มีการ์ดกี่ใบที่ไม่มีประสิทธิภาพ?</v>
      </c>
      <c r="F395" s="1" t="s">
        <v>1385</v>
      </c>
      <c r="G395" s="1" t="s">
        <v>1386</v>
      </c>
      <c r="H395" s="1" t="s">
        <v>13</v>
      </c>
    </row>
    <row r="396">
      <c r="A396" s="1">
        <v>394.0</v>
      </c>
      <c r="B396" s="1" t="s">
        <v>1180</v>
      </c>
      <c r="C396" s="1" t="s">
        <v>1387</v>
      </c>
      <c r="D396" s="1" t="s">
        <v>1388</v>
      </c>
      <c r="E396" s="2" t="str">
        <f>IFERROR(__xludf.DUMMYFUNCTION("GOOGLETRANSLATE(C396, ""en"", ""th"")"),"ไพ่ขอบขาวมีพลังกี่ใบ?")</f>
        <v>ไพ่ขอบขาวมีพลังกี่ใบ?</v>
      </c>
      <c r="F396" s="1" t="s">
        <v>1389</v>
      </c>
      <c r="G396" s="1" t="s">
        <v>1390</v>
      </c>
      <c r="H396" s="1" t="s">
        <v>13</v>
      </c>
    </row>
    <row r="397">
      <c r="A397" s="1">
        <v>395.0</v>
      </c>
      <c r="B397" s="1" t="s">
        <v>1180</v>
      </c>
      <c r="C397" s="1" t="s">
        <v>1391</v>
      </c>
      <c r="D397" s="1" t="s">
        <v>1392</v>
      </c>
      <c r="E397" s="2" t="str">
        <f>IFERROR(__xludf.DUMMYFUNCTION("GOOGLETRANSLATE(C397, ""en"", ""th"")"),"การ์ดที่ออกแบบโดย UDON และประเภทพิมพ์ mtgo มีกี่ใบ โดยมีขนาดมือสูงสุดเริ่มต้นที่ -1")</f>
        <v>การ์ดที่ออกแบบโดย UDON และประเภทพิมพ์ mtgo มีกี่ใบ โดยมีขนาดมือสูงสุดเริ่มต้นที่ -1</v>
      </c>
      <c r="F397" s="1" t="s">
        <v>1393</v>
      </c>
      <c r="G397" s="1" t="s">
        <v>1394</v>
      </c>
      <c r="H397" s="1" t="s">
        <v>13</v>
      </c>
    </row>
    <row r="398">
      <c r="A398" s="1">
        <v>396.0</v>
      </c>
      <c r="B398" s="1" t="s">
        <v>1180</v>
      </c>
      <c r="C398" s="1" t="s">
        <v>1395</v>
      </c>
      <c r="D398" s="1" t="s">
        <v>1396</v>
      </c>
      <c r="E398" s="2" t="str">
        <f>IFERROR(__xludf.DUMMYFUNCTION("GOOGLETRANSLATE(C398, ""en"", ""th"")"),"การ์ดที่มีเฟรมเวอร์ชันปี 1993 และบนกระดาษมีกี่การ์ดที่มีคำเตือนเกี่ยวกับเนื้อหาที่ละเอียดอ่อน")</f>
        <v>การ์ดที่มีเฟรมเวอร์ชันปี 1993 และบนกระดาษมีกี่การ์ดที่มีคำเตือนเกี่ยวกับเนื้อหาที่ละเอียดอ่อน</v>
      </c>
      <c r="F398" s="1" t="s">
        <v>1397</v>
      </c>
      <c r="G398" s="1" t="s">
        <v>1398</v>
      </c>
      <c r="H398" s="1" t="s">
        <v>13</v>
      </c>
    </row>
    <row r="399">
      <c r="A399" s="1">
        <v>397.0</v>
      </c>
      <c r="B399" s="1" t="s">
        <v>1180</v>
      </c>
      <c r="C399" s="1" t="s">
        <v>1399</v>
      </c>
      <c r="D399" s="1" t="s">
        <v>1400</v>
      </c>
      <c r="E399" s="2" t="str">
        <f>IFERROR(__xludf.DUMMYFUNCTION("GOOGLETRANSLATE(C399, ""en"", ""th"")"),"ราคามานาของการ์ดที่มีเลย์เอาต์ปกติ เวอร์ชันเฟรมปี 2003 มีขอบสีดำ และมีจำหน่ายในรูปแบบกระดาษและ MTGO คือเท่าใด")</f>
        <v>ราคามานาของการ์ดที่มีเลย์เอาต์ปกติ เวอร์ชันเฟรมปี 2003 มีขอบสีดำ และมีจำหน่ายในรูปแบบกระดาษและ MTGO คือเท่าใด</v>
      </c>
      <c r="F399" s="1" t="s">
        <v>1401</v>
      </c>
      <c r="G399" s="1" t="s">
        <v>1402</v>
      </c>
      <c r="H399" s="1" t="s">
        <v>18</v>
      </c>
    </row>
    <row r="400">
      <c r="A400" s="1">
        <v>398.0</v>
      </c>
      <c r="B400" s="1" t="s">
        <v>1180</v>
      </c>
      <c r="C400" s="1" t="s">
        <v>1403</v>
      </c>
      <c r="D400" s="1" t="s">
        <v>1404</v>
      </c>
      <c r="E400" s="2" t="str">
        <f>IFERROR(__xludf.DUMMYFUNCTION("GOOGLETRANSLATE(C400, ""en"", ""th"")"),"มานาที่ยังไม่ได้แปลงของการ์ดทั้งหมดที่สร้างโดย Rob Alexander มีราคารวมเท่าไร?")</f>
        <v>มานาที่ยังไม่ได้แปลงของการ์ดทั้งหมดที่สร้างโดย Rob Alexander มีราคารวมเท่าไร?</v>
      </c>
      <c r="F400" s="1" t="s">
        <v>1405</v>
      </c>
      <c r="G400" s="1" t="s">
        <v>1406</v>
      </c>
      <c r="H400" s="1" t="s">
        <v>13</v>
      </c>
    </row>
    <row r="401">
      <c r="A401" s="1">
        <v>399.0</v>
      </c>
      <c r="B401" s="1" t="s">
        <v>1180</v>
      </c>
      <c r="C401" s="1" t="s">
        <v>1407</v>
      </c>
      <c r="D401" s="1" t="s">
        <v>1408</v>
      </c>
      <c r="E401" s="2" t="str">
        <f>IFERROR(__xludf.DUMMYFUNCTION("GOOGLETRANSLATE(C401, ""en"", ""th"")"),"แสดงรายการการ์ดทุกประเภทที่มีอยู่ในอารีน่า")</f>
        <v>แสดงรายการการ์ดทุกประเภทที่มีอยู่ในอารีน่า</v>
      </c>
      <c r="F401" s="1" t="s">
        <v>1409</v>
      </c>
      <c r="G401" s="1" t="s">
        <v>1410</v>
      </c>
      <c r="H401" s="1" t="s">
        <v>13</v>
      </c>
    </row>
    <row r="402">
      <c r="A402" s="1">
        <v>400.0</v>
      </c>
      <c r="B402" s="1" t="s">
        <v>1180</v>
      </c>
      <c r="C402" s="1" t="s">
        <v>1411</v>
      </c>
      <c r="D402" s="1" t="s">
        <v>1412</v>
      </c>
      <c r="E402" s="2" t="str">
        <f>IFERROR(__xludf.DUMMYFUNCTION("GOOGLETRANSLATE(C402, ""en"", ""th"")"),"แสดงรายการรหัสชุดของการ์ดทั้งหมดที่แปลเป็นภาษาสเปน")</f>
        <v>แสดงรายการรหัสชุดของการ์ดทั้งหมดที่แปลเป็นภาษาสเปน</v>
      </c>
      <c r="F402" s="1" t="s">
        <v>1413</v>
      </c>
      <c r="G402" s="1" t="s">
        <v>1414</v>
      </c>
      <c r="H402" s="1" t="s">
        <v>13</v>
      </c>
    </row>
    <row r="403">
      <c r="A403" s="1">
        <v>401.0</v>
      </c>
      <c r="B403" s="1" t="s">
        <v>1180</v>
      </c>
      <c r="C403" s="1" t="s">
        <v>1415</v>
      </c>
      <c r="D403" s="1" t="s">
        <v>1416</v>
      </c>
      <c r="E403" s="2" t="str">
        <f>IFERROR(__xludf.DUMMYFUNCTION("GOOGLETRANSLATE(C403, ""en"", ""th"")"),"การ์ดเอฟเฟกต์เฟรมระดับตำนานที่มีเฉพาะในรูปแบบเกมออนไลน์มีกี่เปอร์เซ็นต์")</f>
        <v>การ์ดเอฟเฟกต์เฟรมระดับตำนานที่มีเฉพาะในรูปแบบเกมออนไลน์มีกี่เปอร์เซ็นต์</v>
      </c>
      <c r="F403" s="1" t="s">
        <v>1417</v>
      </c>
      <c r="G403" s="1" t="s">
        <v>1418</v>
      </c>
      <c r="H403" s="1" t="s">
        <v>18</v>
      </c>
    </row>
    <row r="404">
      <c r="A404" s="1">
        <v>402.0</v>
      </c>
      <c r="B404" s="1" t="s">
        <v>1180</v>
      </c>
      <c r="C404" s="1" t="s">
        <v>1419</v>
      </c>
      <c r="D404" s="1" t="s">
        <v>1420</v>
      </c>
      <c r="E404" s="2" t="str">
        <f>IFERROR(__xludf.DUMMYFUNCTION("GOOGLETRANSLATE(C404, ""en"", ""th"")"),"การ์ด Story Spotlight ที่ไม่มีกล่องข้อความมีกี่เปอร์เซ็นต์ แสดงรายการตาม ID ของพวกเขา")</f>
        <v>การ์ด Story Spotlight ที่ไม่มีกล่องข้อความมีกี่เปอร์เซ็นต์ แสดงรายการตาม ID ของพวกเขา</v>
      </c>
      <c r="F404" s="1" t="s">
        <v>1421</v>
      </c>
      <c r="G404" s="1" t="s">
        <v>1422</v>
      </c>
      <c r="H404" s="1" t="s">
        <v>18</v>
      </c>
    </row>
    <row r="405">
      <c r="A405" s="1">
        <v>403.0</v>
      </c>
      <c r="B405" s="1" t="s">
        <v>1180</v>
      </c>
      <c r="C405" s="1" t="s">
        <v>1423</v>
      </c>
      <c r="D405" s="1" t="s">
        <v>1424</v>
      </c>
      <c r="E405" s="2" t="str">
        <f>IFERROR(__xludf.DUMMYFUNCTION("GOOGLETRANSLATE(C405, ""en"", ""th"")"),"คำนวณเปอร์เซ็นต์ของไพ่ในภาษาสเปน แสดงรายการตามชื่อ")</f>
        <v>คำนวณเปอร์เซ็นต์ของไพ่ในภาษาสเปน แสดงรายการตามชื่อ</v>
      </c>
      <c r="F405" s="1" t="s">
        <v>1425</v>
      </c>
      <c r="G405" s="1" t="s">
        <v>1426</v>
      </c>
      <c r="H405" s="1" t="s">
        <v>13</v>
      </c>
    </row>
    <row r="406">
      <c r="A406" s="1">
        <v>404.0</v>
      </c>
      <c r="B406" s="1" t="s">
        <v>1180</v>
      </c>
      <c r="C406" s="1" t="s">
        <v>1427</v>
      </c>
      <c r="D406" s="1" t="s">
        <v>1428</v>
      </c>
      <c r="E406" s="2" t="str">
        <f>IFERROR(__xludf.DUMMYFUNCTION("GOOGLETRANSLATE(C406, ""en"", ""th"")"),"ระบุชื่อของภาษาทั้งหมดที่มีการแปลชุดซึ่งมีจำนวนไพ่ 309 ใบ")</f>
        <v>ระบุชื่อของภาษาทั้งหมดที่มีการแปลชุดซึ่งมีจำนวนไพ่ 309 ใบ</v>
      </c>
      <c r="F406" s="1" t="s">
        <v>1429</v>
      </c>
      <c r="G406" s="1" t="s">
        <v>1430</v>
      </c>
      <c r="H406" s="1" t="s">
        <v>13</v>
      </c>
    </row>
    <row r="407">
      <c r="A407" s="1">
        <v>405.0</v>
      </c>
      <c r="B407" s="1" t="s">
        <v>1180</v>
      </c>
      <c r="C407" s="1" t="s">
        <v>1431</v>
      </c>
      <c r="D407" s="1" t="s">
        <v>1432</v>
      </c>
      <c r="E407" s="2" t="str">
        <f>IFERROR(__xludf.DUMMYFUNCTION("GOOGLETRANSLATE(C407, ""en"", ""th"")"),"มีชุดแปลภาษาโปรตุเกสแบบบราซิลจำนวนกี่ชุดที่อยู่ในบล็อก Commander")</f>
        <v>มีชุดแปลภาษาโปรตุเกสแบบบราซิลจำนวนกี่ชุดที่อยู่ในบล็อก Commander</v>
      </c>
      <c r="F407" s="1" t="s">
        <v>1433</v>
      </c>
      <c r="G407" s="1" t="s">
        <v>1434</v>
      </c>
      <c r="H407" s="1" t="s">
        <v>18</v>
      </c>
    </row>
    <row r="408">
      <c r="A408" s="1">
        <v>406.0</v>
      </c>
      <c r="B408" s="1" t="s">
        <v>1180</v>
      </c>
      <c r="C408" s="1" t="s">
        <v>1435</v>
      </c>
      <c r="D408" s="1" t="s">
        <v>1436</v>
      </c>
      <c r="E408" s="2" t="str">
        <f>IFERROR(__xludf.DUMMYFUNCTION("GOOGLETRANSLATE(C408, ""en"", ""th"")"),"แสดงรายการตาม ID การ์ดประเภทสิ่งมีชีวิตทั้งหมดที่มีสถานะทางกฎหมาย")</f>
        <v>แสดงรายการตาม ID การ์ดประเภทสิ่งมีชีวิตทั้งหมดที่มีสถานะทางกฎหมาย</v>
      </c>
      <c r="F408" s="1" t="s">
        <v>1437</v>
      </c>
      <c r="G408" s="1" t="s">
        <v>1438</v>
      </c>
      <c r="H408" s="1" t="s">
        <v>13</v>
      </c>
    </row>
    <row r="409">
      <c r="A409" s="1">
        <v>407.0</v>
      </c>
      <c r="B409" s="1" t="s">
        <v>1180</v>
      </c>
      <c r="C409" s="1" t="s">
        <v>1439</v>
      </c>
      <c r="D409" s="1" t="s">
        <v>1440</v>
      </c>
      <c r="E409" s="2" t="str">
        <f>IFERROR(__xludf.DUMMYFUNCTION("GOOGLETRANSLATE(C409, ""en"", ""th"")"),"แสดงรายการไพ่ทุกประเภทเป็นภาษาเยอรมัน")</f>
        <v>แสดงรายการไพ่ทุกประเภทเป็นภาษาเยอรมัน</v>
      </c>
      <c r="F409" s="1" t="s">
        <v>1441</v>
      </c>
      <c r="G409" s="1" t="s">
        <v>1442</v>
      </c>
      <c r="H409" s="1" t="s">
        <v>18</v>
      </c>
    </row>
    <row r="410">
      <c r="A410" s="1">
        <v>408.0</v>
      </c>
      <c r="B410" s="1" t="s">
        <v>1180</v>
      </c>
      <c r="C410" s="1" t="s">
        <v>1443</v>
      </c>
      <c r="D410" s="1" t="s">
        <v>1444</v>
      </c>
      <c r="E410" s="2" t="str">
        <f>IFERROR(__xludf.DUMMYFUNCTION("GOOGLETRANSLATE(C410, ""en"", ""th"")"),"จำนวนการ์ดพลังที่ไม่รู้จักมีข้อมูลเกี่ยวกับความสามารถที่ถูกกระตุ้น")</f>
        <v>จำนวนการ์ดพลังที่ไม่รู้จักมีข้อมูลเกี่ยวกับความสามารถที่ถูกกระตุ้น</v>
      </c>
      <c r="F410" s="1" t="s">
        <v>1445</v>
      </c>
      <c r="G410" s="1" t="s">
        <v>1446</v>
      </c>
      <c r="H410" s="1" t="s">
        <v>18</v>
      </c>
    </row>
    <row r="411">
      <c r="A411" s="1">
        <v>409.0</v>
      </c>
      <c r="B411" s="1" t="s">
        <v>1180</v>
      </c>
      <c r="C411" s="1" t="s">
        <v>1447</v>
      </c>
      <c r="D411" s="1" t="s">
        <v>1448</v>
      </c>
      <c r="E411" s="2" t="str">
        <f>IFERROR(__xludf.DUMMYFUNCTION("GOOGLETRANSLATE(C411, ""en"", ""th"")"),"ระบุจำนวนการ์ดที่มีรูปแบบก่อนสมัยใหม่ โดยมีข้อความว่า ""นี่คือความสามารถมานาที่ถูกกระตุ้น"" ที่ไม่มีหลายหน้า")</f>
        <v>ระบุจำนวนการ์ดที่มีรูปแบบก่อนสมัยใหม่ โดยมีข้อความว่า "นี่คือความสามารถมานาที่ถูกกระตุ้น" ที่ไม่มีหลายหน้า</v>
      </c>
      <c r="F411" s="1" t="s">
        <v>1449</v>
      </c>
      <c r="G411" s="1" t="s">
        <v>1450</v>
      </c>
      <c r="H411" s="1" t="s">
        <v>18</v>
      </c>
    </row>
    <row r="412">
      <c r="A412" s="1">
        <v>410.0</v>
      </c>
      <c r="B412" s="1" t="s">
        <v>1180</v>
      </c>
      <c r="C412" s="1" t="s">
        <v>1451</v>
      </c>
      <c r="D412" s="1" t="s">
        <v>1452</v>
      </c>
      <c r="E412" s="2" t="str">
        <f>IFERROR(__xludf.DUMMYFUNCTION("GOOGLETRANSLATE(C412, ""en"", ""th"")"),"มีการ์ดจากศิลปิน Erica Yang ในรูปแบบยาจกและมีในรูปแบบกระดาษหรือไม่? หากเป็นเช่นนั้น ให้ระบุ ID")</f>
        <v>มีการ์ดจากศิลปิน Erica Yang ในรูปแบบยาจกและมีในรูปแบบกระดาษหรือไม่? หากเป็นเช่นนั้น ให้ระบุ ID</v>
      </c>
      <c r="F412" s="1" t="s">
        <v>1453</v>
      </c>
      <c r="G412" s="1" t="s">
        <v>1454</v>
      </c>
      <c r="H412" s="1" t="s">
        <v>13</v>
      </c>
    </row>
    <row r="413">
      <c r="A413" s="1">
        <v>411.0</v>
      </c>
      <c r="B413" s="1" t="s">
        <v>1180</v>
      </c>
      <c r="C413" s="1" t="s">
        <v>1455</v>
      </c>
      <c r="E413" s="2" t="str">
        <f>IFERROR(__xludf.DUMMYFUNCTION("GOOGLETRANSLATE(C413, ""en"", ""th"")"),"การ์ดที่มีข้อความ ""Das perfekte Gegenmittel zu einer dichten Formation"" เป็นของศิลปินคนใด")</f>
        <v>การ์ดที่มีข้อความ "Das perfekte Gegenmittel zu einer dichten Formation" เป็นของศิลปินคนใด</v>
      </c>
      <c r="G413" s="1" t="s">
        <v>1456</v>
      </c>
      <c r="H413" s="1" t="s">
        <v>13</v>
      </c>
    </row>
    <row r="414">
      <c r="A414" s="1">
        <v>412.0</v>
      </c>
      <c r="B414" s="1" t="s">
        <v>1180</v>
      </c>
      <c r="C414" s="1" t="s">
        <v>1457</v>
      </c>
      <c r="D414" s="1" t="s">
        <v>1458</v>
      </c>
      <c r="E414" s="2" t="str">
        <f>IFERROR(__xludf.DUMMYFUNCTION("GOOGLETRANSLATE(C414, ""en"", ""th"")"),"ชื่อต่างประเทศของการ์ดในภาษาฝรั่งเศสประเภท Creature เค้าโครงปกติและขอบสีดำโดยศิลปิน Matthew D. Wilson คืออะไร")</f>
        <v>ชื่อต่างประเทศของการ์ดในภาษาฝรั่งเศสประเภท Creature เค้าโครงปกติและขอบสีดำโดยศิลปิน Matthew D. Wilson คืออะไร</v>
      </c>
      <c r="F414" s="1" t="s">
        <v>1459</v>
      </c>
      <c r="G414" s="1" t="s">
        <v>1460</v>
      </c>
      <c r="H414" s="1" t="s">
        <v>18</v>
      </c>
    </row>
    <row r="415">
      <c r="A415" s="1">
        <v>413.0</v>
      </c>
      <c r="B415" s="1" t="s">
        <v>1180</v>
      </c>
      <c r="C415" s="1" t="s">
        <v>1461</v>
      </c>
      <c r="D415" s="1" t="s">
        <v>1462</v>
      </c>
      <c r="E415" s="2" t="str">
        <f>IFERROR(__xludf.DUMMYFUNCTION("GOOGLETRANSLATE(C415, ""en"", ""th"")"),"การ์ดที่มีความหายากในการพิมพ์จำนวนเท่าใดที่มีข้อความการพิจารณาคดีพิมพ์เมื่อวันที่ 01/02/2550")</f>
        <v>การ์ดที่มีความหายากในการพิมพ์จำนวนเท่าใดที่มีข้อความการพิจารณาคดีพิมพ์เมื่อวันที่ 01/02/2550</v>
      </c>
      <c r="F415" s="1" t="s">
        <v>1463</v>
      </c>
      <c r="G415" s="1" t="s">
        <v>1464</v>
      </c>
      <c r="H415" s="1" t="s">
        <v>13</v>
      </c>
    </row>
    <row r="416">
      <c r="A416" s="1">
        <v>414.0</v>
      </c>
      <c r="B416" s="1" t="s">
        <v>1180</v>
      </c>
      <c r="C416" s="1" t="s">
        <v>1465</v>
      </c>
      <c r="D416" s="1" t="s">
        <v>1466</v>
      </c>
      <c r="E416" s="2" t="str">
        <f>IFERROR(__xludf.DUMMYFUNCTION("GOOGLETRANSLATE(C416, ""en"", ""th"")"),"ชุดการ์ด 180 ใบที่เป็นของบล็อก Ravnica แปลเป็นภาษาใด")</f>
        <v>ชุดการ์ด 180 ใบที่เป็นของบล็อก Ravnica แปลเป็นภาษาใด</v>
      </c>
      <c r="F416" s="1" t="s">
        <v>1467</v>
      </c>
      <c r="G416" s="1" t="s">
        <v>1468</v>
      </c>
      <c r="H416" s="1" t="s">
        <v>13</v>
      </c>
    </row>
    <row r="417">
      <c r="A417" s="1">
        <v>415.0</v>
      </c>
      <c r="B417" s="1" t="s">
        <v>1180</v>
      </c>
      <c r="C417" s="1" t="s">
        <v>1469</v>
      </c>
      <c r="D417" s="1" t="s">
        <v>1470</v>
      </c>
      <c r="E417" s="2" t="str">
        <f>IFERROR(__xludf.DUMMYFUNCTION("GOOGLETRANSLATE(C417, ""en"", ""th"")"),"การ์ดที่มีรูปแบบผู้บัญชาการและสถานะทางกฎหมายไม่มีคำเตือนเนื้อหากี่เปอร์เซ็นต์")</f>
        <v>การ์ดที่มีรูปแบบผู้บัญชาการและสถานะทางกฎหมายไม่มีคำเตือนเนื้อหากี่เปอร์เซ็นต์</v>
      </c>
      <c r="F417" s="1" t="s">
        <v>1471</v>
      </c>
      <c r="G417" s="1" t="s">
        <v>1472</v>
      </c>
      <c r="H417" s="1" t="s">
        <v>101</v>
      </c>
    </row>
    <row r="418">
      <c r="A418" s="1">
        <v>416.0</v>
      </c>
      <c r="B418" s="1" t="s">
        <v>1180</v>
      </c>
      <c r="C418" s="1" t="s">
        <v>1473</v>
      </c>
      <c r="D418" s="1" t="s">
        <v>1474</v>
      </c>
      <c r="E418" s="2" t="str">
        <f>IFERROR(__xludf.DUMMYFUNCTION("GOOGLETRANSLATE(C418, ""en"", ""th"")"),"การ์ดที่ไม่มีพลังเป็นภาษาฝรั่งเศสกี่เปอร์เซ็นต์")</f>
        <v>การ์ดที่ไม่มีพลังเป็นภาษาฝรั่งเศสกี่เปอร์เซ็นต์</v>
      </c>
      <c r="F418" s="1" t="s">
        <v>1475</v>
      </c>
      <c r="G418" s="1" t="s">
        <v>1476</v>
      </c>
      <c r="H418" s="1" t="s">
        <v>101</v>
      </c>
    </row>
    <row r="419">
      <c r="A419" s="1">
        <v>417.0</v>
      </c>
      <c r="B419" s="1" t="s">
        <v>1180</v>
      </c>
      <c r="C419" s="1" t="s">
        <v>1477</v>
      </c>
      <c r="D419" s="1" t="s">
        <v>1478</v>
      </c>
      <c r="E419" s="2" t="str">
        <f>IFERROR(__xludf.DUMMYFUNCTION("GOOGLETRANSLATE(C419, ""en"", ""th"")"),"ชุดส่วนขยายที่แปลภาษาญี่ปุ่นเป็นชุดส่วนขยายกี่เปอร์เซ็นต์")</f>
        <v>ชุดส่วนขยายที่แปลภาษาญี่ปุ่นเป็นชุดส่วนขยายกี่เปอร์เซ็นต์</v>
      </c>
      <c r="F419" s="1" t="s">
        <v>1479</v>
      </c>
      <c r="G419" s="1" t="s">
        <v>1480</v>
      </c>
      <c r="H419" s="1" t="s">
        <v>18</v>
      </c>
    </row>
    <row r="420">
      <c r="A420" s="1">
        <v>418.0</v>
      </c>
      <c r="B420" s="1" t="s">
        <v>1180</v>
      </c>
      <c r="C420" s="1" t="s">
        <v>1481</v>
      </c>
      <c r="D420" s="1" t="s">
        <v>1482</v>
      </c>
      <c r="E420" s="2" t="str">
        <f>IFERROR(__xludf.DUMMYFUNCTION("GOOGLETRANSLATE(C420, ""en"", ""th"")"),"การ์ดที่ Daren Bader สร้างขึ้นเป็นการพิมพ์แบบใด")</f>
        <v>การ์ดที่ Daren Bader สร้างขึ้นเป็นการพิมพ์แบบใด</v>
      </c>
      <c r="F420" s="1" t="s">
        <v>1483</v>
      </c>
      <c r="G420" s="1" t="s">
        <v>1484</v>
      </c>
      <c r="H420" s="1" t="s">
        <v>13</v>
      </c>
    </row>
    <row r="421">
      <c r="A421" s="1">
        <v>419.0</v>
      </c>
      <c r="B421" s="1" t="s">
        <v>1180</v>
      </c>
      <c r="C421" s="1" t="s">
        <v>1485</v>
      </c>
      <c r="D421" s="1" t="s">
        <v>1486</v>
      </c>
      <c r="E421" s="2" t="str">
        <f>IFERROR(__xludf.DUMMYFUNCTION("GOOGLETRANSLATE(C421, ""en"", ""th"")"),"มีการ์ดสีที่ไม่มีเส้นขอบกี่ใบที่ได้รับการจัดอันดับสูงกว่า 12,000 บน EDHRec")</f>
        <v>มีการ์ดสีที่ไม่มีเส้นขอบกี่ใบที่ได้รับการจัดอันดับสูงกว่า 12,000 บน EDHRec</v>
      </c>
      <c r="F421" s="1" t="s">
        <v>1487</v>
      </c>
      <c r="G421" s="1" t="s">
        <v>1488</v>
      </c>
      <c r="H421" s="1" t="s">
        <v>13</v>
      </c>
    </row>
    <row r="422">
      <c r="A422" s="1">
        <v>420.0</v>
      </c>
      <c r="B422" s="1" t="s">
        <v>1180</v>
      </c>
      <c r="C422" s="1" t="s">
        <v>1489</v>
      </c>
      <c r="D422" s="1" t="s">
        <v>1490</v>
      </c>
      <c r="E422" s="2" t="str">
        <f>IFERROR(__xludf.DUMMYFUNCTION("GOOGLETRANSLATE(C422, ""en"", ""th"")"),"มีการ์ดขนาดใหญ่ พิมพ์ซ้ำ และพิมพ์เพื่อส่งเสริมการขายจำนวนเท่าใด")</f>
        <v>มีการ์ดขนาดใหญ่ พิมพ์ซ้ำ และพิมพ์เพื่อส่งเสริมการขายจำนวนเท่าใด</v>
      </c>
      <c r="F422" s="1" t="s">
        <v>1491</v>
      </c>
      <c r="G422" s="1" t="s">
        <v>1492</v>
      </c>
      <c r="H422" s="1" t="s">
        <v>13</v>
      </c>
    </row>
    <row r="423">
      <c r="A423" s="1">
        <v>421.0</v>
      </c>
      <c r="B423" s="1" t="s">
        <v>1180</v>
      </c>
      <c r="C423" s="1" t="s">
        <v>1493</v>
      </c>
      <c r="D423" s="1" t="s">
        <v>1494</v>
      </c>
      <c r="E423" s="2" t="str">
        <f>IFERROR(__xludf.DUMMYFUNCTION("GOOGLETRANSLATE(C423, ""en"", ""th"")"),"โปรดระบุพาวเวอร์การ์ดที่ไม่รู้จักสามอันดับแรกที่มีประเภทการส่งเสริมการขายสำหรับลีกอารีน่าตามลำดับตัวอักษร")</f>
        <v>โปรดระบุพาวเวอร์การ์ดที่ไม่รู้จักสามอันดับแรกที่มีประเภทการส่งเสริมการขายสำหรับลีกอารีน่าตามลำดับตัวอักษร</v>
      </c>
      <c r="F423" s="1" t="s">
        <v>1495</v>
      </c>
      <c r="G423" s="1" t="s">
        <v>1496</v>
      </c>
      <c r="H423" s="1" t="s">
        <v>13</v>
      </c>
    </row>
    <row r="424">
      <c r="A424" s="1">
        <v>422.0</v>
      </c>
      <c r="B424" s="1" t="s">
        <v>1180</v>
      </c>
      <c r="C424" s="1" t="s">
        <v>1497</v>
      </c>
      <c r="D424" s="1" t="s">
        <v>1498</v>
      </c>
      <c r="E424" s="2" t="str">
        <f>IFERROR(__xludf.DUMMYFUNCTION("GOOGLETRANSLATE(C424, ""en"", ""th"")"),"การ์ดที่มีหมายเลขลิขสิทธิ์ 149934 เป็นภาษาอะไร?")</f>
        <v>การ์ดที่มีหมายเลขลิขสิทธิ์ 149934 เป็นภาษาอะไร?</v>
      </c>
      <c r="F424" s="1" t="s">
        <v>1499</v>
      </c>
      <c r="G424" s="1" t="s">
        <v>1500</v>
      </c>
      <c r="H424" s="1" t="s">
        <v>13</v>
      </c>
    </row>
    <row r="425">
      <c r="A425" s="1">
        <v>423.0</v>
      </c>
      <c r="B425" s="1" t="s">
        <v>1180</v>
      </c>
      <c r="C425" s="1" t="s">
        <v>1501</v>
      </c>
      <c r="D425" s="1" t="s">
        <v>1502</v>
      </c>
      <c r="E425" s="2" t="str">
        <f>IFERROR(__xludf.DUMMYFUNCTION("GOOGLETRANSLATE(C425, ""en"", ""th"")"),"โปรดระบุรหัสของคู่ที่มีประสิทธิภาพสามอันดับแรกของ Kingdom Foil และ Kingdom Cards โดยจัดเรียงตาม Kingdom Foil id ตามลำดับตัวอักษร")</f>
        <v>โปรดระบุรหัสของคู่ที่มีประสิทธิภาพสามอันดับแรกของ Kingdom Foil และ Kingdom Cards โดยจัดเรียงตาม Kingdom Foil id ตามลำดับตัวอักษร</v>
      </c>
      <c r="F425" s="1" t="s">
        <v>1503</v>
      </c>
      <c r="G425" s="1" t="s">
        <v>1504</v>
      </c>
      <c r="H425" s="1" t="s">
        <v>13</v>
      </c>
    </row>
    <row r="426">
      <c r="A426" s="1">
        <v>424.0</v>
      </c>
      <c r="B426" s="1" t="s">
        <v>1180</v>
      </c>
      <c r="C426" s="1" t="s">
        <v>1505</v>
      </c>
      <c r="D426" s="1" t="s">
        <v>1506</v>
      </c>
      <c r="E426" s="2" t="str">
        <f>IFERROR(__xludf.DUMMYFUNCTION("GOOGLETRANSLATE(C426, ""en"", ""th"")"),"สัดส่วนของการ์ดที่ไม่มีกล่องข้อความที่มีรูปแบบปกติคืออะไร?")</f>
        <v>สัดส่วนของการ์ดที่ไม่มีกล่องข้อความที่มีรูปแบบปกติคืออะไร?</v>
      </c>
      <c r="F426" s="1" t="s">
        <v>1507</v>
      </c>
      <c r="G426" s="1" t="s">
        <v>1508</v>
      </c>
      <c r="H426" s="1" t="s">
        <v>13</v>
      </c>
    </row>
    <row r="427">
      <c r="A427" s="1">
        <v>425.0</v>
      </c>
      <c r="B427" s="1" t="s">
        <v>1180</v>
      </c>
      <c r="C427" s="1" t="s">
        <v>1509</v>
      </c>
      <c r="D427" s="1" t="s">
        <v>1510</v>
      </c>
      <c r="E427" s="2" t="str">
        <f>IFERROR(__xludf.DUMMYFUNCTION("GOOGLETRANSLATE(C427, ""en"", ""th"")"),"หมายเลขไพ่ที่ไม่มีหลายหน้าในไพ่ใบเดียวและมีประเภทย่อย Angel และ Wizard คืออะไร")</f>
        <v>หมายเลขไพ่ที่ไม่มีหลายหน้าในไพ่ใบเดียวและมีประเภทย่อย Angel และ Wizard คืออะไร</v>
      </c>
      <c r="F427" s="1" t="s">
        <v>1511</v>
      </c>
      <c r="G427" s="1" t="s">
        <v>1512</v>
      </c>
      <c r="H427" s="1" t="s">
        <v>13</v>
      </c>
    </row>
    <row r="428">
      <c r="A428" s="1">
        <v>426.0</v>
      </c>
      <c r="B428" s="1" t="s">
        <v>1180</v>
      </c>
      <c r="C428" s="1" t="s">
        <v>1513</v>
      </c>
      <c r="D428" s="1" t="s">
        <v>1514</v>
      </c>
      <c r="E428" s="2" t="str">
        <f>IFERROR(__xludf.DUMMYFUNCTION("GOOGLETRANSLATE(C428, ""en"", ""th"")"),"โปรดระบุชุดสามอันดับแรกที่ไม่ปรากฏใน Magic: The Gathering Online พร้อมด้วยชื่อตามลำดับตัวอักษร")</f>
        <v>โปรดระบุชุดสามอันดับแรกที่ไม่ปรากฏใน Magic: The Gathering Online พร้อมด้วยชื่อตามลำดับตัวอักษร</v>
      </c>
      <c r="F428" s="1" t="s">
        <v>1515</v>
      </c>
      <c r="G428" s="1" t="s">
        <v>1516</v>
      </c>
      <c r="H428" s="1" t="s">
        <v>13</v>
      </c>
    </row>
    <row r="429">
      <c r="A429" s="1">
        <v>427.0</v>
      </c>
      <c r="B429" s="1" t="s">
        <v>1180</v>
      </c>
      <c r="C429" s="1" t="s">
        <v>1517</v>
      </c>
      <c r="D429" s="1" t="s">
        <v>1518</v>
      </c>
      <c r="E429" s="2" t="str">
        <f>IFERROR(__xludf.DUMMYFUNCTION("GOOGLETRANSLATE(C429, ""en"", ""th"")"),"มีภาษาใดบ้างในชุดที่เรียกว่า Archenemy ในตลาดการ์ดเวทย์มนตร์และมีรหัส ARC")</f>
        <v>มีภาษาใดบ้างในชุดที่เรียกว่า Archenemy ในตลาดการ์ดเวทย์มนตร์และมีรหัส ARC</v>
      </c>
      <c r="F429" s="1" t="s">
        <v>1519</v>
      </c>
      <c r="G429" s="1" t="s">
        <v>1520</v>
      </c>
      <c r="H429" s="1" t="s">
        <v>18</v>
      </c>
    </row>
    <row r="430">
      <c r="A430" s="1">
        <v>428.0</v>
      </c>
      <c r="B430" s="1" t="s">
        <v>1180</v>
      </c>
      <c r="C430" s="1" t="s">
        <v>1521</v>
      </c>
      <c r="D430" s="1" t="s">
        <v>1522</v>
      </c>
      <c r="E430" s="2" t="str">
        <f>IFERROR(__xludf.DUMMYFUNCTION("GOOGLETRANSLATE(C430, ""en"", ""th"")"),"ชุดหมายเลข 5 ชื่ออะไรและคำแปลคืออะไร?")</f>
        <v>ชุดหมายเลข 5 ชื่ออะไรและคำแปลคืออะไร?</v>
      </c>
      <c r="F430" s="1" t="s">
        <v>1523</v>
      </c>
      <c r="G430" s="1" t="s">
        <v>1524</v>
      </c>
      <c r="H430" s="1" t="s">
        <v>13</v>
      </c>
    </row>
    <row r="431">
      <c r="A431" s="1">
        <v>429.0</v>
      </c>
      <c r="B431" s="1" t="s">
        <v>1180</v>
      </c>
      <c r="C431" s="1" t="s">
        <v>1525</v>
      </c>
      <c r="D431" s="1" t="s">
        <v>1526</v>
      </c>
      <c r="E431" s="2" t="str">
        <f>IFERROR(__xludf.DUMMYFUNCTION("GOOGLETRANSLATE(C431, ""en"", ""th"")"),"ภาษาและส่วนขยายของชุดหมายเลข 206 คืออะไร?")</f>
        <v>ภาษาและส่วนขยายของชุดหมายเลข 206 คืออะไร?</v>
      </c>
      <c r="F431" s="1" t="s">
        <v>1527</v>
      </c>
      <c r="G431" s="1" t="s">
        <v>1528</v>
      </c>
      <c r="H431" s="1" t="s">
        <v>13</v>
      </c>
    </row>
    <row r="432">
      <c r="A432" s="1">
        <v>430.0</v>
      </c>
      <c r="B432" s="1" t="s">
        <v>1180</v>
      </c>
      <c r="C432" s="1" t="s">
        <v>1529</v>
      </c>
      <c r="E432" s="2" t="str">
        <f>IFERROR(__xludf.DUMMYFUNCTION("GOOGLETRANSLATE(C432, ""en"", ""th"")"),"โปรดระบุการ์ดสองชุดบนสุดพร้อม ID ซึ่งมีการ์ดภาษาอิตาลีและอยู่ในบล็อก Shadowmoor ตามลำดับตัวอักษร")</f>
        <v>โปรดระบุการ์ดสองชุดบนสุดพร้อม ID ซึ่งมีการ์ดภาษาอิตาลีและอยู่ในบล็อก Shadowmoor ตามลำดับตัวอักษร</v>
      </c>
      <c r="G432" s="1" t="s">
        <v>1530</v>
      </c>
      <c r="H432" s="1" t="s">
        <v>13</v>
      </c>
    </row>
    <row r="433">
      <c r="A433" s="1">
        <v>431.0</v>
      </c>
      <c r="B433" s="1" t="s">
        <v>1180</v>
      </c>
      <c r="C433" s="1" t="s">
        <v>1531</v>
      </c>
      <c r="D433" s="1" t="s">
        <v>1532</v>
      </c>
      <c r="E433" s="2" t="str">
        <f>IFERROR(__xludf.DUMMYFUNCTION("GOOGLETRANSLATE(C433, ""en"", ""th"")"),"ชุดใดที่ไม่มีจำหน่ายนอกประเทศสหรัฐอเมริกาและมีการ์ดฟอยล์เขียนภาษาญี่ปุ่นอยู่ โปรดระบุรหัสชุดในการตอบกลับของคุณ")</f>
        <v>ชุดใดที่ไม่มีจำหน่ายนอกประเทศสหรัฐอเมริกาและมีการ์ดฟอยล์เขียนภาษาญี่ปุ่นอยู่ โปรดระบุรหัสชุดในการตอบกลับของคุณ</v>
      </c>
      <c r="F433" s="1" t="s">
        <v>1533</v>
      </c>
      <c r="G433" s="1" t="s">
        <v>1534</v>
      </c>
      <c r="H433" s="1" t="s">
        <v>101</v>
      </c>
    </row>
    <row r="434">
      <c r="A434" s="1">
        <v>432.0</v>
      </c>
      <c r="B434" s="1" t="s">
        <v>1180</v>
      </c>
      <c r="C434" s="1" t="s">
        <v>1535</v>
      </c>
      <c r="D434" s="1" t="s">
        <v>1536</v>
      </c>
      <c r="E434" s="2" t="str">
        <f>IFERROR(__xludf.DUMMYFUNCTION("GOOGLETRANSLATE(C434, ""en"", ""th"")"),"ไพ่ชุดรัสเซียชุดใดที่มีไพ่โดยรวมมากที่สุด?")</f>
        <v>ไพ่ชุดรัสเซียชุดใดที่มีไพ่โดยรวมมากที่สุด?</v>
      </c>
      <c r="F434" s="1" t="s">
        <v>1537</v>
      </c>
      <c r="G434" s="1" t="s">
        <v>1538</v>
      </c>
      <c r="H434" s="1" t="s">
        <v>18</v>
      </c>
    </row>
    <row r="435">
      <c r="A435" s="1">
        <v>433.0</v>
      </c>
      <c r="B435" s="1" t="s">
        <v>1180</v>
      </c>
      <c r="C435" s="1" t="s">
        <v>1539</v>
      </c>
      <c r="D435" s="1" t="s">
        <v>1540</v>
      </c>
      <c r="E435" s="2" t="str">
        <f>IFERROR(__xludf.DUMMYFUNCTION("GOOGLETRANSLATE(C435, ""en"", ""th"")"),"เปอร์เซ็นต์ของชุดไพ่ที่มีภาษาจีนตัวย่อเป็นภาษาและใช้ได้เฉพาะกับเกมออนไลน์คือเท่าใด")</f>
        <v>เปอร์เซ็นต์ของชุดไพ่ที่มีภาษาจีนตัวย่อเป็นภาษาและใช้ได้เฉพาะกับเกมออนไลน์คือเท่าใด</v>
      </c>
      <c r="F435" s="1" t="s">
        <v>1541</v>
      </c>
      <c r="G435" s="1" t="s">
        <v>1542</v>
      </c>
      <c r="H435" s="1" t="s">
        <v>18</v>
      </c>
    </row>
    <row r="436">
      <c r="A436" s="1">
        <v>434.0</v>
      </c>
      <c r="B436" s="1" t="s">
        <v>1180</v>
      </c>
      <c r="C436" s="1" t="s">
        <v>1543</v>
      </c>
      <c r="D436" s="1" t="s">
        <v>1544</v>
      </c>
      <c r="E436" s="2" t="str">
        <f>IFERROR(__xludf.DUMMYFUNCTION("GOOGLETRANSLATE(C436, ""en"", ""th"")"),"มีกี่ฉากที่มีเฉพาะภาษาญี่ปุ่นและไม่ใช่ใน Magic: The Gathering Online")</f>
        <v>มีกี่ฉากที่มีเฉพาะภาษาญี่ปุ่นและไม่ใช่ใน Magic: The Gathering Online</v>
      </c>
      <c r="F436" s="1" t="s">
        <v>1545</v>
      </c>
      <c r="G436" s="1" t="s">
        <v>1546</v>
      </c>
      <c r="H436" s="1" t="s">
        <v>18</v>
      </c>
    </row>
    <row r="437">
      <c r="A437" s="1">
        <v>435.0</v>
      </c>
      <c r="B437" s="1" t="s">
        <v>1180</v>
      </c>
      <c r="C437" s="1" t="s">
        <v>1547</v>
      </c>
      <c r="D437" s="1" t="s">
        <v>1548</v>
      </c>
      <c r="E437" s="2" t="str">
        <f>IFERROR(__xludf.DUMMYFUNCTION("GOOGLETRANSLATE(C437, ""en"", ""th"")"),"ขอบบัตรสีดำมีกี่ใบ ? แสดงรายการรหัสบัตร")</f>
        <v>ขอบบัตรสีดำมีกี่ใบ ? แสดงรายการรหัสบัตร</v>
      </c>
      <c r="F437" s="1" t="s">
        <v>1549</v>
      </c>
      <c r="G437" s="1" t="s">
        <v>1550</v>
      </c>
      <c r="H437" s="1" t="s">
        <v>13</v>
      </c>
    </row>
    <row r="438">
      <c r="A438" s="1">
        <v>436.0</v>
      </c>
      <c r="B438" s="1" t="s">
        <v>1180</v>
      </c>
      <c r="C438" s="1" t="s">
        <v>1551</v>
      </c>
      <c r="D438" s="1" t="s">
        <v>1552</v>
      </c>
      <c r="E438" s="2" t="str">
        <f>IFERROR(__xludf.DUMMYFUNCTION("GOOGLETRANSLATE(C438, ""en"", ""th"")"),"การ์ดกี่ใบที่มีเอฟเฟกต์เฟรมเป็นแบบขยาย? ระบุรหัสของการ์ดเหล่านั้น")</f>
        <v>การ์ดกี่ใบที่มีเอฟเฟกต์เฟรมเป็นแบบขยาย? ระบุรหัสของการ์ดเหล่านั้น</v>
      </c>
      <c r="F438" s="1" t="s">
        <v>1553</v>
      </c>
      <c r="G438" s="1" t="s">
        <v>1554</v>
      </c>
      <c r="H438" s="1" t="s">
        <v>13</v>
      </c>
    </row>
    <row r="439">
      <c r="A439" s="1">
        <v>437.0</v>
      </c>
      <c r="B439" s="1" t="s">
        <v>1180</v>
      </c>
      <c r="C439" s="1" t="s">
        <v>1555</v>
      </c>
      <c r="D439" s="1" t="s">
        <v>1556</v>
      </c>
      <c r="E439" s="2" t="str">
        <f>IFERROR(__xludf.DUMMYFUNCTION("GOOGLETRANSLATE(C439, ""en"", ""th"")"),"ในบรรดาขอบการ์ดสีดำ การ์ดใดมีอาร์ตเวิร์กเต็ม?")</f>
        <v>ในบรรดาขอบการ์ดสีดำ การ์ดใดมีอาร์ตเวิร์กเต็ม?</v>
      </c>
      <c r="F439" s="1" t="s">
        <v>1557</v>
      </c>
      <c r="G439" s="1" t="s">
        <v>1558</v>
      </c>
      <c r="H439" s="1" t="s">
        <v>13</v>
      </c>
    </row>
    <row r="440">
      <c r="A440" s="1">
        <v>438.0</v>
      </c>
      <c r="B440" s="1" t="s">
        <v>1180</v>
      </c>
      <c r="C440" s="1" t="s">
        <v>1559</v>
      </c>
      <c r="E440" s="2" t="str">
        <f>IFERROR(__xludf.DUMMYFUNCTION("GOOGLETRANSLATE(C440, ""en"", ""th"")"),"ชี้ให้เห็นภาษาของชุดรหัส ""174""?")</f>
        <v>ชี้ให้เห็นภาษาของชุดรหัส "174"?</v>
      </c>
      <c r="G440" s="1" t="s">
        <v>1560</v>
      </c>
      <c r="H440" s="1" t="s">
        <v>13</v>
      </c>
    </row>
    <row r="441">
      <c r="A441" s="1">
        <v>439.0</v>
      </c>
      <c r="B441" s="1" t="s">
        <v>1180</v>
      </c>
      <c r="C441" s="1" t="s">
        <v>1561</v>
      </c>
      <c r="E441" s="2" t="str">
        <f>IFERROR(__xludf.DUMMYFUNCTION("GOOGLETRANSLATE(C441, ""en"", ""th"")"),"แสดงรายการชื่อชุดของรหัสชุด ""ALL""")</f>
        <v>แสดงรายการชื่อชุดของรหัสชุด "ALL"</v>
      </c>
      <c r="G441" s="1" t="s">
        <v>1562</v>
      </c>
      <c r="H441" s="1" t="s">
        <v>13</v>
      </c>
    </row>
    <row r="442">
      <c r="A442" s="1">
        <v>440.0</v>
      </c>
      <c r="B442" s="1" t="s">
        <v>1180</v>
      </c>
      <c r="C442" s="1" t="s">
        <v>1563</v>
      </c>
      <c r="D442" s="1" t="s">
        <v>1564</v>
      </c>
      <c r="E442" s="2" t="str">
        <f>IFERROR(__xludf.DUMMYFUNCTION("GOOGLETRANSLATE(C442, ""en"", ""th"")"),"ภาษาต่างประเทศใดที่ ""A Pedra Fellwar"" ใช้?")</f>
        <v>ภาษาต่างประเทศใดที่ "A Pedra Fellwar" ใช้?</v>
      </c>
      <c r="F442" s="1" t="s">
        <v>1565</v>
      </c>
      <c r="G442" s="1" t="s">
        <v>1566</v>
      </c>
      <c r="H442" s="1" t="s">
        <v>13</v>
      </c>
    </row>
    <row r="443">
      <c r="A443" s="1">
        <v>441.0</v>
      </c>
      <c r="B443" s="1" t="s">
        <v>1180</v>
      </c>
      <c r="C443" s="1" t="s">
        <v>1567</v>
      </c>
      <c r="E443" s="2" t="str">
        <f>IFERROR(__xludf.DUMMYFUNCTION("GOOGLETRANSLATE(C443, ""en"", ""th"")"),"ระบุรหัสชุดของชุดพร้อมวันที่วางจำหน่าย 13/07/2550?")</f>
        <v>ระบุรหัสชุดของชุดพร้อมวันที่วางจำหน่าย 13/07/2550?</v>
      </c>
      <c r="G443" s="1" t="s">
        <v>1568</v>
      </c>
      <c r="H443" s="1" t="s">
        <v>13</v>
      </c>
    </row>
    <row r="444">
      <c r="A444" s="1">
        <v>442.0</v>
      </c>
      <c r="B444" s="1" t="s">
        <v>1180</v>
      </c>
      <c r="C444" s="1" t="s">
        <v>1569</v>
      </c>
      <c r="E444" s="2" t="str">
        <f>IFERROR(__xludf.DUMMYFUNCTION("GOOGLETRANSLATE(C444, ""en"", ""th"")"),"กล่าวถึงขนาดชุดฐานและรหัสชุดของชุดที่อยู่ในบล็อกชื่อ ""Masques"" และ ""Mirage""")</f>
        <v>กล่าวถึงขนาดชุดฐานและรหัสชุดของชุดที่อยู่ในบล็อกชื่อ "Masques" และ "Mirage"</v>
      </c>
      <c r="G444" s="1" t="s">
        <v>1570</v>
      </c>
      <c r="H444" s="1" t="s">
        <v>13</v>
      </c>
    </row>
    <row r="445">
      <c r="A445" s="1">
        <v>443.0</v>
      </c>
      <c r="B445" s="1" t="s">
        <v>1180</v>
      </c>
      <c r="C445" s="1" t="s">
        <v>1571</v>
      </c>
      <c r="D445" s="1" t="s">
        <v>1572</v>
      </c>
      <c r="E445" s="2" t="str">
        <f>IFERROR(__xludf.DUMMYFUNCTION("GOOGLETRANSLATE(C445, ""en"", ""th"")"),"ให้รหัสชุดมีประเภทส่วนขยาย 'ส่วนขยาย' หรือไม่")</f>
        <v>ให้รหัสชุดมีประเภทส่วนขยาย 'ส่วนขยาย' หรือไม่</v>
      </c>
      <c r="F445" s="1" t="s">
        <v>1573</v>
      </c>
      <c r="G445" s="1" t="s">
        <v>1574</v>
      </c>
      <c r="H445" s="1" t="s">
        <v>13</v>
      </c>
    </row>
    <row r="446">
      <c r="A446" s="1">
        <v>444.0</v>
      </c>
      <c r="B446" s="1" t="s">
        <v>1180</v>
      </c>
      <c r="C446" s="1" t="s">
        <v>1575</v>
      </c>
      <c r="E446" s="2" t="str">
        <f>IFERROR(__xludf.DUMMYFUNCTION("GOOGLETRANSLATE(C446, ""en"", ""th"")"),"ตั้งชื่อชื่อต่างประเทศของบัตรที่มีลายน้ำโบรอสหรือไม่? ระบุประเภทของการ์ดใบนี้")</f>
        <v>ตั้งชื่อชื่อต่างประเทศของบัตรที่มีลายน้ำโบรอสหรือไม่? ระบุประเภทของการ์ดใบนี้</v>
      </c>
      <c r="G446" s="1" t="s">
        <v>1576</v>
      </c>
      <c r="H446" s="1" t="s">
        <v>13</v>
      </c>
    </row>
    <row r="447">
      <c r="A447" s="1">
        <v>445.0</v>
      </c>
      <c r="B447" s="1" t="s">
        <v>1180</v>
      </c>
      <c r="C447" s="1" t="s">
        <v>1577</v>
      </c>
      <c r="E447" s="2" t="str">
        <f>IFERROR(__xludf.DUMMYFUNCTION("GOOGLETRANSLATE(C447, ""en"", ""th"")"),"ข้อความภาษาและรสชาติของการ์ดที่มีลายน้ำ colorpie คืออะไร? ระบุประเภทของการ์ดใบนี้")</f>
        <v>ข้อความภาษาและรสชาติของการ์ดที่มีลายน้ำ colorpie คืออะไร? ระบุประเภทของการ์ดใบนี้</v>
      </c>
      <c r="G447" s="1" t="s">
        <v>1578</v>
      </c>
      <c r="H447" s="1" t="s">
        <v>13</v>
      </c>
    </row>
    <row r="448">
      <c r="A448" s="1">
        <v>446.0</v>
      </c>
      <c r="B448" s="1" t="s">
        <v>1180</v>
      </c>
      <c r="C448" s="1" t="s">
        <v>1579</v>
      </c>
      <c r="D448" s="1" t="s">
        <v>1580</v>
      </c>
      <c r="E448" s="2" t="str">
        <f>IFERROR(__xludf.DUMMYFUNCTION("GOOGLETRANSLATE(C448, ""en"", ""th"")"),"เปอร์เซ็นต์ของการ์ดที่แปลงมานาเป็น 10 ในชุด Abyssal Horror เป็นเท่าใด")</f>
        <v>เปอร์เซ็นต์ของการ์ดที่แปลงมานาเป็น 10 ในชุด Abyssal Horror เป็นเท่าใด</v>
      </c>
      <c r="F448" s="1" t="s">
        <v>1581</v>
      </c>
      <c r="G448" s="1" t="s">
        <v>1582</v>
      </c>
      <c r="H448" s="1" t="s">
        <v>18</v>
      </c>
    </row>
    <row r="449">
      <c r="A449" s="1">
        <v>447.0</v>
      </c>
      <c r="B449" s="1" t="s">
        <v>1180</v>
      </c>
      <c r="C449" s="1" t="s">
        <v>1583</v>
      </c>
      <c r="D449" s="1" t="s">
        <v>1572</v>
      </c>
      <c r="E449" s="2" t="str">
        <f>IFERROR(__xludf.DUMMYFUNCTION("GOOGLETRANSLATE(C449, ""en"", ""th"")"),"ให้รหัสชุดมีประเภท Expansion Commander ไหม?")</f>
        <v>ให้รหัสชุดมีประเภท Expansion Commander ไหม?</v>
      </c>
      <c r="F449" s="1" t="s">
        <v>1573</v>
      </c>
      <c r="G449" s="1" t="s">
        <v>1584</v>
      </c>
      <c r="H449" s="1" t="s">
        <v>13</v>
      </c>
    </row>
    <row r="450">
      <c r="A450" s="1">
        <v>448.0</v>
      </c>
      <c r="B450" s="1" t="s">
        <v>1180</v>
      </c>
      <c r="C450" s="1" t="s">
        <v>1585</v>
      </c>
      <c r="E450" s="2" t="str">
        <f>IFERROR(__xludf.DUMMYFUNCTION("GOOGLETRANSLATE(C450, ""en"", ""th"")"),"ตั้งชื่อชื่อต่างประเทศของบัตรที่มีลายน้ำ abzan หรือไม่? ระบุประเภทของการ์ดใบนี้")</f>
        <v>ตั้งชื่อชื่อต่างประเทศของบัตรที่มีลายน้ำ abzan หรือไม่? ระบุประเภทของการ์ดใบนี้</v>
      </c>
      <c r="G450" s="1" t="s">
        <v>1586</v>
      </c>
      <c r="H450" s="1" t="s">
        <v>13</v>
      </c>
    </row>
    <row r="451">
      <c r="A451" s="1">
        <v>449.0</v>
      </c>
      <c r="B451" s="1" t="s">
        <v>1180</v>
      </c>
      <c r="C451" s="1" t="s">
        <v>1587</v>
      </c>
      <c r="E451" s="2" t="str">
        <f>IFERROR(__xludf.DUMMYFUNCTION("GOOGLETRANSLATE(C451, ""en"", ""th"")"),"การ์ดที่มีลายน้ำอะโซเรียสเป็นภาษาอะไร? ระบุประเภทของการ์ดใบนี้")</f>
        <v>การ์ดที่มีลายน้ำอะโซเรียสเป็นภาษาอะไร? ระบุประเภทของการ์ดใบนี้</v>
      </c>
      <c r="G451" s="1" t="s">
        <v>1588</v>
      </c>
      <c r="H451" s="1" t="s">
        <v>13</v>
      </c>
    </row>
    <row r="452">
      <c r="A452" s="1">
        <v>450.0</v>
      </c>
      <c r="B452" s="1" t="s">
        <v>1180</v>
      </c>
      <c r="C452" s="1" t="s">
        <v>1589</v>
      </c>
      <c r="D452" s="1" t="s">
        <v>1590</v>
      </c>
      <c r="E452" s="2" t="str">
        <f>IFERROR(__xludf.DUMMYFUNCTION("GOOGLETRANSLATE(C452, ""en"", ""th"")"),"จากการ์ดทั้งหมดที่ออกแบบโดย Aaron Miller มีการ์ดกี่ใบที่ทรงพลังอย่างเหลือเชื่อ?")</f>
        <v>จากการ์ดทั้งหมดที่ออกแบบโดย Aaron Miller มีการ์ดกี่ใบที่ทรงพลังอย่างเหลือเชื่อ?</v>
      </c>
      <c r="F452" s="1" t="s">
        <v>1591</v>
      </c>
      <c r="G452" s="1" t="s">
        <v>1592</v>
      </c>
      <c r="H452" s="1" t="s">
        <v>18</v>
      </c>
    </row>
    <row r="453">
      <c r="A453" s="1">
        <v>451.0</v>
      </c>
      <c r="B453" s="1" t="s">
        <v>1180</v>
      </c>
      <c r="C453" s="1" t="s">
        <v>1593</v>
      </c>
      <c r="D453" s="1" t="s">
        <v>1594</v>
      </c>
      <c r="E453" s="2" t="str">
        <f>IFERROR(__xludf.DUMMYFUNCTION("GOOGLETRANSLATE(C453, ""en"", ""th"")"),"มีไพ่จำนวนกี่ใบในกระดาษที่มีขนาดมือสูงสุดเริ่มต้นเป็นค่าบวก?")</f>
        <v>มีไพ่จำนวนกี่ใบในกระดาษที่มีขนาดมือสูงสุดเริ่มต้นเป็นค่าบวก?</v>
      </c>
      <c r="F453" s="1" t="s">
        <v>1595</v>
      </c>
      <c r="G453" s="1" t="s">
        <v>1596</v>
      </c>
      <c r="H453" s="1" t="s">
        <v>13</v>
      </c>
    </row>
    <row r="454">
      <c r="A454" s="1">
        <v>452.0</v>
      </c>
      <c r="B454" s="1" t="s">
        <v>1180</v>
      </c>
      <c r="C454" s="1" t="s">
        <v>1597</v>
      </c>
      <c r="D454" s="1" t="s">
        <v>1598</v>
      </c>
      <c r="E454" s="2" t="str">
        <f>IFERROR(__xludf.DUMMYFUNCTION("GOOGLETRANSLATE(C454, ""en"", ""th"")"),"กรุณาระบุชื่อการ์ดที่มีกล่องข้อความ")</f>
        <v>กรุณาระบุชื่อการ์ดที่มีกล่องข้อความ</v>
      </c>
      <c r="F454" s="1" t="s">
        <v>1599</v>
      </c>
      <c r="G454" s="1" t="s">
        <v>1600</v>
      </c>
      <c r="H454" s="1" t="s">
        <v>13</v>
      </c>
    </row>
    <row r="455">
      <c r="A455" s="1">
        <v>453.0</v>
      </c>
      <c r="B455" s="1" t="s">
        <v>1180</v>
      </c>
      <c r="C455" s="1" t="s">
        <v>1601</v>
      </c>
      <c r="D455" s="1" t="s">
        <v>1602</v>
      </c>
      <c r="E455" s="2" t="str">
        <f>IFERROR(__xludf.DUMMYFUNCTION("GOOGLETRANSLATE(C455, ""en"", ""th"")"),"ค่ามานาที่ยังไม่ได้แปลงของการ์ด ""Ancestor's Chosen"" เป็นเท่าใด")</f>
        <v>ค่ามานาที่ยังไม่ได้แปลงของการ์ด "Ancestor's Chosen" เป็นเท่าใด</v>
      </c>
      <c r="F455" s="1" t="s">
        <v>1603</v>
      </c>
      <c r="G455" s="1" t="s">
        <v>1604</v>
      </c>
      <c r="H455" s="1" t="s">
        <v>13</v>
      </c>
    </row>
    <row r="456">
      <c r="A456" s="1">
        <v>454.0</v>
      </c>
      <c r="B456" s="1" t="s">
        <v>1180</v>
      </c>
      <c r="C456" s="1" t="s">
        <v>1605</v>
      </c>
      <c r="D456" s="1" t="s">
        <v>1606</v>
      </c>
      <c r="E456" s="2" t="str">
        <f>IFERROR(__xludf.DUMMYFUNCTION("GOOGLETRANSLATE(C456, ""en"", ""th"")"),"ในบรรดาไพ่ที่มีขอบสีขาว มีกี่ใบที่มีพลังที่ไม่รู้จัก?")</f>
        <v>ในบรรดาไพ่ที่มีขอบสีขาว มีกี่ใบที่มีพลังที่ไม่รู้จัก?</v>
      </c>
      <c r="F456" s="1" t="s">
        <v>1607</v>
      </c>
      <c r="G456" s="1" t="s">
        <v>1608</v>
      </c>
      <c r="H456" s="1" t="s">
        <v>13</v>
      </c>
    </row>
    <row r="457">
      <c r="A457" s="1">
        <v>455.0</v>
      </c>
      <c r="B457" s="1" t="s">
        <v>1180</v>
      </c>
      <c r="C457" s="1" t="s">
        <v>1609</v>
      </c>
      <c r="D457" s="1" t="s">
        <v>1610</v>
      </c>
      <c r="E457" s="2" t="str">
        <f>IFERROR(__xludf.DUMMYFUNCTION("GOOGLETRANSLATE(C457, ""en"", ""th"")"),"การ์ดใดที่เป็นภาพวาดส่งเสริมการขายที่มีหลายหน้าบนการ์ดใบเดียวกัน กรุณาระบุชื่อของพวกเขา")</f>
        <v>การ์ดใดที่เป็นภาพวาดส่งเสริมการขายที่มีหลายหน้าบนการ์ดใบเดียวกัน กรุณาระบุชื่อของพวกเขา</v>
      </c>
      <c r="F457" s="1" t="s">
        <v>1611</v>
      </c>
      <c r="G457" s="1" t="s">
        <v>1612</v>
      </c>
      <c r="H457" s="1" t="s">
        <v>13</v>
      </c>
    </row>
    <row r="458">
      <c r="A458" s="1">
        <v>456.0</v>
      </c>
      <c r="B458" s="1" t="s">
        <v>1180</v>
      </c>
      <c r="C458" s="1" t="s">
        <v>1613</v>
      </c>
      <c r="D458" s="1" t="s">
        <v>1614</v>
      </c>
      <c r="E458" s="2" t="str">
        <f>IFERROR(__xludf.DUMMYFUNCTION("GOOGLETRANSLATE(C458, ""en"", ""th"")"),"รายการการ์ด ""Molimo, Maro-Sorcerer"" ทุกประเภทมีอะไรบ้าง?")</f>
        <v>รายการการ์ด "Molimo, Maro-Sorcerer" ทุกประเภทมีอะไรบ้าง?</v>
      </c>
      <c r="F458" s="1" t="s">
        <v>1615</v>
      </c>
      <c r="G458" s="1" t="s">
        <v>1616</v>
      </c>
      <c r="H458" s="1" t="s">
        <v>13</v>
      </c>
    </row>
    <row r="459">
      <c r="A459" s="1">
        <v>457.0</v>
      </c>
      <c r="B459" s="1" t="s">
        <v>1180</v>
      </c>
      <c r="C459" s="1" t="s">
        <v>1617</v>
      </c>
      <c r="D459" s="1" t="s">
        <v>1618</v>
      </c>
      <c r="E459" s="2" t="str">
        <f>IFERROR(__xludf.DUMMYFUNCTION("GOOGLETRANSLATE(C459, ""en"", ""th"")"),"โปรดระบุเว็บไซต์ที่ฉันสามารถซื้อการ์ดที่มีประเภทส่งเสริมการขายเป็น ""บันเดิล""")</f>
        <v>โปรดระบุเว็บไซต์ที่ฉันสามารถซื้อการ์ดที่มีประเภทส่งเสริมการขายเป็น "บันเดิล"</v>
      </c>
      <c r="F459" s="1" t="s">
        <v>1619</v>
      </c>
      <c r="G459" s="1" t="s">
        <v>1620</v>
      </c>
      <c r="H459" s="1" t="s">
        <v>13</v>
      </c>
    </row>
    <row r="460">
      <c r="A460" s="1">
        <v>458.0</v>
      </c>
      <c r="B460" s="1" t="s">
        <v>1180</v>
      </c>
      <c r="C460" s="1" t="s">
        <v>1621</v>
      </c>
      <c r="D460" s="1" t="s">
        <v>1622</v>
      </c>
      <c r="E460" s="2" t="str">
        <f>IFERROR(__xludf.DUMMYFUNCTION("GOOGLETRANSLATE(C460, ""en"", ""th"")"),"มีศิลปินกี่คนที่ออกแบบการ์ดที่มีขอบสีดำและมีให้เลือกทั้งแบบพิมพ์ ""arena"" และ ""mtgo""?")</f>
        <v>มีศิลปินกี่คนที่ออกแบบการ์ดที่มีขอบสีดำและมีให้เลือกทั้งแบบพิมพ์ "arena" และ "mtgo"?</v>
      </c>
      <c r="F460" s="1" t="s">
        <v>1623</v>
      </c>
      <c r="G460" s="1" t="s">
        <v>1624</v>
      </c>
      <c r="H460" s="1" t="s">
        <v>13</v>
      </c>
    </row>
    <row r="461">
      <c r="A461" s="1">
        <v>459.0</v>
      </c>
      <c r="B461" s="1" t="s">
        <v>1180</v>
      </c>
      <c r="C461" s="1" t="s">
        <v>1625</v>
      </c>
      <c r="D461" s="1" t="s">
        <v>1626</v>
      </c>
      <c r="E461" s="2" t="str">
        <f>IFERROR(__xludf.DUMMYFUNCTION("GOOGLETRANSLATE(C461, ""en"", ""th"")"),"การ์ดใบไหนที่ใช้มานาในการแปลงมากกว่า ""Serra Angel"" หรือ ""Shrine Keeper""?")</f>
        <v>การ์ดใบไหนที่ใช้มานาในการแปลงมากกว่า "Serra Angel" หรือ "Shrine Keeper"?</v>
      </c>
      <c r="F461" s="1" t="s">
        <v>1627</v>
      </c>
      <c r="G461" s="1" t="s">
        <v>1628</v>
      </c>
      <c r="H461" s="1" t="s">
        <v>18</v>
      </c>
    </row>
    <row r="462">
      <c r="A462" s="1">
        <v>460.0</v>
      </c>
      <c r="B462" s="1" t="s">
        <v>1180</v>
      </c>
      <c r="C462" s="1" t="s">
        <v>1629</v>
      </c>
      <c r="D462" s="1" t="s">
        <v>1630</v>
      </c>
      <c r="E462" s="2" t="str">
        <f>IFERROR(__xludf.DUMMYFUNCTION("GOOGLETRANSLATE(C462, ""en"", ""th"")"),"ศิลปินคนไหนเป็นผู้ออกแบบการ์ดที่มีชื่อโปรโมตว่า ""Battra, Dark Destroyer""?")</f>
        <v>ศิลปินคนไหนเป็นผู้ออกแบบการ์ดที่มีชื่อโปรโมตว่า "Battra, Dark Destroyer"?</v>
      </c>
      <c r="F462" s="1" t="s">
        <v>1631</v>
      </c>
      <c r="G462" s="1" t="s">
        <v>1632</v>
      </c>
      <c r="H462" s="1" t="s">
        <v>13</v>
      </c>
    </row>
    <row r="463">
      <c r="A463" s="1">
        <v>461.0</v>
      </c>
      <c r="B463" s="1" t="s">
        <v>1180</v>
      </c>
      <c r="C463" s="1" t="s">
        <v>1633</v>
      </c>
      <c r="D463" s="1" t="s">
        <v>1634</v>
      </c>
      <c r="E463" s="2" t="str">
        <f>IFERROR(__xludf.DUMMYFUNCTION("GOOGLETRANSLATE(C463, ""en"", ""th"")"),"โปรดระบุชื่อของการ์ด 3 อันดับแรกที่มีค่ามานาแปลงสูงสุดและมีรูปแบบเฟรมการ์ดปี 2003")</f>
        <v>โปรดระบุชื่อของการ์ด 3 อันดับแรกที่มีค่ามานาแปลงสูงสุดและมีรูปแบบเฟรมการ์ดปี 2003</v>
      </c>
      <c r="F463" s="1" t="s">
        <v>1635</v>
      </c>
      <c r="G463" s="1" t="s">
        <v>1636</v>
      </c>
      <c r="H463" s="1" t="s">
        <v>13</v>
      </c>
    </row>
    <row r="464">
      <c r="A464" s="1">
        <v>462.0</v>
      </c>
      <c r="B464" s="1" t="s">
        <v>1180</v>
      </c>
      <c r="C464" s="1" t="s">
        <v>1637</v>
      </c>
      <c r="D464" s="1" t="s">
        <v>1638</v>
      </c>
      <c r="E464" s="2" t="str">
        <f>IFERROR(__xludf.DUMMYFUNCTION("GOOGLETRANSLATE(C464, ""en"", ""th"")"),"ชุดไพ่ที่มีคำว่า ""Ancestor's Chosen"" อยู่ในชื่อภาษาอิตาลีว่าอะไร?")</f>
        <v>ชุดไพ่ที่มีคำว่า "Ancestor's Chosen" อยู่ในชื่อภาษาอิตาลีว่าอะไร?</v>
      </c>
      <c r="F464" s="1" t="s">
        <v>1639</v>
      </c>
      <c r="G464" s="1" t="s">
        <v>1640</v>
      </c>
      <c r="H464" s="1" t="s">
        <v>18</v>
      </c>
    </row>
    <row r="465">
      <c r="A465" s="1">
        <v>463.0</v>
      </c>
      <c r="B465" s="1" t="s">
        <v>1180</v>
      </c>
      <c r="C465" s="1" t="s">
        <v>1641</v>
      </c>
      <c r="D465" s="1" t="s">
        <v>1642</v>
      </c>
      <c r="E465" s="2" t="str">
        <f>IFERROR(__xludf.DUMMYFUNCTION("GOOGLETRANSLATE(C465, ""en"", ""th"")"),"การ์ดชุดที่มีคำว่า ""Angel of Mercy"" มีคำแปลกี่คำ?")</f>
        <v>การ์ดชุดที่มีคำว่า "Angel of Mercy" มีคำแปลกี่คำ?</v>
      </c>
      <c r="F465" s="1" t="s">
        <v>1643</v>
      </c>
      <c r="G465" s="1" t="s">
        <v>1644</v>
      </c>
      <c r="H465" s="1" t="s">
        <v>13</v>
      </c>
    </row>
    <row r="466">
      <c r="A466" s="1">
        <v>464.0</v>
      </c>
      <c r="B466" s="1" t="s">
        <v>1180</v>
      </c>
      <c r="C466" s="1" t="s">
        <v>1645</v>
      </c>
      <c r="D466" s="1" t="s">
        <v>1646</v>
      </c>
      <c r="E466" s="2" t="str">
        <f>IFERROR(__xludf.DUMMYFUNCTION("GOOGLETRANSLATE(C466, ""en"", ""th"")"),"โปรดระบุชื่อการ์ดในชุด ""Hauptset Zehnte Edition""")</f>
        <v>โปรดระบุชื่อการ์ดในชุด "Hauptset Zehnte Edition"</v>
      </c>
      <c r="F466" s="1" t="s">
        <v>1647</v>
      </c>
      <c r="G466" s="1" t="s">
        <v>1648</v>
      </c>
      <c r="H466" s="1" t="s">
        <v>13</v>
      </c>
    </row>
    <row r="467">
      <c r="A467" s="1">
        <v>465.0</v>
      </c>
      <c r="B467" s="1" t="s">
        <v>1180</v>
      </c>
      <c r="C467" s="1" t="s">
        <v>1649</v>
      </c>
      <c r="D467" s="1" t="s">
        <v>1650</v>
      </c>
      <c r="E467" s="2" t="str">
        <f>IFERROR(__xludf.DUMMYFUNCTION("GOOGLETRANSLATE(C467, ""en"", ""th"")"),"สำหรับเซ็ตการ์ดที่มีคำว่า Ancestor's Chosen มีเวอร์ชั่นเกาหลีมั้ยคะ?")</f>
        <v>สำหรับเซ็ตการ์ดที่มีคำว่า Ancestor's Chosen มีเวอร์ชั่นเกาหลีมั้ยคะ?</v>
      </c>
      <c r="F467" s="1" t="s">
        <v>1651</v>
      </c>
      <c r="G467" s="1" t="s">
        <v>1652</v>
      </c>
      <c r="H467" s="1" t="s">
        <v>18</v>
      </c>
    </row>
    <row r="468">
      <c r="A468" s="1">
        <v>466.0</v>
      </c>
      <c r="B468" s="1" t="s">
        <v>1180</v>
      </c>
      <c r="C468" s="1" t="s">
        <v>1653</v>
      </c>
      <c r="D468" s="1" t="s">
        <v>1654</v>
      </c>
      <c r="E468" s="2" t="str">
        <f>IFERROR(__xludf.DUMMYFUNCTION("GOOGLETRANSLATE(C468, ""en"", ""th"")"),"ในบรรดาการ์ดในชุด ""Hauptset Zehnte Edition"" มีการ์ดกี่ใบที่ออกแบบโดย Adam Rex?")</f>
        <v>ในบรรดาการ์ดในชุด "Hauptset Zehnte Edition" มีการ์ดกี่ใบที่ออกแบบโดย Adam Rex?</v>
      </c>
      <c r="F468" s="1" t="s">
        <v>1655</v>
      </c>
      <c r="G468" s="1" t="s">
        <v>1656</v>
      </c>
      <c r="H468" s="1" t="s">
        <v>18</v>
      </c>
    </row>
    <row r="469">
      <c r="A469" s="1">
        <v>467.0</v>
      </c>
      <c r="B469" s="1" t="s">
        <v>1180</v>
      </c>
      <c r="C469" s="1" t="s">
        <v>1657</v>
      </c>
      <c r="D469" s="1" t="s">
        <v>1658</v>
      </c>
      <c r="E469" s="2" t="str">
        <f>IFERROR(__xludf.DUMMYFUNCTION("GOOGLETRANSLATE(C469, ""en"", ""th"")"),"ชุดพื้นฐานของ ""Hauptset Zehnte Edition"" มีการ์ดกี่ใบ?")</f>
        <v>ชุดพื้นฐานของ "Hauptset Zehnte Edition" มีการ์ดกี่ใบ?</v>
      </c>
      <c r="F469" s="1" t="s">
        <v>1659</v>
      </c>
      <c r="G469" s="1" t="s">
        <v>1660</v>
      </c>
      <c r="H469" s="1" t="s">
        <v>13</v>
      </c>
    </row>
    <row r="470">
      <c r="A470" s="1">
        <v>468.0</v>
      </c>
      <c r="B470" s="1" t="s">
        <v>1180</v>
      </c>
      <c r="C470" s="1" t="s">
        <v>1661</v>
      </c>
      <c r="D470" s="1" t="s">
        <v>1662</v>
      </c>
      <c r="E470" s="2" t="str">
        <f>IFERROR(__xludf.DUMMYFUNCTION("GOOGLETRANSLATE(C470, ""en"", ""th"")"),"ชื่อชุด ""ฉบับที่ 8"" แปลเป็นภาษาจีนตัวย่อว่าอะไร?")</f>
        <v>ชื่อชุด "ฉบับที่ 8" แปลเป็นภาษาจีนตัวย่อว่าอะไร?</v>
      </c>
      <c r="F470" s="1" t="s">
        <v>1663</v>
      </c>
      <c r="G470" s="1" t="s">
        <v>1664</v>
      </c>
      <c r="H470" s="1" t="s">
        <v>18</v>
      </c>
    </row>
    <row r="471">
      <c r="A471" s="1">
        <v>469.0</v>
      </c>
      <c r="B471" s="1" t="s">
        <v>1180</v>
      </c>
      <c r="C471" s="1" t="s">
        <v>1665</v>
      </c>
      <c r="D471" s="1" t="s">
        <v>1666</v>
      </c>
      <c r="E471" s="2" t="str">
        <f>IFERROR(__xludf.DUMMYFUNCTION("GOOGLETRANSLATE(C471, ""en"", ""th"")"),"ชุดการ์ดที่มี ""Angel of Mercy"" ปรากฏบน Magic: The Gathering Online หรือไม่?")</f>
        <v>ชุดการ์ดที่มี "Angel of Mercy" ปรากฏบน Magic: The Gathering Online หรือไม่?</v>
      </c>
      <c r="F471" s="1" t="s">
        <v>1667</v>
      </c>
      <c r="G471" s="1" t="s">
        <v>1668</v>
      </c>
      <c r="H471" s="1" t="s">
        <v>18</v>
      </c>
    </row>
    <row r="472">
      <c r="A472" s="1">
        <v>470.0</v>
      </c>
      <c r="B472" s="1" t="s">
        <v>1180</v>
      </c>
      <c r="C472" s="1" t="s">
        <v>1669</v>
      </c>
      <c r="D472" s="1" t="s">
        <v>1670</v>
      </c>
      <c r="E472" s="2" t="str">
        <f>IFERROR(__xludf.DUMMYFUNCTION("GOOGLETRANSLATE(C472, ""en"", ""th"")"),"ชุดไพ่ที่มี ""Ancestor's Chosen"" เปิดตัวเมื่อไหร่?")</f>
        <v>ชุดไพ่ที่มี "Ancestor's Chosen" เปิดตัวเมื่อไหร่?</v>
      </c>
      <c r="F472" s="1" t="s">
        <v>1671</v>
      </c>
      <c r="G472" s="1" t="s">
        <v>1672</v>
      </c>
      <c r="H472" s="1" t="s">
        <v>13</v>
      </c>
    </row>
    <row r="473">
      <c r="A473" s="1">
        <v>471.0</v>
      </c>
      <c r="B473" s="1" t="s">
        <v>1180</v>
      </c>
      <c r="C473" s="1" t="s">
        <v>1673</v>
      </c>
      <c r="D473" s="1" t="s">
        <v>1674</v>
      </c>
      <c r="E473" s="2" t="str">
        <f>IFERROR(__xludf.DUMMYFUNCTION("GOOGLETRANSLATE(C473, ""en"", ""th"")"),"ชุดส่วนขยายของชุด ""Hauptset Zehnte Edition"" คืออะไร?")</f>
        <v>ชุดส่วนขยายของชุด "Hauptset Zehnte Edition" คืออะไร?</v>
      </c>
      <c r="F473" s="1" t="s">
        <v>1675</v>
      </c>
      <c r="G473" s="1" t="s">
        <v>1676</v>
      </c>
      <c r="H473" s="1" t="s">
        <v>13</v>
      </c>
    </row>
    <row r="474">
      <c r="A474" s="1">
        <v>472.0</v>
      </c>
      <c r="B474" s="1" t="s">
        <v>1180</v>
      </c>
      <c r="C474" s="1" t="s">
        <v>1677</v>
      </c>
      <c r="D474" s="1" t="s">
        <v>1678</v>
      </c>
      <c r="E474" s="2" t="str">
        <f>IFERROR(__xludf.DUMMYFUNCTION("GOOGLETRANSLATE(C474, ""en"", ""th"")"),"ในบรรดาฉากในบล็อก ""Ice Age"" มีกี่ฉากที่มีคำแปลภาษาอิตาลี?")</f>
        <v>ในบรรดาฉากในบล็อก "Ice Age" มีกี่ฉากที่มีคำแปลภาษาอิตาลี?</v>
      </c>
      <c r="F474" s="1" t="s">
        <v>1679</v>
      </c>
      <c r="G474" s="1" t="s">
        <v>1680</v>
      </c>
      <c r="H474" s="1" t="s">
        <v>18</v>
      </c>
    </row>
    <row r="475">
      <c r="A475" s="1">
        <v>473.0</v>
      </c>
      <c r="B475" s="1" t="s">
        <v>1180</v>
      </c>
      <c r="C475" s="1" t="s">
        <v>1681</v>
      </c>
      <c r="D475" s="1" t="s">
        <v>1682</v>
      </c>
      <c r="E475" s="2" t="str">
        <f>IFERROR(__xludf.DUMMYFUNCTION("GOOGLETRANSLATE(C475, ""en"", ""th"")"),"ชุดการ์ดที่มี Adarkar Valkyrie มีจำหน่ายเฉพาะนอกสหรัฐอเมริกาหรือไม่")</f>
        <v>ชุดการ์ดที่มี Adarkar Valkyrie มีจำหน่ายเฉพาะนอกสหรัฐอเมริกาหรือไม่</v>
      </c>
      <c r="F475" s="1" t="s">
        <v>1683</v>
      </c>
      <c r="G475" s="1" t="s">
        <v>1684</v>
      </c>
      <c r="H475" s="1" t="s">
        <v>18</v>
      </c>
    </row>
    <row r="476">
      <c r="A476" s="1">
        <v>474.0</v>
      </c>
      <c r="B476" s="1" t="s">
        <v>1180</v>
      </c>
      <c r="C476" s="1" t="s">
        <v>1685</v>
      </c>
      <c r="D476" s="1" t="s">
        <v>1686</v>
      </c>
      <c r="E476" s="2" t="str">
        <f>IFERROR(__xludf.DUMMYFUNCTION("GOOGLETRANSLATE(C476, ""en"", ""th"")"),"ในบรรดาชุดไพ่ที่มีคำแปลภาษาอิตาลี มีกี่ชุดที่มีเลขฐานต่ำกว่า 100?")</f>
        <v>ในบรรดาชุดไพ่ที่มีคำแปลภาษาอิตาลี มีกี่ชุดที่มีเลขฐานต่ำกว่า 100?</v>
      </c>
      <c r="F476" s="1" t="s">
        <v>1687</v>
      </c>
      <c r="G476" s="1" t="s">
        <v>1688</v>
      </c>
      <c r="H476" s="1" t="s">
        <v>18</v>
      </c>
    </row>
    <row r="477">
      <c r="A477" s="1">
        <v>475.0</v>
      </c>
      <c r="B477" s="1" t="s">
        <v>1180</v>
      </c>
      <c r="C477" s="1" t="s">
        <v>1689</v>
      </c>
      <c r="D477" s="1" t="s">
        <v>1690</v>
      </c>
      <c r="E477" s="2" t="str">
        <f>IFERROR(__xludf.DUMMYFUNCTION("GOOGLETRANSLATE(C477, ""en"", ""th"")"),"การ์ดในชุด Coldsnap มีขอบสีดำกี่ใบ?")</f>
        <v>การ์ดในชุด Coldsnap มีขอบสีดำกี่ใบ?</v>
      </c>
      <c r="F477" s="1" t="s">
        <v>1691</v>
      </c>
      <c r="G477" s="1" t="s">
        <v>1692</v>
      </c>
      <c r="H477" s="1" t="s">
        <v>13</v>
      </c>
    </row>
    <row r="478">
      <c r="A478" s="1">
        <v>476.0</v>
      </c>
      <c r="B478" s="1" t="s">
        <v>1180</v>
      </c>
      <c r="C478" s="1" t="s">
        <v>1693</v>
      </c>
      <c r="D478" s="1" t="s">
        <v>1694</v>
      </c>
      <c r="E478" s="2" t="str">
        <f>IFERROR(__xludf.DUMMYFUNCTION("GOOGLETRANSLATE(C478, ""en"", ""th"")"),"โปรดระบุชื่อของการ์ดในชุด Coldsnap ที่มีค่าใช้จ่ายมานาในการแปลงสูงสุด")</f>
        <v>โปรดระบุชื่อของการ์ดในชุด Coldsnap ที่มีค่าใช้จ่ายมานาในการแปลงสูงสุด</v>
      </c>
      <c r="F478" s="1" t="s">
        <v>1695</v>
      </c>
      <c r="G478" s="1" t="s">
        <v>1696</v>
      </c>
      <c r="H478" s="1" t="s">
        <v>13</v>
      </c>
    </row>
    <row r="479">
      <c r="A479" s="1">
        <v>477.0</v>
      </c>
      <c r="B479" s="1" t="s">
        <v>1180</v>
      </c>
      <c r="C479" s="1" t="s">
        <v>1697</v>
      </c>
      <c r="D479" s="1" t="s">
        <v>1698</v>
      </c>
      <c r="E479" s="2" t="str">
        <f>IFERROR(__xludf.DUMMYFUNCTION("GOOGLETRANSLATE(C479, ""en"", ""th"")"),"ศิลปินคนใดเหล่านี้ได้ออกแบบการ์ดในฉาก Coldsnap, Jeremy Jarvis, Aaron Miller หรือ Chippy?")</f>
        <v>ศิลปินคนใดเหล่านี้ได้ออกแบบการ์ดในฉาก Coldsnap, Jeremy Jarvis, Aaron Miller หรือ Chippy?</v>
      </c>
      <c r="F479" s="1" t="s">
        <v>1699</v>
      </c>
      <c r="G479" s="1" t="s">
        <v>1700</v>
      </c>
      <c r="H479" s="1" t="s">
        <v>101</v>
      </c>
    </row>
    <row r="480">
      <c r="A480" s="1">
        <v>478.0</v>
      </c>
      <c r="B480" s="1" t="s">
        <v>1180</v>
      </c>
      <c r="C480" s="1" t="s">
        <v>1701</v>
      </c>
      <c r="D480" s="1" t="s">
        <v>1702</v>
      </c>
      <c r="E480" s="2" t="str">
        <f>IFERROR(__xludf.DUMMYFUNCTION("GOOGLETRANSLATE(C480, ""en"", ""th"")"),"การ์ดหมายเลข 4 ในชุด Coldsnap คืออะไร?")</f>
        <v>การ์ดหมายเลข 4 ในชุด Coldsnap คืออะไร?</v>
      </c>
      <c r="F480" s="1" t="s">
        <v>1703</v>
      </c>
      <c r="G480" s="1" t="s">
        <v>1704</v>
      </c>
      <c r="H480" s="1" t="s">
        <v>13</v>
      </c>
    </row>
    <row r="481">
      <c r="A481" s="1">
        <v>479.0</v>
      </c>
      <c r="B481" s="1" t="s">
        <v>1180</v>
      </c>
      <c r="C481" s="1" t="s">
        <v>1705</v>
      </c>
      <c r="D481" s="1" t="s">
        <v>1706</v>
      </c>
      <c r="E481" s="2" t="str">
        <f>IFERROR(__xludf.DUMMYFUNCTION("GOOGLETRANSLATE(C481, ""en"", ""th"")"),"ในบรรดาการ์ดที่มีมานาที่แปลงแล้วมีราคาสูงกว่า 5 ในชุด Coldsnap มีการ์ดกี่ใบที่มีพลังที่ไม่รู้จัก?")</f>
        <v>ในบรรดาการ์ดที่มีมานาที่แปลงแล้วมีราคาสูงกว่า 5 ในชุด Coldsnap มีการ์ดกี่ใบที่มีพลังที่ไม่รู้จัก?</v>
      </c>
      <c r="F481" s="1" t="s">
        <v>1707</v>
      </c>
      <c r="G481" s="1" t="s">
        <v>1708</v>
      </c>
      <c r="H481" s="1" t="s">
        <v>18</v>
      </c>
    </row>
    <row r="482">
      <c r="A482" s="1">
        <v>480.0</v>
      </c>
      <c r="B482" s="1" t="s">
        <v>1180</v>
      </c>
      <c r="C482" s="1" t="s">
        <v>1709</v>
      </c>
      <c r="D482" s="1" t="s">
        <v>1710</v>
      </c>
      <c r="E482" s="2" t="str">
        <f>IFERROR(__xludf.DUMMYFUNCTION("GOOGLETRANSLATE(C482, ""en"", ""th"")"),"ข้อความรสอิตาลีของการ์ด ""Ancestor's Chosen"" คืออะไร?")</f>
        <v>ข้อความรสอิตาลีของการ์ด "Ancestor's Chosen" คืออะไร?</v>
      </c>
      <c r="F482" s="1" t="s">
        <v>1711</v>
      </c>
      <c r="G482" s="1" t="s">
        <v>1712</v>
      </c>
      <c r="H482" s="1" t="s">
        <v>18</v>
      </c>
    </row>
    <row r="483">
      <c r="A483" s="1">
        <v>481.0</v>
      </c>
      <c r="B483" s="1" t="s">
        <v>1180</v>
      </c>
      <c r="C483" s="1" t="s">
        <v>1713</v>
      </c>
      <c r="D483" s="1" t="s">
        <v>1714</v>
      </c>
      <c r="E483" s="2" t="str">
        <f>IFERROR(__xludf.DUMMYFUNCTION("GOOGLETRANSLATE(C483, ""en"", ""th"")"),"โปรดระบุภาษาต่างประเทศทั้งหมดที่การ์ด ""Ancestor's Chosen"" มีข้อความประกอบ")</f>
        <v>โปรดระบุภาษาต่างประเทศทั้งหมดที่การ์ด "Ancestor's Chosen" มีข้อความประกอบ</v>
      </c>
      <c r="F483" s="1" t="s">
        <v>1715</v>
      </c>
      <c r="G483" s="1" t="s">
        <v>1716</v>
      </c>
      <c r="H483" s="1" t="s">
        <v>13</v>
      </c>
    </row>
    <row r="484">
      <c r="A484" s="1">
        <v>482.0</v>
      </c>
      <c r="B484" s="1" t="s">
        <v>1180</v>
      </c>
      <c r="C484" s="1" t="s">
        <v>1717</v>
      </c>
      <c r="D484" s="1" t="s">
        <v>1718</v>
      </c>
      <c r="E484" s="2" t="str">
        <f>IFERROR(__xludf.DUMMYFUNCTION("GOOGLETRANSLATE(C484, ""en"", ""th"")"),"การ์ด ""Ancestor's Chosen"" ของเยอรมันคือการ์ดประเภทใด")</f>
        <v>การ์ด "Ancestor's Chosen" ของเยอรมันคือการ์ดประเภทใด</v>
      </c>
      <c r="F484" s="1" t="s">
        <v>1719</v>
      </c>
      <c r="G484" s="1" t="s">
        <v>1720</v>
      </c>
      <c r="H484" s="1" t="s">
        <v>13</v>
      </c>
    </row>
    <row r="485">
      <c r="A485" s="1">
        <v>483.0</v>
      </c>
      <c r="B485" s="1" t="s">
        <v>1180</v>
      </c>
      <c r="C485" s="1" t="s">
        <v>1721</v>
      </c>
      <c r="D485" s="1" t="s">
        <v>1722</v>
      </c>
      <c r="E485" s="2" t="str">
        <f>IFERROR(__xludf.DUMMYFUNCTION("GOOGLETRANSLATE(C485, ""en"", ""th"")"),"โปรดระบุคำตัดสินข้อความภาษาอิตาลีของไพ่ทั้งหมดในชุด Coldsnap")</f>
        <v>โปรดระบุคำตัดสินข้อความภาษาอิตาลีของไพ่ทั้งหมดในชุด Coldsnap</v>
      </c>
      <c r="F485" s="1" t="s">
        <v>1723</v>
      </c>
      <c r="G485" s="1" t="s">
        <v>1724</v>
      </c>
      <c r="H485" s="1" t="s">
        <v>18</v>
      </c>
    </row>
    <row r="486">
      <c r="A486" s="1">
        <v>484.0</v>
      </c>
      <c r="B486" s="1" t="s">
        <v>1180</v>
      </c>
      <c r="C486" s="1" t="s">
        <v>1725</v>
      </c>
      <c r="D486" s="1" t="s">
        <v>1726</v>
      </c>
      <c r="E486" s="2" t="str">
        <f>IFERROR(__xludf.DUMMYFUNCTION("GOOGLETRANSLATE(C486, ""en"", ""th"")"),"โปรดระบุชื่อการ์ดภาษาอิตาลีในชุด Coldsnap ที่มีค่าใช้จ่ายมานาในการแปลงสูงสุด")</f>
        <v>โปรดระบุชื่อการ์ดภาษาอิตาลีในชุด Coldsnap ที่มีค่าใช้จ่ายมานาในการแปลงสูงสุด</v>
      </c>
      <c r="F486" s="1" t="s">
        <v>1727</v>
      </c>
      <c r="G486" s="1" t="s">
        <v>1728</v>
      </c>
      <c r="H486" s="1" t="s">
        <v>18</v>
      </c>
    </row>
    <row r="487">
      <c r="A487" s="1">
        <v>485.0</v>
      </c>
      <c r="B487" s="1" t="s">
        <v>1180</v>
      </c>
      <c r="C487" s="1" t="s">
        <v>1729</v>
      </c>
      <c r="D487" s="1" t="s">
        <v>1730</v>
      </c>
      <c r="E487" s="2" t="str">
        <f>IFERROR(__xludf.DUMMYFUNCTION("GOOGLETRANSLATE(C487, ""en"", ""th"")"),"คำตัดสินของการ์ด 'Reminisce' ถูกสร้างขึ้นเมื่อใด?")</f>
        <v>คำตัดสินของการ์ด 'Reminisce' ถูกสร้างขึ้นเมื่อใด?</v>
      </c>
      <c r="F487" s="1" t="s">
        <v>1731</v>
      </c>
      <c r="G487" s="1" t="s">
        <v>1732</v>
      </c>
      <c r="H487" s="1" t="s">
        <v>13</v>
      </c>
    </row>
    <row r="488">
      <c r="A488" s="1">
        <v>486.0</v>
      </c>
      <c r="B488" s="1" t="s">
        <v>1180</v>
      </c>
      <c r="C488" s="1" t="s">
        <v>1733</v>
      </c>
      <c r="D488" s="1" t="s">
        <v>1734</v>
      </c>
      <c r="E488" s="2" t="str">
        <f>IFERROR(__xludf.DUMMYFUNCTION("GOOGLETRANSLATE(C488, ""en"", ""th"")"),"เปอร์เซ็นต์ของการ์ดที่มีค่ามานาที่แปลงเป็น 7 ในชุด Coldsnap คือเท่าใด")</f>
        <v>เปอร์เซ็นต์ของการ์ดที่มีค่ามานาที่แปลงเป็น 7 ในชุด Coldsnap คือเท่าใด</v>
      </c>
      <c r="F488" s="1" t="s">
        <v>1735</v>
      </c>
      <c r="G488" s="1" t="s">
        <v>1736</v>
      </c>
      <c r="H488" s="1" t="s">
        <v>18</v>
      </c>
    </row>
    <row r="489">
      <c r="A489" s="1">
        <v>487.0</v>
      </c>
      <c r="B489" s="1" t="s">
        <v>1180</v>
      </c>
      <c r="C489" s="1" t="s">
        <v>1737</v>
      </c>
      <c r="D489" s="1" t="s">
        <v>1738</v>
      </c>
      <c r="E489" s="2" t="str">
        <f>IFERROR(__xludf.DUMMYFUNCTION("GOOGLETRANSLATE(C489, ""en"", ""th"")"),"เปอร์เซ็นต์ของการ์ดที่ทรงพลังอย่างเหลือเชื่อในชุด Coldsnap คือเท่าไร?")</f>
        <v>เปอร์เซ็นต์ของการ์ดที่ทรงพลังอย่างเหลือเชื่อในชุด Coldsnap คือเท่าไร?</v>
      </c>
      <c r="F489" s="1" t="s">
        <v>1739</v>
      </c>
      <c r="G489" s="1" t="s">
        <v>1740</v>
      </c>
      <c r="H489" s="1" t="s">
        <v>101</v>
      </c>
    </row>
    <row r="490">
      <c r="A490" s="1">
        <v>488.0</v>
      </c>
      <c r="B490" s="1" t="s">
        <v>1180</v>
      </c>
      <c r="C490" s="1" t="s">
        <v>1741</v>
      </c>
      <c r="D490" s="1" t="s">
        <v>1742</v>
      </c>
      <c r="E490" s="2" t="str">
        <f>IFERROR(__xludf.DUMMYFUNCTION("GOOGLETRANSLATE(C490, ""en"", ""th"")"),"รหัสของชุดที่ออกเมื่อ 2017/7/57 คืออะไร?")</f>
        <v>รหัสของชุดที่ออกเมื่อ 2017/7/57 คืออะไร?</v>
      </c>
      <c r="F490" s="1" t="s">
        <v>1743</v>
      </c>
      <c r="G490" s="1" t="s">
        <v>1744</v>
      </c>
      <c r="H490" s="1" t="s">
        <v>13</v>
      </c>
    </row>
    <row r="491">
      <c r="A491" s="1">
        <v>489.0</v>
      </c>
      <c r="B491" s="1" t="s">
        <v>1180</v>
      </c>
      <c r="C491" s="1" t="s">
        <v>1745</v>
      </c>
      <c r="D491" s="1" t="s">
        <v>1746</v>
      </c>
      <c r="E491" s="2" t="str">
        <f>IFERROR(__xludf.DUMMYFUNCTION("GOOGLETRANSLATE(C491, ""en"", ""th"")"),"แสดงรายการรหัสคีย์รูนสำหรับชุดที่มีรหัสเป็น 'PKHC'")</f>
        <v>แสดงรายการรหัสคีย์รูนสำหรับชุดที่มีรหัสเป็น 'PKHC'</v>
      </c>
      <c r="F491" s="1" t="s">
        <v>1747</v>
      </c>
      <c r="G491" s="1" t="s">
        <v>1748</v>
      </c>
      <c r="H491" s="1" t="s">
        <v>13</v>
      </c>
    </row>
    <row r="492">
      <c r="A492" s="1">
        <v>490.0</v>
      </c>
      <c r="B492" s="1" t="s">
        <v>1180</v>
      </c>
      <c r="C492" s="1" t="s">
        <v>1749</v>
      </c>
      <c r="D492" s="1" t="s">
        <v>1750</v>
      </c>
      <c r="E492" s="2" t="str">
        <f>IFERROR(__xludf.DUMMYFUNCTION("GOOGLETRANSLATE(C492, ""en"", ""th"")"),"สำหรับชุดที่มีรหัส 'SS2' เป็นรหัสตลาดการ์ดเวทย์มนตร์คืออะไร")</f>
        <v>สำหรับชุดที่มีรหัส 'SS2' เป็นรหัสตลาดการ์ดเวทย์มนตร์คืออะไร</v>
      </c>
      <c r="F492" s="1" t="s">
        <v>1751</v>
      </c>
      <c r="G492" s="1" t="s">
        <v>1752</v>
      </c>
      <c r="H492" s="1" t="s">
        <v>13</v>
      </c>
    </row>
    <row r="493">
      <c r="A493" s="1">
        <v>491.0</v>
      </c>
      <c r="B493" s="1" t="s">
        <v>1180</v>
      </c>
      <c r="C493" s="1" t="s">
        <v>1753</v>
      </c>
      <c r="D493" s="1" t="s">
        <v>1754</v>
      </c>
      <c r="E493" s="2" t="str">
        <f>IFERROR(__xludf.DUMMYFUNCTION("GOOGLETRANSLATE(C493, ""en"", ""th"")"),"ตลาดการ์ดเวทย์มนตร์สำหรับชุดที่วางจำหน่ายในวันที่ 9/6/2017 คืออะไร?")</f>
        <v>ตลาดการ์ดเวทย์มนตร์สำหรับชุดที่วางจำหน่ายในวันที่ 9/6/2017 คืออะไร?</v>
      </c>
      <c r="F493" s="1" t="s">
        <v>1755</v>
      </c>
      <c r="G493" s="1" t="s">
        <v>1756</v>
      </c>
      <c r="H493" s="1" t="s">
        <v>13</v>
      </c>
    </row>
    <row r="494">
      <c r="A494" s="1">
        <v>492.0</v>
      </c>
      <c r="B494" s="1" t="s">
        <v>1180</v>
      </c>
      <c r="C494" s="1" t="s">
        <v>1757</v>
      </c>
      <c r="D494" s="1" t="s">
        <v>1758</v>
      </c>
      <c r="E494" s="2" t="str">
        <f>IFERROR(__xludf.DUMMYFUNCTION("GOOGLETRANSLATE(C494, ""en"", ""th"")"),"สำหรับฉาก ""From the Vault: Lore"" มีส่วนขยายประเภทใดบ้าง?")</f>
        <v>สำหรับฉาก "From the Vault: Lore" มีส่วนขยายประเภทใดบ้าง?</v>
      </c>
      <c r="F494" s="1" t="s">
        <v>1759</v>
      </c>
      <c r="G494" s="1" t="s">
        <v>1760</v>
      </c>
      <c r="H494" s="1" t="s">
        <v>13</v>
      </c>
    </row>
    <row r="495">
      <c r="A495" s="1">
        <v>493.0</v>
      </c>
      <c r="B495" s="1" t="s">
        <v>1180</v>
      </c>
      <c r="C495" s="1" t="s">
        <v>1761</v>
      </c>
      <c r="D495" s="1" t="s">
        <v>1762</v>
      </c>
      <c r="E495" s="2" t="str">
        <f>IFERROR(__xludf.DUMMYFUNCTION("GOOGLETRANSLATE(C495, ""en"", ""th"")"),"สำหรับชุด ""Commander 2014 Oversize"" ให้ระบุรหัสผู้ปกครอง")</f>
        <v>สำหรับชุด "Commander 2014 Oversize" ให้ระบุรหัสผู้ปกครอง</v>
      </c>
      <c r="F495" s="1" t="s">
        <v>1763</v>
      </c>
      <c r="G495" s="1" t="s">
        <v>1764</v>
      </c>
      <c r="H495" s="1" t="s">
        <v>13</v>
      </c>
    </row>
    <row r="496">
      <c r="A496" s="1">
        <v>494.0</v>
      </c>
      <c r="B496" s="1" t="s">
        <v>1180</v>
      </c>
      <c r="C496" s="1" t="s">
        <v>1765</v>
      </c>
      <c r="D496" s="1" t="s">
        <v>1766</v>
      </c>
      <c r="E496" s="2" t="str">
        <f>IFERROR(__xludf.DUMMYFUNCTION("GOOGLETRANSLATE(C496, ""en"", ""th"")"),"สำหรับการ์ดทั้งหมดที่แสดงโดย Jim Pavelec และบรรยายข้อความคำวินิจฉัยของบัตรเหล่านี้ การ์ดเหล่านี้มีคุณสมบัติและค่าที่ขาดหายไปหรือลดลงหรือไม่")</f>
        <v>สำหรับการ์ดทั้งหมดที่แสดงโดย Jim Pavelec และบรรยายข้อความคำวินิจฉัยของบัตรเหล่านี้ การ์ดเหล่านี้มีคุณสมบัติและค่าที่ขาดหายไปหรือลดลงหรือไม่</v>
      </c>
      <c r="F496" s="1" t="s">
        <v>1767</v>
      </c>
      <c r="G496" s="1" t="s">
        <v>1768</v>
      </c>
      <c r="H496" s="1" t="s">
        <v>101</v>
      </c>
    </row>
    <row r="497">
      <c r="A497" s="1">
        <v>495.0</v>
      </c>
      <c r="B497" s="1" t="s">
        <v>1180</v>
      </c>
      <c r="C497" s="1" t="s">
        <v>1769</v>
      </c>
      <c r="D497" s="1" t="s">
        <v>1770</v>
      </c>
      <c r="E497" s="2" t="str">
        <f>IFERROR(__xludf.DUMMYFUNCTION("GOOGLETRANSLATE(C497, ""en"", ""th"")"),"เซ็ตนี้ออกวันไหนมีการ์ด ""Evacuation"" อยู่ในนั้นบ้าง?")</f>
        <v>เซ็ตนี้ออกวันไหนมีการ์ด "Evacuation" อยู่ในนั้นบ้าง?</v>
      </c>
      <c r="F497" s="1" t="s">
        <v>1771</v>
      </c>
      <c r="G497" s="1" t="s">
        <v>1772</v>
      </c>
      <c r="H497" s="1" t="s">
        <v>13</v>
      </c>
    </row>
    <row r="498">
      <c r="A498" s="1">
        <v>496.0</v>
      </c>
      <c r="B498" s="1" t="s">
        <v>1180</v>
      </c>
      <c r="C498" s="1" t="s">
        <v>1773</v>
      </c>
      <c r="D498" s="1" t="s">
        <v>1774</v>
      </c>
      <c r="E498" s="2" t="str">
        <f>IFERROR(__xludf.DUMMYFUNCTION("GOOGLETRANSLATE(C498, ""en"", ""th"")"),"ไพ่ชุด ""Rinascita di Alara"" มีกี่ใบ?")</f>
        <v>ไพ่ชุด "Rinascita di Alara" มีกี่ใบ?</v>
      </c>
      <c r="F498" s="1" t="s">
        <v>1775</v>
      </c>
      <c r="G498" s="1" t="s">
        <v>1776</v>
      </c>
      <c r="H498" s="1" t="s">
        <v>13</v>
      </c>
    </row>
    <row r="499">
      <c r="A499" s="1">
        <v>497.0</v>
      </c>
      <c r="B499" s="1" t="s">
        <v>1180</v>
      </c>
      <c r="C499" s="1" t="s">
        <v>1777</v>
      </c>
      <c r="D499" s="1" t="s">
        <v>1778</v>
      </c>
      <c r="E499" s="2" t="str">
        <f>IFERROR(__xludf.DUMMYFUNCTION("GOOGLETRANSLATE(C499, ""en"", ""th"")"),"แสดงรายการประเภทส่วนขยายของชุด ""Huitième edition""")</f>
        <v>แสดงรายการประเภทส่วนขยายของชุด "Huitième edition"</v>
      </c>
      <c r="F499" s="1" t="s">
        <v>1779</v>
      </c>
      <c r="G499" s="1" t="s">
        <v>1780</v>
      </c>
      <c r="H499" s="1" t="s">
        <v>13</v>
      </c>
    </row>
    <row r="500">
      <c r="A500" s="1">
        <v>498.0</v>
      </c>
      <c r="B500" s="1" t="s">
        <v>1180</v>
      </c>
      <c r="C500" s="1" t="s">
        <v>1781</v>
      </c>
      <c r="D500" s="1" t="s">
        <v>1782</v>
      </c>
      <c r="E500" s="2" t="str">
        <f>IFERROR(__xludf.DUMMYFUNCTION("GOOGLETRANSLATE(C500, ""en"", ""th"")"),"ไพ่ชุดที่มีคำว่า ""Tendo Ice Bridge"" มีชื่อภาษาฝรั่งเศสว่าอะไร?")</f>
        <v>ไพ่ชุดที่มีคำว่า "Tendo Ice Bridge" มีชื่อภาษาฝรั่งเศสว่าอะไร?</v>
      </c>
      <c r="F500" s="1" t="s">
        <v>1783</v>
      </c>
      <c r="G500" s="1" t="s">
        <v>1784</v>
      </c>
      <c r="H500" s="1" t="s">
        <v>18</v>
      </c>
    </row>
    <row r="501">
      <c r="A501" s="1">
        <v>499.0</v>
      </c>
      <c r="B501" s="1" t="s">
        <v>1180</v>
      </c>
      <c r="C501" s="1" t="s">
        <v>1785</v>
      </c>
      <c r="D501" s="1" t="s">
        <v>1786</v>
      </c>
      <c r="E501" s="2" t="str">
        <f>IFERROR(__xludf.DUMMYFUNCTION("GOOGLETRANSLATE(C501, ""en"", ""th"")"),"ชื่อชุด ""ฉบับที่ 10"" มีการแปลกี่ฉบับ?")</f>
        <v>ชื่อชุด "ฉบับที่ 10" มีการแปลกี่ฉบับ?</v>
      </c>
      <c r="F501" s="1" t="s">
        <v>1787</v>
      </c>
      <c r="G501" s="1" t="s">
        <v>1788</v>
      </c>
      <c r="H501" s="1" t="s">
        <v>18</v>
      </c>
    </row>
    <row r="502">
      <c r="A502" s="1">
        <v>500.0</v>
      </c>
      <c r="B502" s="1" t="s">
        <v>1180</v>
      </c>
      <c r="C502" s="1" t="s">
        <v>1789</v>
      </c>
      <c r="D502" s="1" t="s">
        <v>1790</v>
      </c>
      <c r="E502" s="2" t="str">
        <f>IFERROR(__xludf.DUMMYFUNCTION("GOOGLETRANSLATE(C502, ""en"", ""th"")"),"บอกชื่อชุดภาษาญี่ปุ่นว่าการ์ดใบไหน ""Fellwar Stone"" อยู่ในนั้น")</f>
        <v>บอกชื่อชุดภาษาญี่ปุ่นว่าการ์ดใบไหน "Fellwar Stone" อยู่ในนั้น</v>
      </c>
      <c r="F502" s="1" t="s">
        <v>1791</v>
      </c>
      <c r="G502" s="1" t="s">
        <v>1792</v>
      </c>
      <c r="H502" s="1" t="s">
        <v>18</v>
      </c>
    </row>
    <row r="503">
      <c r="A503" s="1">
        <v>501.0</v>
      </c>
      <c r="B503" s="1" t="s">
        <v>1180</v>
      </c>
      <c r="C503" s="1" t="s">
        <v>1793</v>
      </c>
      <c r="D503" s="1" t="s">
        <v>1794</v>
      </c>
      <c r="E503" s="2" t="str">
        <f>IFERROR(__xludf.DUMMYFUNCTION("GOOGLETRANSLATE(C503, ""en"", ""th"")"),"ชื่อการ์ดใดในชุด 'การเดินทางสู่เส้นทางของฮีโร่ Nyx' มีค่าใช้จ่ายมานาที่แปลงสูงที่สุด")</f>
        <v>ชื่อการ์ดใดในชุด 'การเดินทางสู่เส้นทางของฮีโร่ Nyx' มีค่าใช้จ่ายมานาที่แปลงสูงที่สุด</v>
      </c>
      <c r="F503" s="1" t="s">
        <v>1795</v>
      </c>
      <c r="G503" s="1" t="s">
        <v>1796</v>
      </c>
      <c r="H503" s="1" t="s">
        <v>18</v>
      </c>
    </row>
    <row r="504">
      <c r="A504" s="1">
        <v>502.0</v>
      </c>
      <c r="B504" s="1" t="s">
        <v>1180</v>
      </c>
      <c r="C504" s="1" t="s">
        <v>1797</v>
      </c>
      <c r="D504" s="1" t="s">
        <v>1798</v>
      </c>
      <c r="E504" s="2" t="str">
        <f>IFERROR(__xludf.DUMMYFUNCTION("GOOGLETRANSLATE(C504, ""en"", ""th"")"),"ชุด ""Ola de frío"" จะออกฉายเมื่อใด?")</f>
        <v>ชุด "Ola de frío" จะออกฉายเมื่อใด?</v>
      </c>
      <c r="F504" s="1" t="s">
        <v>1799</v>
      </c>
      <c r="G504" s="1" t="s">
        <v>1800</v>
      </c>
      <c r="H504" s="1" t="s">
        <v>13</v>
      </c>
    </row>
    <row r="505">
      <c r="A505" s="1">
        <v>503.0</v>
      </c>
      <c r="B505" s="1" t="s">
        <v>1180</v>
      </c>
      <c r="C505" s="1" t="s">
        <v>1801</v>
      </c>
      <c r="D505" s="1" t="s">
        <v>1802</v>
      </c>
      <c r="E505" s="2" t="str">
        <f>IFERROR(__xludf.DUMMYFUNCTION("GOOGLETRANSLATE(C505, ""en"", ""th"")"),"ส่วนขยายของชุดคือการ์ดอะไร ""Samite Pilgrim"" ที่อยู่ในนั้น?")</f>
        <v>ส่วนขยายของชุดคือการ์ดอะไร "Samite Pilgrim" ที่อยู่ในนั้น?</v>
      </c>
      <c r="F505" s="1" t="s">
        <v>1803</v>
      </c>
      <c r="G505" s="1" t="s">
        <v>1804</v>
      </c>
      <c r="H505" s="1" t="s">
        <v>13</v>
      </c>
    </row>
    <row r="506">
      <c r="A506" s="1">
        <v>504.0</v>
      </c>
      <c r="B506" s="1" t="s">
        <v>1180</v>
      </c>
      <c r="C506" s="1" t="s">
        <v>1805</v>
      </c>
      <c r="D506" s="1" t="s">
        <v>1806</v>
      </c>
      <c r="E506" s="2" t="str">
        <f>IFERROR(__xludf.DUMMYFUNCTION("GOOGLETRANSLATE(C506, ""en"", ""th"")"),"มีไพ่กี่ใบในชุด 'World Championship Decks 2004' โดยมีค่ามานาที่แปลงเป็น '3'")</f>
        <v>มีไพ่กี่ใบในชุด 'World Championship Decks 2004' โดยมีค่ามานาที่แปลงเป็น '3'</v>
      </c>
      <c r="F506" s="1" t="s">
        <v>1807</v>
      </c>
      <c r="G506" s="1" t="s">
        <v>1808</v>
      </c>
      <c r="H506" s="1" t="s">
        <v>13</v>
      </c>
    </row>
    <row r="507">
      <c r="A507" s="1">
        <v>505.0</v>
      </c>
      <c r="B507" s="1" t="s">
        <v>1180</v>
      </c>
      <c r="C507" s="1" t="s">
        <v>1809</v>
      </c>
      <c r="D507" s="1" t="s">
        <v>1810</v>
      </c>
      <c r="E507" s="2" t="str">
        <f>IFERROR(__xludf.DUMMYFUNCTION("GOOGLETRANSLATE(C507, ""en"", ""th"")"),"แสดงชื่อชุด ""Mirrodin"" ที่แปลเป็นภาษาจีนตัวย่อหรือไม่?")</f>
        <v>แสดงชื่อชุด "Mirrodin" ที่แปลเป็นภาษาจีนตัวย่อหรือไม่?</v>
      </c>
      <c r="F507" s="1" t="s">
        <v>1811</v>
      </c>
      <c r="G507" s="1" t="s">
        <v>1812</v>
      </c>
      <c r="H507" s="1" t="s">
        <v>18</v>
      </c>
    </row>
    <row r="508">
      <c r="A508" s="1">
        <v>506.0</v>
      </c>
      <c r="B508" s="1" t="s">
        <v>1180</v>
      </c>
      <c r="C508" s="1" t="s">
        <v>1813</v>
      </c>
      <c r="D508" s="1" t="s">
        <v>1814</v>
      </c>
      <c r="E508" s="2" t="str">
        <f>IFERROR(__xludf.DUMMYFUNCTION("GOOGLETRANSLATE(C508, ""en"", ""th"")"),"การ์ดทุกชุดที่มีการแปลเป็นภาษาญี่ปุ่น จะมีเฉพาะการ์ดที่ไม่ใช่ฟอยล์กี่เปอร์เซ็นต์")</f>
        <v>การ์ดทุกชุดที่มีการแปลเป็นภาษาญี่ปุ่น จะมีเฉพาะการ์ดที่ไม่ใช่ฟอยล์กี่เปอร์เซ็นต์</v>
      </c>
      <c r="F508" s="1" t="s">
        <v>1815</v>
      </c>
      <c r="G508" s="1" t="s">
        <v>1816</v>
      </c>
      <c r="H508" s="1" t="s">
        <v>101</v>
      </c>
    </row>
    <row r="509">
      <c r="A509" s="1">
        <v>507.0</v>
      </c>
      <c r="B509" s="1" t="s">
        <v>1180</v>
      </c>
      <c r="C509" s="1" t="s">
        <v>1817</v>
      </c>
      <c r="D509" s="1" t="s">
        <v>1818</v>
      </c>
      <c r="E509" s="2" t="str">
        <f>IFERROR(__xludf.DUMMYFUNCTION("GOOGLETRANSLATE(C509, ""en"", ""th"")"),"สำหรับชุดการ์ดทั้งหมดที่มีการแปลภาษาโปรตุเกสแบบบราซิล จะมีกี่เปอร์เซ็นต์ที่มีจำหน่ายทางออนไลน์เท่านั้น")</f>
        <v>สำหรับชุดการ์ดทั้งหมดที่มีการแปลภาษาโปรตุเกสแบบบราซิล จะมีกี่เปอร์เซ็นต์ที่มีจำหน่ายทางออนไลน์เท่านั้น</v>
      </c>
      <c r="F509" s="1" t="s">
        <v>1819</v>
      </c>
      <c r="G509" s="1" t="s">
        <v>1820</v>
      </c>
      <c r="H509" s="1" t="s">
        <v>101</v>
      </c>
    </row>
    <row r="510">
      <c r="A510" s="1">
        <v>508.0</v>
      </c>
      <c r="B510" s="1" t="s">
        <v>1180</v>
      </c>
      <c r="C510" s="1" t="s">
        <v>1821</v>
      </c>
      <c r="D510" s="1" t="s">
        <v>1822</v>
      </c>
      <c r="E510" s="2" t="str">
        <f>IFERROR(__xludf.DUMMYFUNCTION("GOOGLETRANSLATE(C510, ""en"", ""th"")"),"การ์ดที่ไม่มีกล่องข้อความที่สร้างโดย Aleksi Briclot มีประเภทการพิมพ์ใดบ้าง")</f>
        <v>การ์ดที่ไม่มีกล่องข้อความที่สร้างโดย Aleksi Briclot มีประเภทการพิมพ์ใดบ้าง</v>
      </c>
      <c r="F510" s="1" t="s">
        <v>1823</v>
      </c>
      <c r="G510" s="1" t="s">
        <v>1824</v>
      </c>
      <c r="H510" s="1" t="s">
        <v>18</v>
      </c>
    </row>
    <row r="511">
      <c r="A511" s="1">
        <v>509.0</v>
      </c>
      <c r="B511" s="1" t="s">
        <v>1180</v>
      </c>
      <c r="C511" s="1" t="s">
        <v>1825</v>
      </c>
      <c r="D511" s="1" t="s">
        <v>1826</v>
      </c>
      <c r="E511" s="2" t="str">
        <f>IFERROR(__xludf.DUMMYFUNCTION("GOOGLETRANSLATE(C511, ""en"", ""th"")"),"รหัสเฉพาะของชุดที่มีจำนวนการ์ดสูงสุดคืออะไร?")</f>
        <v>รหัสเฉพาะของชุดที่มีจำนวนการ์ดสูงสุดคืออะไร?</v>
      </c>
      <c r="F511" s="1" t="s">
        <v>1827</v>
      </c>
      <c r="G511" s="1" t="s">
        <v>1828</v>
      </c>
      <c r="H511" s="1" t="s">
        <v>13</v>
      </c>
    </row>
    <row r="512">
      <c r="A512" s="1">
        <v>510.0</v>
      </c>
      <c r="B512" s="1" t="s">
        <v>1180</v>
      </c>
      <c r="C512" s="1" t="s">
        <v>1829</v>
      </c>
      <c r="D512" s="1" t="s">
        <v>1830</v>
      </c>
      <c r="E512" s="2" t="str">
        <f>IFERROR(__xludf.DUMMYFUNCTION("GOOGLETRANSLATE(C512, ""en"", ""th"")"),"ในบรรดาการ์ดที่ไม่มีหลายหน้าในการ์ดใบเดียวกัน ใครคือผู้วาดภาพประกอบศิลปะการ์ดที่มีค่าร่ายแปลงมานาสูงที่สุด?")</f>
        <v>ในบรรดาการ์ดที่ไม่มีหลายหน้าในการ์ดใบเดียวกัน ใครคือผู้วาดภาพประกอบศิลปะการ์ดที่มีค่าร่ายแปลงมานาสูงที่สุด?</v>
      </c>
      <c r="F512" s="1" t="s">
        <v>1831</v>
      </c>
      <c r="G512" s="1" t="s">
        <v>1832</v>
      </c>
      <c r="H512" s="1" t="s">
        <v>13</v>
      </c>
    </row>
    <row r="513">
      <c r="A513" s="1">
        <v>511.0</v>
      </c>
      <c r="B513" s="1" t="s">
        <v>1180</v>
      </c>
      <c r="C513" s="1" t="s">
        <v>1833</v>
      </c>
      <c r="D513" s="1" t="s">
        <v>1834</v>
      </c>
      <c r="E513" s="2" t="str">
        <f>IFERROR(__xludf.DUMMYFUNCTION("GOOGLETRANSLATE(C513, ""en"", ""th"")"),"เอฟเฟกต์เฟรมภาพที่พบบ่อยที่สุดในบรรดาฟอยล์ที่ทรงพลังอย่างเหลือเชื่อคืออะไร?")</f>
        <v>เอฟเฟกต์เฟรมภาพที่พบบ่อยที่สุดในบรรดาฟอยล์ที่ทรงพลังอย่างเหลือเชื่อคืออะไร?</v>
      </c>
      <c r="F513" s="1" t="s">
        <v>1835</v>
      </c>
      <c r="G513" s="1" t="s">
        <v>1836</v>
      </c>
      <c r="H513" s="1" t="s">
        <v>18</v>
      </c>
    </row>
    <row r="514">
      <c r="A514" s="1">
        <v>512.0</v>
      </c>
      <c r="B514" s="1" t="s">
        <v>1180</v>
      </c>
      <c r="C514" s="1" t="s">
        <v>1837</v>
      </c>
      <c r="D514" s="1" t="s">
        <v>1838</v>
      </c>
      <c r="E514" s="2" t="str">
        <f>IFERROR(__xludf.DUMMYFUNCTION("GOOGLETRANSLATE(C514, ""en"", ""th"")"),"มีไพ่กี่ใบที่มีพลังที่ไม่รู้จักซึ่งไม่พบในฟอยล์ที่อยู่ในดวลเด็ค A?")</f>
        <v>มีไพ่กี่ใบที่มีพลังที่ไม่รู้จักซึ่งไม่พบในฟอยล์ที่อยู่ในดวลเด็ค A?</v>
      </c>
      <c r="F514" s="1" t="s">
        <v>1839</v>
      </c>
      <c r="G514" s="1" t="s">
        <v>1840</v>
      </c>
      <c r="H514" s="1" t="s">
        <v>13</v>
      </c>
    </row>
    <row r="515">
      <c r="A515" s="1">
        <v>513.0</v>
      </c>
      <c r="B515" s="1" t="s">
        <v>1180</v>
      </c>
      <c r="C515" s="1" t="s">
        <v>1841</v>
      </c>
      <c r="D515" s="1" t="s">
        <v>1842</v>
      </c>
      <c r="E515" s="2" t="str">
        <f>IFERROR(__xludf.DUMMYFUNCTION("GOOGLETRANSLATE(C515, ""en"", ""th"")"),"ในบรรดาเซ็ตที่มีประเภทส่วนขยายเป็น Commander เซ็ตใดมีจำนวนการ์ดรวมสูงสุด รวมถึงผลิตภัณฑ์ส่งเสริมการขายและผลิตภัณฑ์เสริมที่เกี่ยวข้อง แต่ไม่รวมการปรับเปลี่ยน Alchemy ระบุ ID ของชุด")</f>
        <v>ในบรรดาเซ็ตที่มีประเภทส่วนขยายเป็น Commander เซ็ตใดมีจำนวนการ์ดรวมสูงสุด รวมถึงผลิตภัณฑ์ส่งเสริมการขายและผลิตภัณฑ์เสริมที่เกี่ยวข้อง แต่ไม่รวมการปรับเปลี่ยน Alchemy ระบุ ID ของชุด</v>
      </c>
      <c r="F515" s="1" t="s">
        <v>1843</v>
      </c>
      <c r="G515" s="1" t="s">
        <v>1844</v>
      </c>
      <c r="H515" s="1" t="s">
        <v>101</v>
      </c>
    </row>
    <row r="516">
      <c r="A516" s="1">
        <v>514.0</v>
      </c>
      <c r="B516" s="1" t="s">
        <v>1180</v>
      </c>
      <c r="C516" s="1" t="s">
        <v>1845</v>
      </c>
      <c r="D516" s="1" t="s">
        <v>1846</v>
      </c>
      <c r="E516" s="2" t="str">
        <f>IFERROR(__xludf.DUMMYFUNCTION("GOOGLETRANSLATE(C516, ""en"", ""th"")"),"ในการดวล การ์ด 10 อันดับแรกที่มีค่าใช้จ่ายมานาสูงสุดที่เปิดเผยสูงสุดคืออะไร?")</f>
        <v>ในการดวล การ์ด 10 อันดับแรกที่มีค่าใช้จ่ายมานาสูงสุดที่เปิดเผยสูงสุดคืออะไร?</v>
      </c>
      <c r="F516" s="1" t="s">
        <v>1847</v>
      </c>
      <c r="G516" s="1" t="s">
        <v>1848</v>
      </c>
      <c r="H516" s="1" t="s">
        <v>13</v>
      </c>
    </row>
    <row r="517">
      <c r="A517" s="1">
        <v>515.0</v>
      </c>
      <c r="B517" s="1" t="s">
        <v>1180</v>
      </c>
      <c r="C517" s="1" t="s">
        <v>1849</v>
      </c>
      <c r="D517" s="1" t="s">
        <v>1850</v>
      </c>
      <c r="E517" s="2" t="str">
        <f>IFERROR(__xludf.DUMMYFUNCTION("GOOGLETRANSLATE(C517, ""en"", ""th"")"),"การ์ดเทพนิยายที่เก่าแก่ที่สุดออกวางจำหน่ายเมื่อใด และรูปแบบการเล่นที่ถูกกฎหมายมีอะไรบ้าง")</f>
        <v>การ์ดเทพนิยายที่เก่าแก่ที่สุดออกวางจำหน่ายเมื่อใด และรูปแบบการเล่นที่ถูกกฎหมายมีอะไรบ้าง</v>
      </c>
      <c r="F517" s="1" t="s">
        <v>1851</v>
      </c>
      <c r="G517" s="1" t="s">
        <v>1852</v>
      </c>
      <c r="H517" s="1" t="s">
        <v>18</v>
      </c>
    </row>
    <row r="518">
      <c r="A518" s="1">
        <v>516.0</v>
      </c>
      <c r="B518" s="1" t="s">
        <v>1180</v>
      </c>
      <c r="C518" s="1" t="s">
        <v>1853</v>
      </c>
      <c r="D518" s="1" t="s">
        <v>1854</v>
      </c>
      <c r="E518" s="2" t="str">
        <f>IFERROR(__xludf.DUMMYFUNCTION("GOOGLETRANSLATE(C518, ""en"", ""th"")"),"Volkan Baçµa แสดงไพ่กี่ใบที่มีภาษาต่างประเทศเป็นภาษาฝรั่งเศส")</f>
        <v>Volkan Baçµa แสดงไพ่กี่ใบที่มีภาษาต่างประเทศเป็นภาษาฝรั่งเศส</v>
      </c>
      <c r="F518" s="1" t="s">
        <v>1855</v>
      </c>
      <c r="G518" s="1" t="s">
        <v>1856</v>
      </c>
      <c r="H518" s="1" t="s">
        <v>18</v>
      </c>
    </row>
    <row r="519">
      <c r="A519" s="1">
        <v>517.0</v>
      </c>
      <c r="B519" s="1" t="s">
        <v>1180</v>
      </c>
      <c r="C519" s="1" t="s">
        <v>1857</v>
      </c>
      <c r="D519" s="1" t="s">
        <v>1858</v>
      </c>
      <c r="E519" s="2" t="str">
        <f>IFERROR(__xludf.DUMMYFUNCTION("GOOGLETRANSLATE(C519, ""en"", ""th"")"),"มีการ์ดเสริมเสน่ห์หายากกี่ใบที่มีสถานะรูปแบบการเล่นถูกกฎหมายทั้งหมด?")</f>
        <v>มีการ์ดเสริมเสน่ห์หายากกี่ใบที่มีสถานะรูปแบบการเล่นถูกกฎหมายทั้งหมด?</v>
      </c>
      <c r="F519" s="1" t="s">
        <v>1859</v>
      </c>
      <c r="G519" s="1" t="s">
        <v>1860</v>
      </c>
      <c r="H519" s="1" t="s">
        <v>18</v>
      </c>
    </row>
    <row r="520">
      <c r="A520" s="1">
        <v>518.0</v>
      </c>
      <c r="B520" s="1" t="s">
        <v>1180</v>
      </c>
      <c r="C520" s="1" t="s">
        <v>1861</v>
      </c>
      <c r="D520" s="1" t="s">
        <v>1862</v>
      </c>
      <c r="E520" s="2" t="str">
        <f>IFERROR(__xludf.DUMMYFUNCTION("GOOGLETRANSLATE(C520, ""en"", ""th"")"),"รูปแบบการเล่นใดที่มีจำนวนสถานะถูกแบนมากที่สุด? ระบุรูปแบบการเล่นและชื่อไพ่ตรงตามเงื่อนไขทั้งหมด")</f>
        <v>รูปแบบการเล่นใดที่มีจำนวนสถานะถูกแบนมากที่สุด? ระบุรูปแบบการเล่นและชื่อไพ่ตรงตามเงื่อนไขทั้งหมด</v>
      </c>
      <c r="F520" s="1" t="s">
        <v>1863</v>
      </c>
      <c r="G520" s="1" t="s">
        <v>1864</v>
      </c>
      <c r="H520" s="1" t="s">
        <v>18</v>
      </c>
    </row>
    <row r="521">
      <c r="A521" s="1">
        <v>519.0</v>
      </c>
      <c r="B521" s="1" t="s">
        <v>1180</v>
      </c>
      <c r="C521" s="1" t="s">
        <v>1865</v>
      </c>
      <c r="D521" s="1" t="s">
        <v>1866</v>
      </c>
      <c r="E521" s="2" t="str">
        <f>IFERROR(__xludf.DUMMYFUNCTION("GOOGLETRANSLATE(C521, ""en"", ""th"")"),"ชุด ""Battlebond"" ใช้ภาษาอะไร?")</f>
        <v>ชุด "Battlebond" ใช้ภาษาอะไร?</v>
      </c>
      <c r="F521" s="1" t="s">
        <v>1867</v>
      </c>
      <c r="G521" s="1" t="s">
        <v>1868</v>
      </c>
      <c r="H521" s="1" t="s">
        <v>13</v>
      </c>
    </row>
    <row r="522">
      <c r="A522" s="1">
        <v>520.0</v>
      </c>
      <c r="B522" s="1" t="s">
        <v>1180</v>
      </c>
      <c r="C522" s="1" t="s">
        <v>1869</v>
      </c>
      <c r="D522" s="1" t="s">
        <v>1870</v>
      </c>
      <c r="E522" s="2" t="str">
        <f>IFERROR(__xludf.DUMMYFUNCTION("GOOGLETRANSLATE(C522, ""en"", ""th"")"),"ใครคือนักวาดภาพประกอบที่แสดงการ์ดได้น้อยที่สุด? ระบุรูปแบบการเล่นไพ่ที่เขา/เธอแสดงให้เห็น")</f>
        <v>ใครคือนักวาดภาพประกอบที่แสดงการ์ดได้น้อยที่สุด? ระบุรูปแบบการเล่นไพ่ที่เขา/เธอแสดงให้เห็น</v>
      </c>
      <c r="F522" s="1" t="s">
        <v>1871</v>
      </c>
      <c r="G522" s="1" t="s">
        <v>1872</v>
      </c>
      <c r="H522" s="1" t="s">
        <v>18</v>
      </c>
    </row>
    <row r="523">
      <c r="A523" s="1">
        <v>521.0</v>
      </c>
      <c r="B523" s="1" t="s">
        <v>1180</v>
      </c>
      <c r="C523" s="1" t="s">
        <v>1873</v>
      </c>
      <c r="D523" s="1" t="s">
        <v>1874</v>
      </c>
      <c r="E523" s="2" t="str">
        <f>IFERROR(__xludf.DUMMYFUNCTION("GOOGLETRANSLATE(C523, ""en"", ""th"")"),"ในบรรดาการ์ดที่มีรูปแบบเฟรมเวอร์ชันปี 1997 สถานะของการ์ดที่แสดงโดย D. Alexander Gregory ในรูปแบบการเล่นแบบเดิมที่มีเนื้อหาละเอียดอ่อนหรือ Wizards of the Coast คืออะไร")</f>
        <v>ในบรรดาการ์ดที่มีรูปแบบเฟรมเวอร์ชันปี 1997 สถานะของการ์ดที่แสดงโดย D. Alexander Gregory ในรูปแบบการเล่นแบบเดิมที่มีเนื้อหาละเอียดอ่อนหรือ Wizards of the Coast คืออะไร</v>
      </c>
      <c r="F523" s="1" t="s">
        <v>1875</v>
      </c>
      <c r="G523" s="1" t="s">
        <v>1876</v>
      </c>
      <c r="H523" s="1" t="s">
        <v>101</v>
      </c>
    </row>
    <row r="524">
      <c r="A524" s="1">
        <v>522.0</v>
      </c>
      <c r="B524" s="1" t="s">
        <v>1180</v>
      </c>
      <c r="C524" s="1" t="s">
        <v>1877</v>
      </c>
      <c r="D524" s="1" t="s">
        <v>1878</v>
      </c>
      <c r="E524" s="2" t="str">
        <f>IFERROR(__xludf.DUMMYFUNCTION("GOOGLETRANSLATE(C524, ""en"", ""th"")"),"การ์ดใดที่อยู่ในอันดับที่ 1 ใน EDHRec ระบุชื่อการ์ดทั้งหมดและรูปแบบการเล่นที่ถูกแบน")</f>
        <v>การ์ดใดที่อยู่ในอันดับที่ 1 ใน EDHRec ระบุชื่อการ์ดทั้งหมดและรูปแบบการเล่นที่ถูกแบน</v>
      </c>
      <c r="F524" s="1" t="s">
        <v>1879</v>
      </c>
      <c r="G524" s="1" t="s">
        <v>1880</v>
      </c>
      <c r="H524" s="1" t="s">
        <v>18</v>
      </c>
    </row>
    <row r="525">
      <c r="A525" s="1">
        <v>523.0</v>
      </c>
      <c r="B525" s="1" t="s">
        <v>1180</v>
      </c>
      <c r="C525" s="1" t="s">
        <v>1881</v>
      </c>
      <c r="D525" s="1" t="s">
        <v>1882</v>
      </c>
      <c r="E525" s="2" t="str">
        <f>IFERROR(__xludf.DUMMYFUNCTION("GOOGLETRANSLATE(C525, ""en"", ""th"")"),"จำนวนชุดโดยเฉลี่ยต่อปีที่วางจำหน่ายระหว่างวันที่ 1/1/2555 ถึง 31/12/2558 คือเท่าใด ระบุภาษาทั่วไปของการ์ด")</f>
        <v>จำนวนชุดโดยเฉลี่ยต่อปีที่วางจำหน่ายระหว่างวันที่ 1/1/2555 ถึง 31/12/2558 คือเท่าใด ระบุภาษาทั่วไปของการ์ด</v>
      </c>
      <c r="F525" s="1" t="s">
        <v>1883</v>
      </c>
      <c r="G525" s="1" t="s">
        <v>1884</v>
      </c>
      <c r="H525" s="1" t="s">
        <v>101</v>
      </c>
    </row>
    <row r="526">
      <c r="A526" s="1">
        <v>524.0</v>
      </c>
      <c r="B526" s="1" t="s">
        <v>1180</v>
      </c>
      <c r="C526" s="1" t="s">
        <v>1885</v>
      </c>
      <c r="D526" s="1" t="s">
        <v>1886</v>
      </c>
      <c r="E526" s="2" t="str">
        <f>IFERROR(__xludf.DUMMYFUNCTION("GOOGLETRANSLATE(C526, ""en"", ""th"")"),"รายชื่อศิลปินที่แสดงการ์ดที่มีขอบสีดำซึ่งมีเฉพาะในอารีน่าเท่านั้น")</f>
        <v>รายชื่อศิลปินที่แสดงการ์ดที่มีขอบสีดำซึ่งมีเฉพาะในอารีน่าเท่านั้น</v>
      </c>
      <c r="F526" s="1" t="s">
        <v>1887</v>
      </c>
      <c r="G526" s="1" t="s">
        <v>1888</v>
      </c>
      <c r="H526" s="1" t="s">
        <v>13</v>
      </c>
    </row>
    <row r="527">
      <c r="A527" s="1">
        <v>525.0</v>
      </c>
      <c r="B527" s="1" t="s">
        <v>1180</v>
      </c>
      <c r="C527" s="1" t="s">
        <v>1889</v>
      </c>
      <c r="D527" s="1" t="s">
        <v>1890</v>
      </c>
      <c r="E527" s="2" t="str">
        <f>IFERROR(__xludf.DUMMYFUNCTION("GOOGLETRANSLATE(C527, ""en"", ""th"")"),"ค้นหา uuid ของการ์ดที่มีการจำกัดหรือแบนรูปแบบโรงเรียนเก่า")</f>
        <v>ค้นหา uuid ของการ์ดที่มีการจำกัดหรือแบนรูปแบบโรงเรียนเก่า</v>
      </c>
      <c r="F527" s="1" t="s">
        <v>1891</v>
      </c>
      <c r="G527" s="1" t="s">
        <v>1892</v>
      </c>
      <c r="H527" s="1" t="s">
        <v>13</v>
      </c>
    </row>
    <row r="528">
      <c r="A528" s="1">
        <v>526.0</v>
      </c>
      <c r="B528" s="1" t="s">
        <v>1180</v>
      </c>
      <c r="C528" s="1" t="s">
        <v>1893</v>
      </c>
      <c r="D528" s="1" t="s">
        <v>1894</v>
      </c>
      <c r="E528" s="2" t="str">
        <f>IFERROR(__xludf.DUMMYFUNCTION("GOOGLETRANSLATE(C528, ""en"", ""th"")"),"ในบรรดาการ์ดที่ออกแบบโดย Matthew D. Wilson มีกี่การ์ดที่มีเฉพาะในกระดาษ?")</f>
        <v>ในบรรดาการ์ดที่ออกแบบโดย Matthew D. Wilson มีกี่การ์ดที่มีเฉพาะในกระดาษ?</v>
      </c>
      <c r="F528" s="1" t="s">
        <v>1895</v>
      </c>
      <c r="G528" s="1" t="s">
        <v>1896</v>
      </c>
      <c r="H528" s="1" t="s">
        <v>13</v>
      </c>
    </row>
    <row r="529">
      <c r="A529" s="1">
        <v>527.0</v>
      </c>
      <c r="B529" s="1" t="s">
        <v>1180</v>
      </c>
      <c r="C529" s="1" t="s">
        <v>1897</v>
      </c>
      <c r="D529" s="1" t="s">
        <v>1898</v>
      </c>
      <c r="E529" s="2" t="str">
        <f>IFERROR(__xludf.DUMMYFUNCTION("GOOGLETRANSLATE(C529, ""en"", ""th"")"),"อะไรคือผลตัดสินของการ์ดที่ตั้งชื่อและออกแบบโดย Kev Walker? แสดงรายการตามลำดับวันที่จากมากไปหาน้อย")</f>
        <v>อะไรคือผลตัดสินของการ์ดที่ตั้งชื่อและออกแบบโดย Kev Walker? แสดงรายการตามลำดับวันที่จากมากไปหาน้อย</v>
      </c>
      <c r="F529" s="1" t="s">
        <v>1899</v>
      </c>
      <c r="G529" s="1" t="s">
        <v>1900</v>
      </c>
      <c r="H529" s="1" t="s">
        <v>18</v>
      </c>
    </row>
    <row r="530">
      <c r="A530" s="1">
        <v>528.0</v>
      </c>
      <c r="B530" s="1" t="s">
        <v>1180</v>
      </c>
      <c r="C530" s="1" t="s">
        <v>1901</v>
      </c>
      <c r="D530" s="1" t="s">
        <v>1902</v>
      </c>
      <c r="E530" s="2" t="str">
        <f>IFERROR(__xludf.DUMMYFUNCTION("GOOGLETRANSLATE(C530, ""en"", ""th"")"),"ระบุชื่อของการ์ดทั้งหมดใน Hour of Devastation ที่ตั้งไว้ และค้นหารูปแบบที่การ์ดเหล่านี้ถูกกฎหมาย")</f>
        <v>ระบุชื่อของการ์ดทั้งหมดใน Hour of Devastation ที่ตั้งไว้ และค้นหารูปแบบที่การ์ดเหล่านี้ถูกกฎหมาย</v>
      </c>
      <c r="F530" s="1" t="s">
        <v>1903</v>
      </c>
      <c r="G530" s="1" t="s">
        <v>1904</v>
      </c>
      <c r="H530" s="1" t="s">
        <v>101</v>
      </c>
    </row>
    <row r="531">
      <c r="A531" s="1">
        <v>529.0</v>
      </c>
      <c r="B531" s="1" t="s">
        <v>1180</v>
      </c>
      <c r="C531" s="1" t="s">
        <v>1905</v>
      </c>
      <c r="D531" s="1" t="s">
        <v>1906</v>
      </c>
      <c r="E531" s="2" t="str">
        <f>IFERROR(__xludf.DUMMYFUNCTION("GOOGLETRANSLATE(C531, ""en"", ""th"")"),"ค้นหาและแสดงรายการชื่อชุดที่ไม่มีคำแปลภาษาญี่ปุ่นแต่มีคำแปลภาษาเกาหลี")</f>
        <v>ค้นหาและแสดงรายการชื่อชุดที่ไม่มีคำแปลภาษาญี่ปุ่นแต่มีคำแปลภาษาเกาหลี</v>
      </c>
      <c r="F531" s="1" t="s">
        <v>1907</v>
      </c>
      <c r="G531" s="1" t="s">
        <v>1908</v>
      </c>
      <c r="H531" s="1" t="s">
        <v>18</v>
      </c>
    </row>
    <row r="532">
      <c r="A532" s="1">
        <v>530.0</v>
      </c>
      <c r="B532" s="1" t="s">
        <v>1180</v>
      </c>
      <c r="C532" s="1" t="s">
        <v>1909</v>
      </c>
      <c r="D532" s="1" t="s">
        <v>1910</v>
      </c>
      <c r="E532" s="2" t="str">
        <f>IFERROR(__xludf.DUMMYFUNCTION("GOOGLETRANSLATE(C532, ""en"", ""th"")"),"ระบุรูปแบบเฟรมและการ์ดทั้งหมดที่ Allen Williams ทำงาน และค้นหาการ์ดที่ถูกแบนหากมี")</f>
        <v>ระบุรูปแบบเฟรมและการ์ดทั้งหมดที่ Allen Williams ทำงาน และค้นหาการ์ดที่ถูกแบนหากมี</v>
      </c>
      <c r="F532" s="1" t="s">
        <v>1911</v>
      </c>
      <c r="G532" s="1" t="s">
        <v>1912</v>
      </c>
      <c r="H532" s="1" t="s">
        <v>18</v>
      </c>
    </row>
    <row r="533">
      <c r="A533" s="1">
        <v>531.0</v>
      </c>
      <c r="B533" s="1" t="s">
        <v>1913</v>
      </c>
      <c r="C533" s="1" t="s">
        <v>1914</v>
      </c>
      <c r="D533" s="1" t="s">
        <v>1915</v>
      </c>
      <c r="E533" s="2" t="str">
        <f>IFERROR(__xludf.DUMMYFUNCTION("GOOGLETRANSLATE(C533, ""en"", ""th"")"),"ผู้ใช้คนไหนที่มีชื่อเสียงมากกว่า Harlan หรือ Jarrod Dixon?")</f>
        <v>ผู้ใช้คนไหนที่มีชื่อเสียงมากกว่า Harlan หรือ Jarrod Dixon?</v>
      </c>
      <c r="F533" s="1" t="s">
        <v>1916</v>
      </c>
      <c r="G533" s="1" t="s">
        <v>1917</v>
      </c>
      <c r="H533" s="1" t="s">
        <v>13</v>
      </c>
    </row>
    <row r="534">
      <c r="A534" s="1">
        <v>532.0</v>
      </c>
      <c r="B534" s="1" t="s">
        <v>1913</v>
      </c>
      <c r="C534" s="1" t="s">
        <v>1918</v>
      </c>
      <c r="D534" s="1" t="s">
        <v>1919</v>
      </c>
      <c r="E534" s="2" t="str">
        <f>IFERROR(__xludf.DUMMYFUNCTION("GOOGLETRANSLATE(C534, ""en"", ""th"")"),"โปรดระบุชื่อที่แสดงของผู้ใช้ทั้งหมดที่มีบัญชีถูกสร้างขึ้นในปี 2011")</f>
        <v>โปรดระบุชื่อที่แสดงของผู้ใช้ทั้งหมดที่มีบัญชีถูกสร้างขึ้นในปี 2011</v>
      </c>
      <c r="F534" s="1" t="s">
        <v>1920</v>
      </c>
      <c r="G534" s="1" t="s">
        <v>1921</v>
      </c>
      <c r="H534" s="1" t="s">
        <v>13</v>
      </c>
    </row>
    <row r="535">
      <c r="A535" s="1">
        <v>533.0</v>
      </c>
      <c r="B535" s="1" t="s">
        <v>1913</v>
      </c>
      <c r="C535" s="1" t="s">
        <v>1922</v>
      </c>
      <c r="D535" s="1" t="s">
        <v>1923</v>
      </c>
      <c r="E535" s="2" t="str">
        <f>IFERROR(__xludf.DUMMYFUNCTION("GOOGLETRANSLATE(C535, ""en"", ""th"")"),"มีผู้ใช้กี่คนที่เข้าถึงเว็บไซต์ครั้งล่าสุดหลังวันที่ 1 กันยายน 2557")</f>
        <v>มีผู้ใช้กี่คนที่เข้าถึงเว็บไซต์ครั้งล่าสุดหลังวันที่ 1 กันยายน 2557</v>
      </c>
      <c r="F535" s="1" t="s">
        <v>1924</v>
      </c>
      <c r="G535" s="1" t="s">
        <v>1925</v>
      </c>
      <c r="H535" s="1" t="s">
        <v>13</v>
      </c>
    </row>
    <row r="536">
      <c r="A536" s="1">
        <v>534.0</v>
      </c>
      <c r="B536" s="1" t="s">
        <v>1913</v>
      </c>
      <c r="C536" s="1" t="s">
        <v>1926</v>
      </c>
      <c r="D536" s="1" t="s">
        <v>1927</v>
      </c>
      <c r="E536" s="2" t="str">
        <f>IFERROR(__xludf.DUMMYFUNCTION("GOOGLETRANSLATE(C536, ""en"", ""th"")"),"ชื่อที่แสดงของผู้ใช้ที่มีจำนวนการดูมากที่สุดคืออะไร?")</f>
        <v>ชื่อที่แสดงของผู้ใช้ที่มีจำนวนการดูมากที่สุดคืออะไร?</v>
      </c>
      <c r="F536" s="1" t="s">
        <v>1928</v>
      </c>
      <c r="G536" s="1" t="s">
        <v>1929</v>
      </c>
      <c r="H536" s="1" t="s">
        <v>13</v>
      </c>
    </row>
    <row r="537">
      <c r="A537" s="1">
        <v>535.0</v>
      </c>
      <c r="B537" s="1" t="s">
        <v>1913</v>
      </c>
      <c r="C537" s="1" t="s">
        <v>1930</v>
      </c>
      <c r="D537" s="1" t="s">
        <v>1931</v>
      </c>
      <c r="E537" s="2" t="str">
        <f>IFERROR(__xludf.DUMMYFUNCTION("GOOGLETRANSLATE(C537, ""en"", ""th"")"),"ในบรรดาผู้ใช้ที่มีการโหวตเห็นด้วยมากกว่า 100 ครั้ง มีกี่คนที่โหวตเห็นด้วยมากกว่า 1 ครั้ง?")</f>
        <v>ในบรรดาผู้ใช้ที่มีการโหวตเห็นด้วยมากกว่า 100 ครั้ง มีกี่คนที่โหวตเห็นด้วยมากกว่า 1 ครั้ง?</v>
      </c>
      <c r="F537" s="1" t="s">
        <v>1932</v>
      </c>
      <c r="G537" s="1" t="s">
        <v>1933</v>
      </c>
      <c r="H537" s="1" t="s">
        <v>13</v>
      </c>
    </row>
    <row r="538">
      <c r="A538" s="1">
        <v>536.0</v>
      </c>
      <c r="B538" s="1" t="s">
        <v>1913</v>
      </c>
      <c r="C538" s="1" t="s">
        <v>1934</v>
      </c>
      <c r="D538" s="1" t="s">
        <v>1935</v>
      </c>
      <c r="E538" s="2" t="str">
        <f>IFERROR(__xludf.DUMMYFUNCTION("GOOGLETRANSLATE(C538, ""en"", ""th"")"),"มีผู้ใช้จำนวนเท่าใดที่มีการดูมากกว่า 10 ครั้งที่สร้างบัญชีของตนหลังปี 2013")</f>
        <v>มีผู้ใช้จำนวนเท่าใดที่มีการดูมากกว่า 10 ครั้งที่สร้างบัญชีของตนหลังปี 2013</v>
      </c>
      <c r="F538" s="1" t="s">
        <v>1936</v>
      </c>
      <c r="G538" s="1" t="s">
        <v>1937</v>
      </c>
      <c r="H538" s="1" t="s">
        <v>13</v>
      </c>
    </row>
    <row r="539">
      <c r="A539" s="1">
        <v>537.0</v>
      </c>
      <c r="B539" s="1" t="s">
        <v>1913</v>
      </c>
      <c r="C539" s="1" t="s">
        <v>1938</v>
      </c>
      <c r="D539" s="1" t="s">
        <v>1939</v>
      </c>
      <c r="E539" s="2" t="str">
        <f>IFERROR(__xludf.DUMMYFUNCTION("GOOGLETRANSLATE(C539, ""en"", ""th"")"),"ผู้ใช้ csgillespie เป็นเจ้าของโพสต์จำนวนเท่าใด")</f>
        <v>ผู้ใช้ csgillespie เป็นเจ้าของโพสต์จำนวนเท่าใด</v>
      </c>
      <c r="F539" s="1" t="s">
        <v>1940</v>
      </c>
      <c r="G539" s="1" t="s">
        <v>1941</v>
      </c>
      <c r="H539" s="1" t="s">
        <v>13</v>
      </c>
    </row>
    <row r="540">
      <c r="A540" s="1">
        <v>538.0</v>
      </c>
      <c r="B540" s="1" t="s">
        <v>1913</v>
      </c>
      <c r="C540" s="1" t="s">
        <v>1942</v>
      </c>
      <c r="D540" s="1" t="s">
        <v>1939</v>
      </c>
      <c r="E540" s="2" t="str">
        <f>IFERROR(__xludf.DUMMYFUNCTION("GOOGLETRANSLATE(C540, ""en"", ""th"")"),"กรุณาระบุชื่อของโพสต์ที่เป็นของผู้ใช้ csgillespie?")</f>
        <v>กรุณาระบุชื่อของโพสต์ที่เป็นของผู้ใช้ csgillespie?</v>
      </c>
      <c r="F540" s="1" t="s">
        <v>1940</v>
      </c>
      <c r="G540" s="1" t="s">
        <v>1943</v>
      </c>
      <c r="H540" s="1" t="s">
        <v>13</v>
      </c>
    </row>
    <row r="541">
      <c r="A541" s="1">
        <v>539.0</v>
      </c>
      <c r="B541" s="1" t="s">
        <v>1913</v>
      </c>
      <c r="C541" s="1" t="s">
        <v>1944</v>
      </c>
      <c r="D541" s="1" t="s">
        <v>1945</v>
      </c>
      <c r="E541" s="2" t="str">
        <f>IFERROR(__xludf.DUMMYFUNCTION("GOOGLETRANSLATE(C541, ""en"", ""th"")"),"ใครคือเจ้าของโพสต์ ""เชิญชวนนักบวชจากผู้เชี่ยวชาญ""?")</f>
        <v>ใครคือเจ้าของโพสต์ "เชิญชวนนักบวชจากผู้เชี่ยวชาญ"?</v>
      </c>
      <c r="F541" s="1" t="s">
        <v>1946</v>
      </c>
      <c r="G541" s="1" t="s">
        <v>1947</v>
      </c>
      <c r="H541" s="1" t="s">
        <v>13</v>
      </c>
    </row>
    <row r="542">
      <c r="A542" s="1">
        <v>540.0</v>
      </c>
      <c r="B542" s="1" t="s">
        <v>1913</v>
      </c>
      <c r="C542" s="1" t="s">
        <v>1948</v>
      </c>
      <c r="D542" s="1" t="s">
        <v>1949</v>
      </c>
      <c r="E542" s="2" t="str">
        <f>IFERROR(__xludf.DUMMYFUNCTION("GOOGLETRANSLATE(C542, ""en"", ""th"")"),"ชื่อของโพสต์ที่ csgillespie เป็นเจ้าของและได้รับความนิยมสูงสุดคืออะไร?")</f>
        <v>ชื่อของโพสต์ที่ csgillespie เป็นเจ้าของและได้รับความนิยมสูงสุดคืออะไร?</v>
      </c>
      <c r="F542" s="1" t="s">
        <v>1950</v>
      </c>
      <c r="G542" s="1" t="s">
        <v>1951</v>
      </c>
      <c r="H542" s="1" t="s">
        <v>13</v>
      </c>
    </row>
    <row r="543">
      <c r="A543" s="1">
        <v>541.0</v>
      </c>
      <c r="B543" s="1" t="s">
        <v>1913</v>
      </c>
      <c r="C543" s="1" t="s">
        <v>1952</v>
      </c>
      <c r="D543" s="1" t="s">
        <v>1953</v>
      </c>
      <c r="E543" s="2" t="str">
        <f>IFERROR(__xludf.DUMMYFUNCTION("GOOGLETRANSLATE(C543, ""en"", ""th"")"),"ชื่อที่แสดงของผู้ใช้ซึ่งเป็นเจ้าของโพสต์ที่มีค่าที่สุดคืออะไร?")</f>
        <v>ชื่อที่แสดงของผู้ใช้ซึ่งเป็นเจ้าของโพสต์ที่มีค่าที่สุดคืออะไร?</v>
      </c>
      <c r="F543" s="1" t="s">
        <v>1954</v>
      </c>
      <c r="G543" s="1" t="s">
        <v>1955</v>
      </c>
      <c r="H543" s="1" t="s">
        <v>13</v>
      </c>
    </row>
    <row r="544">
      <c r="A544" s="1">
        <v>542.0</v>
      </c>
      <c r="B544" s="1" t="s">
        <v>1913</v>
      </c>
      <c r="C544" s="1" t="s">
        <v>1956</v>
      </c>
      <c r="D544" s="1" t="s">
        <v>1957</v>
      </c>
      <c r="E544" s="2" t="str">
        <f>IFERROR(__xludf.DUMMYFUNCTION("GOOGLETRANSLATE(C544, ""en"", ""th"")"),"จำนวนความคิดเห็นทั้งหมดของโพสต์ทั้งหมดที่ csgillespie เป็นเจ้าของคือเท่าใด")</f>
        <v>จำนวนความคิดเห็นทั้งหมดของโพสต์ทั้งหมดที่ csgillespie เป็นเจ้าของคือเท่าใด</v>
      </c>
      <c r="F544" s="1" t="s">
        <v>1958</v>
      </c>
      <c r="G544" s="1" t="s">
        <v>1959</v>
      </c>
      <c r="H544" s="1" t="s">
        <v>13</v>
      </c>
    </row>
    <row r="545">
      <c r="A545" s="1">
        <v>543.0</v>
      </c>
      <c r="B545" s="1" t="s">
        <v>1913</v>
      </c>
      <c r="C545" s="1" t="s">
        <v>1960</v>
      </c>
      <c r="D545" s="1" t="s">
        <v>1961</v>
      </c>
      <c r="E545" s="2" t="str">
        <f>IFERROR(__xludf.DUMMYFUNCTION("GOOGLETRANSLATE(C545, ""en"", ""th"")"),"สำหรับโพสต์ที่มีคนตอบ csgillespie เยอะที่สุด ได้กี่คำตอบคะ?")</f>
        <v>สำหรับโพสต์ที่มีคนตอบ csgillespie เยอะที่สุด ได้กี่คำตอบคะ?</v>
      </c>
      <c r="F545" s="1" t="s">
        <v>1962</v>
      </c>
      <c r="G545" s="1" t="s">
        <v>1963</v>
      </c>
      <c r="H545" s="1" t="s">
        <v>13</v>
      </c>
    </row>
    <row r="546">
      <c r="A546" s="1">
        <v>544.0</v>
      </c>
      <c r="B546" s="1" t="s">
        <v>1913</v>
      </c>
      <c r="C546" s="1" t="s">
        <v>1964</v>
      </c>
      <c r="D546" s="1" t="s">
        <v>1965</v>
      </c>
      <c r="E546" s="2" t="str">
        <f>IFERROR(__xludf.DUMMYFUNCTION("GOOGLETRANSLATE(C546, ""en"", ""th"")"),"ชื่อที่แสดงของผู้ใช้ที่แก้ไขโพสต์ครั้งล่าสุด ""ตัวอย่างการสอน: ความสัมพันธ์ไม่ได้หมายถึงสาเหตุ"" คืออะไร?")</f>
        <v>ชื่อที่แสดงของผู้ใช้ที่แก้ไขโพสต์ครั้งล่าสุด "ตัวอย่างการสอน: ความสัมพันธ์ไม่ได้หมายถึงสาเหตุ" คืออะไร?</v>
      </c>
      <c r="F546" s="1" t="s">
        <v>1966</v>
      </c>
      <c r="G546" s="1" t="s">
        <v>1967</v>
      </c>
      <c r="H546" s="1" t="s">
        <v>18</v>
      </c>
    </row>
    <row r="547">
      <c r="A547" s="1">
        <v>545.0</v>
      </c>
      <c r="B547" s="1" t="s">
        <v>1913</v>
      </c>
      <c r="C547" s="1" t="s">
        <v>1968</v>
      </c>
      <c r="D547" s="1" t="s">
        <v>1969</v>
      </c>
      <c r="E547" s="2" t="str">
        <f>IFERROR(__xludf.DUMMYFUNCTION("GOOGLETRANSLATE(C547, ""en"", ""th"")"),"ในบรรดาโพสต์ที่ csgillespie เป็นเจ้าของ มีกี่โพสต์ที่เป็นรูท?")</f>
        <v>ในบรรดาโพสต์ที่ csgillespie เป็นเจ้าของ มีกี่โพสต์ที่เป็นรูท?</v>
      </c>
      <c r="F547" s="1" t="s">
        <v>1970</v>
      </c>
      <c r="G547" s="1" t="s">
        <v>1971</v>
      </c>
      <c r="H547" s="1" t="s">
        <v>13</v>
      </c>
    </row>
    <row r="548">
      <c r="A548" s="1">
        <v>546.0</v>
      </c>
      <c r="B548" s="1" t="s">
        <v>1913</v>
      </c>
      <c r="C548" s="1" t="s">
        <v>1972</v>
      </c>
      <c r="D548" s="1" t="s">
        <v>1973</v>
      </c>
      <c r="E548" s="2" t="str">
        <f>IFERROR(__xludf.DUMMYFUNCTION("GOOGLETRANSLATE(C548, ""en"", ""th"")"),"โปรดระบุชื่อที่แสดงของผู้ใช้ทั้งหมดที่เป็นเจ้าของโพสต์ที่เสร็จสมบูรณ์แล้ว")</f>
        <v>โปรดระบุชื่อที่แสดงของผู้ใช้ทั้งหมดที่เป็นเจ้าของโพสต์ที่เสร็จสมบูรณ์แล้ว</v>
      </c>
      <c r="F548" s="1" t="s">
        <v>1974</v>
      </c>
      <c r="G548" s="1" t="s">
        <v>1975</v>
      </c>
      <c r="H548" s="1" t="s">
        <v>13</v>
      </c>
    </row>
    <row r="549">
      <c r="A549" s="1">
        <v>547.0</v>
      </c>
      <c r="B549" s="1" t="s">
        <v>1913</v>
      </c>
      <c r="C549" s="1" t="s">
        <v>1976</v>
      </c>
      <c r="D549" s="1" t="s">
        <v>1977</v>
      </c>
      <c r="E549" s="2" t="str">
        <f>IFERROR(__xludf.DUMMYFUNCTION("GOOGLETRANSLATE(C549, ""en"", ""th"")"),"ในบรรดาโพสต์ที่เป็นของผู้ใช้รุ่นเก่า มีกี่โพสต์ที่มีคะแนนเกิน 19?")</f>
        <v>ในบรรดาโพสต์ที่เป็นของผู้ใช้รุ่นเก่า มีกี่โพสต์ที่มีคะแนนเกิน 19?</v>
      </c>
      <c r="F549" s="1" t="s">
        <v>1978</v>
      </c>
      <c r="G549" s="1" t="s">
        <v>1979</v>
      </c>
      <c r="H549" s="1" t="s">
        <v>13</v>
      </c>
    </row>
    <row r="550">
      <c r="A550" s="1">
        <v>548.0</v>
      </c>
      <c r="B550" s="1" t="s">
        <v>1913</v>
      </c>
      <c r="C550" s="1" t="s">
        <v>1980</v>
      </c>
      <c r="D550" s="1" t="s">
        <v>1981</v>
      </c>
      <c r="E550" s="2" t="str">
        <f>IFERROR(__xludf.DUMMYFUNCTION("GOOGLETRANSLATE(C550, ""en"", ""th"")"),"เจ้าของกระทู้ ""เชิญชวนนักบวชจากผู้เชี่ยวชาญ"" อยู่ที่ไหน?")</f>
        <v>เจ้าของกระทู้ "เชิญชวนนักบวชจากผู้เชี่ยวชาญ" อยู่ที่ไหน?</v>
      </c>
      <c r="F550" s="1" t="s">
        <v>1982</v>
      </c>
      <c r="G550" s="1" t="s">
        <v>1983</v>
      </c>
      <c r="H550" s="1" t="s">
        <v>13</v>
      </c>
    </row>
    <row r="551">
      <c r="A551" s="1">
        <v>549.0</v>
      </c>
      <c r="B551" s="1" t="s">
        <v>1913</v>
      </c>
      <c r="C551" s="1" t="s">
        <v>1984</v>
      </c>
      <c r="D551" s="1" t="s">
        <v>1985</v>
      </c>
      <c r="E551" s="2" t="str">
        <f>IFERROR(__xludf.DUMMYFUNCTION("GOOGLETRANSLATE(C551, ""en"", ""th"")"),"แท็ก ""bayesian"" คัดลอกมาจากโพสต์ใด กรุณาให้เนื้อหาของโพสต์")</f>
        <v>แท็ก "bayesian" คัดลอกมาจากโพสต์ใด กรุณาให้เนื้อหาของโพสต์</v>
      </c>
      <c r="F551" s="1" t="s">
        <v>1986</v>
      </c>
      <c r="G551" s="1" t="s">
        <v>1987</v>
      </c>
      <c r="H551" s="1" t="s">
        <v>13</v>
      </c>
    </row>
    <row r="552">
      <c r="A552" s="1">
        <v>550.0</v>
      </c>
      <c r="B552" s="1" t="s">
        <v>1913</v>
      </c>
      <c r="C552" s="1" t="s">
        <v>1988</v>
      </c>
      <c r="D552" s="1" t="s">
        <v>1989</v>
      </c>
      <c r="E552" s="2" t="str">
        <f>IFERROR(__xludf.DUMMYFUNCTION("GOOGLETRANSLATE(C552, ""en"", ""th"")"),"แท็กที่ได้รับความนิยมมากที่สุดคัดลอกมาจากโพสต์ใด? กรุณาให้เนื้อหาของโพสต์")</f>
        <v>แท็กที่ได้รับความนิยมมากที่สุดคัดลอกมาจากโพสต์ใด? กรุณาให้เนื้อหาของโพสต์</v>
      </c>
      <c r="F552" s="1" t="s">
        <v>1990</v>
      </c>
      <c r="G552" s="1" t="s">
        <v>1991</v>
      </c>
      <c r="H552" s="1" t="s">
        <v>13</v>
      </c>
    </row>
    <row r="553">
      <c r="A553" s="1">
        <v>551.0</v>
      </c>
      <c r="B553" s="1" t="s">
        <v>1913</v>
      </c>
      <c r="C553" s="1" t="s">
        <v>1992</v>
      </c>
      <c r="D553" s="1" t="s">
        <v>1939</v>
      </c>
      <c r="E553" s="2" t="str">
        <f>IFERROR(__xludf.DUMMYFUNCTION("GOOGLETRANSLATE(C553, ""en"", ""th"")"),"ผู้ใช้ csgillespie ได้รับตรากี่เหรียญ?")</f>
        <v>ผู้ใช้ csgillespie ได้รับตรากี่เหรียญ?</v>
      </c>
      <c r="F553" s="1" t="s">
        <v>1940</v>
      </c>
      <c r="G553" s="1" t="s">
        <v>1993</v>
      </c>
      <c r="H553" s="1" t="s">
        <v>13</v>
      </c>
    </row>
    <row r="554">
      <c r="A554" s="1">
        <v>552.0</v>
      </c>
      <c r="B554" s="1" t="s">
        <v>1913</v>
      </c>
      <c r="C554" s="1" t="s">
        <v>1994</v>
      </c>
      <c r="D554" s="1" t="s">
        <v>1939</v>
      </c>
      <c r="E554" s="2" t="str">
        <f>IFERROR(__xludf.DUMMYFUNCTION("GOOGLETRANSLATE(C554, ""en"", ""th"")"),"กรุณาระบุชื่อเหรียญตราที่ได้รับจาก csgillespie")</f>
        <v>กรุณาระบุชื่อเหรียญตราที่ได้รับจาก csgillespie</v>
      </c>
      <c r="F554" s="1" t="s">
        <v>1940</v>
      </c>
      <c r="G554" s="1" t="s">
        <v>1995</v>
      </c>
      <c r="H554" s="1" t="s">
        <v>13</v>
      </c>
    </row>
    <row r="555">
      <c r="A555" s="1">
        <v>553.0</v>
      </c>
      <c r="B555" s="1" t="s">
        <v>1913</v>
      </c>
      <c r="C555" s="1" t="s">
        <v>1996</v>
      </c>
      <c r="D555" s="1" t="s">
        <v>1997</v>
      </c>
      <c r="E555" s="2" t="str">
        <f>IFERROR(__xludf.DUMMYFUNCTION("GOOGLETRANSLATE(C555, ""en"", ""th"")"),"ในบรรดาเหรียญตราที่ csgillespie ได้รับ ในปี 2554 มีกี่เหรียญ?")</f>
        <v>ในบรรดาเหรียญตราที่ csgillespie ได้รับ ในปี 2554 มีกี่เหรียญ?</v>
      </c>
      <c r="F555" s="1" t="s">
        <v>1998</v>
      </c>
      <c r="G555" s="1" t="s">
        <v>1999</v>
      </c>
      <c r="H555" s="1" t="s">
        <v>13</v>
      </c>
    </row>
    <row r="556">
      <c r="A556" s="1">
        <v>554.0</v>
      </c>
      <c r="B556" s="1" t="s">
        <v>1913</v>
      </c>
      <c r="C556" s="1" t="s">
        <v>2000</v>
      </c>
      <c r="D556" s="1" t="s">
        <v>2001</v>
      </c>
      <c r="E556" s="2" t="str">
        <f>IFERROR(__xludf.DUMMYFUNCTION("GOOGLETRANSLATE(C556, ""en"", ""th"")"),"ชื่อที่แสดงของผู้ใช้ที่ได้รับตราสัญลักษณ์มากที่สุดคืออะไร?")</f>
        <v>ชื่อที่แสดงของผู้ใช้ที่ได้รับตราสัญลักษณ์มากที่สุดคืออะไร?</v>
      </c>
      <c r="F556" s="1" t="s">
        <v>2002</v>
      </c>
      <c r="G556" s="1" t="s">
        <v>2003</v>
      </c>
      <c r="H556" s="1" t="s">
        <v>13</v>
      </c>
    </row>
    <row r="557">
      <c r="A557" s="1">
        <v>555.0</v>
      </c>
      <c r="B557" s="1" t="s">
        <v>1913</v>
      </c>
      <c r="C557" s="1" t="s">
        <v>2004</v>
      </c>
      <c r="D557" s="1" t="s">
        <v>2005</v>
      </c>
      <c r="E557" s="2" t="str">
        <f>IFERROR(__xludf.DUMMYFUNCTION("GOOGLETRANSLATE(C557, ""en"", ""th"")"),"คะแนนเฉลี่ยของโพสต์ที่ผู้ใช้ csgillespie เป็นเจ้าของคือเท่าใด?")</f>
        <v>คะแนนเฉลี่ยของโพสต์ที่ผู้ใช้ csgillespie เป็นเจ้าของคือเท่าใด?</v>
      </c>
      <c r="F557" s="1" t="s">
        <v>2006</v>
      </c>
      <c r="G557" s="1" t="s">
        <v>2007</v>
      </c>
      <c r="H557" s="1" t="s">
        <v>13</v>
      </c>
    </row>
    <row r="558">
      <c r="A558" s="1">
        <v>556.0</v>
      </c>
      <c r="B558" s="1" t="s">
        <v>1913</v>
      </c>
      <c r="C558" s="1" t="s">
        <v>2008</v>
      </c>
      <c r="D558" s="1" t="s">
        <v>2009</v>
      </c>
      <c r="E558" s="2" t="str">
        <f>IFERROR(__xludf.DUMMYFUNCTION("GOOGLETRANSLATE(C558, ""en"", ""th"")"),"จำนวนป้ายโดยเฉลี่ยที่ผู้ใช้ได้รับจากการดูมากกว่า 200 ครั้งคือเท่าใด")</f>
        <v>จำนวนป้ายโดยเฉลี่ยที่ผู้ใช้ได้รับจากการดูมากกว่า 200 ครั้งคือเท่าใด</v>
      </c>
      <c r="F558" s="1" t="s">
        <v>2010</v>
      </c>
      <c r="G558" s="1" t="s">
        <v>2011</v>
      </c>
      <c r="H558" s="1" t="s">
        <v>13</v>
      </c>
    </row>
    <row r="559">
      <c r="A559" s="1">
        <v>557.0</v>
      </c>
      <c r="B559" s="1" t="s">
        <v>1913</v>
      </c>
      <c r="C559" s="1" t="s">
        <v>2012</v>
      </c>
      <c r="D559" s="1" t="s">
        <v>2013</v>
      </c>
      <c r="E559" s="2" t="str">
        <f>IFERROR(__xludf.DUMMYFUNCTION("GOOGLETRANSLATE(C559, ""en"", ""th"")"),"ในบรรดาโพสต์ที่มีคะแนนมากกว่า 5 มีผู้ใช้ที่มีอายุมากกว่าเป็นเจ้าของกี่เปอร์เซ็นต์")</f>
        <v>ในบรรดาโพสต์ที่มีคะแนนมากกว่า 5 มีผู้ใช้ที่มีอายุมากกว่าเป็นเจ้าของกี่เปอร์เซ็นต์</v>
      </c>
      <c r="F559" s="1" t="s">
        <v>2014</v>
      </c>
      <c r="G559" s="1" t="s">
        <v>2015</v>
      </c>
      <c r="H559" s="1" t="s">
        <v>18</v>
      </c>
    </row>
    <row r="560">
      <c r="A560" s="1">
        <v>558.0</v>
      </c>
      <c r="B560" s="1" t="s">
        <v>1913</v>
      </c>
      <c r="C560" s="1" t="s">
        <v>2016</v>
      </c>
      <c r="D560" s="1" t="s">
        <v>2017</v>
      </c>
      <c r="E560" s="2" t="str">
        <f>IFERROR(__xludf.DUMMYFUNCTION("GOOGLETRANSLATE(C560, ""en"", ""th"")"),"ผู้ใช้หมายเลข 58 โหวตไปกี่คะแนนในวันที่ 7/2010/19")</f>
        <v>ผู้ใช้หมายเลข 58 โหวตไปกี่คะแนนในวันที่ 7/2010/19</v>
      </c>
      <c r="F560" s="1" t="s">
        <v>2018</v>
      </c>
      <c r="G560" s="1" t="s">
        <v>2019</v>
      </c>
      <c r="H560" s="1" t="s">
        <v>13</v>
      </c>
    </row>
    <row r="561">
      <c r="A561" s="1">
        <v>559.0</v>
      </c>
      <c r="B561" s="1" t="s">
        <v>1913</v>
      </c>
      <c r="C561" s="1" t="s">
        <v>2020</v>
      </c>
      <c r="D561" s="1" t="s">
        <v>2021</v>
      </c>
      <c r="E561" s="2" t="str">
        <f>IFERROR(__xludf.DUMMYFUNCTION("GOOGLETRANSLATE(C561, ""en"", ""th"")"),"ระบุวันที่สร้างจำนวนคะแนนเสียงสูงสุด")</f>
        <v>ระบุวันที่สร้างจำนวนคะแนนเสียงสูงสุด</v>
      </c>
      <c r="F561" s="1" t="s">
        <v>2022</v>
      </c>
      <c r="G561" s="1" t="s">
        <v>2023</v>
      </c>
      <c r="H561" s="1" t="s">
        <v>13</v>
      </c>
    </row>
    <row r="562">
      <c r="A562" s="1">
        <v>560.0</v>
      </c>
      <c r="B562" s="1" t="s">
        <v>1913</v>
      </c>
      <c r="C562" s="1" t="s">
        <v>2024</v>
      </c>
      <c r="D562" s="1" t="s">
        <v>2025</v>
      </c>
      <c r="E562" s="2" t="str">
        <f>IFERROR(__xludf.DUMMYFUNCTION("GOOGLETRANSLATE(C562, ""en"", ""th"")"),"มอบป้ายจำนวน ""การฟื้นฟู""")</f>
        <v>มอบป้ายจำนวน "การฟื้นฟู"</v>
      </c>
      <c r="F562" s="1" t="s">
        <v>2026</v>
      </c>
      <c r="G562" s="1" t="s">
        <v>2027</v>
      </c>
      <c r="H562" s="1" t="s">
        <v>13</v>
      </c>
    </row>
    <row r="563">
      <c r="A563" s="1">
        <v>561.0</v>
      </c>
      <c r="B563" s="1" t="s">
        <v>1913</v>
      </c>
      <c r="C563" s="1" t="s">
        <v>2028</v>
      </c>
      <c r="D563" s="1" t="s">
        <v>2029</v>
      </c>
      <c r="E563" s="2" t="str">
        <f>IFERROR(__xludf.DUMMYFUNCTION("GOOGLETRANSLATE(C563, ""en"", ""th"")"),"โพสต์ที่มีคะแนนความคิดเห็นสูงสุดมีชื่อว่าอะไร")</f>
        <v>โพสต์ที่มีคะแนนความคิดเห็นสูงสุดมีชื่อว่าอะไร</v>
      </c>
      <c r="F563" s="1" t="s">
        <v>2030</v>
      </c>
      <c r="G563" s="1" t="s">
        <v>2031</v>
      </c>
      <c r="H563" s="1" t="s">
        <v>13</v>
      </c>
    </row>
    <row r="564">
      <c r="A564" s="1">
        <v>562.0</v>
      </c>
      <c r="B564" s="1" t="s">
        <v>1913</v>
      </c>
      <c r="C564" s="1" t="s">
        <v>2032</v>
      </c>
      <c r="E564" s="2" t="str">
        <f>IFERROR(__xludf.DUMMYFUNCTION("GOOGLETRANSLATE(C564, ""en"", ""th"")"),"โพสที่มียอดวิว 1910 คอมเมนต์ได้กี่คอมเมนท์?")</f>
        <v>โพสที่มียอดวิว 1910 คอมเมนต์ได้กี่คอมเมนท์?</v>
      </c>
      <c r="G564" s="1" t="s">
        <v>2033</v>
      </c>
      <c r="H564" s="1" t="s">
        <v>13</v>
      </c>
    </row>
    <row r="565">
      <c r="A565" s="1">
        <v>563.0</v>
      </c>
      <c r="B565" s="1" t="s">
        <v>1913</v>
      </c>
      <c r="C565" s="1" t="s">
        <v>2034</v>
      </c>
      <c r="D565" s="1" t="s">
        <v>2035</v>
      </c>
      <c r="E565" s="2" t="str">
        <f>IFERROR(__xludf.DUMMYFUNCTION("GOOGLETRANSLATE(C565, ""en"", ""th"")"),"ผู้ใช้หมายเลข 3025 แสดงความคิดเห็นเมื่อเวลา 20:29:39 น. วันที่ 23/4/2557 ในโพสต์หนึ่ง โพสต์นั้นได้รับรายการโปรดจำนวนเท่าใด")</f>
        <v>ผู้ใช้หมายเลข 3025 แสดงความคิดเห็นเมื่อเวลา 20:29:39 น. วันที่ 23/4/2557 ในโพสต์หนึ่ง โพสต์นั้นได้รับรายการโปรดจำนวนเท่าใด</v>
      </c>
      <c r="F565" s="1" t="s">
        <v>2036</v>
      </c>
      <c r="G565" s="1" t="s">
        <v>2037</v>
      </c>
      <c r="H565" s="1" t="s">
        <v>18</v>
      </c>
    </row>
    <row r="566">
      <c r="A566" s="1">
        <v>564.0</v>
      </c>
      <c r="B566" s="1" t="s">
        <v>1913</v>
      </c>
      <c r="C566" s="1" t="s">
        <v>2038</v>
      </c>
      <c r="D566" s="1" t="s">
        <v>2039</v>
      </c>
      <c r="E566" s="2" t="str">
        <f>IFERROR(__xludf.DUMMYFUNCTION("GOOGLETRANSLATE(C566, ""en"", ""th"")"),"ระบุข้อความแสดงความคิดเห็นเพียงข้อความเดียวในโพสต์ด้วยรหัสผู้ปกครอง 107829")</f>
        <v>ระบุข้อความแสดงความคิดเห็นเพียงข้อความเดียวในโพสต์ด้วยรหัสผู้ปกครอง 107829</v>
      </c>
      <c r="F566" s="1" t="s">
        <v>2040</v>
      </c>
      <c r="G566" s="1" t="s">
        <v>2041</v>
      </c>
      <c r="H566" s="1" t="s">
        <v>13</v>
      </c>
    </row>
    <row r="567">
      <c r="A567" s="1">
        <v>565.0</v>
      </c>
      <c r="B567" s="1" t="s">
        <v>1913</v>
      </c>
      <c r="C567" s="1" t="s">
        <v>2042</v>
      </c>
      <c r="D567" s="1" t="s">
        <v>2043</v>
      </c>
      <c r="E567" s="2" t="str">
        <f>IFERROR(__xludf.DUMMYFUNCTION("GOOGLETRANSLATE(C567, ""en"", ""th"")"),"ผู้ใช้หมายเลข 23853 แสดงความคิดเห็นต่อโพสต์เมื่อเวลา 9:08:18 น. ของวันที่ 7/7/2556 ว่าโพสต์นั้นเสร็จสิ้นดีแล้วหรือยัง?")</f>
        <v>ผู้ใช้หมายเลข 23853 แสดงความคิดเห็นต่อโพสต์เมื่อเวลา 9:08:18 น. ของวันที่ 7/7/2556 ว่าโพสต์นั้นเสร็จสิ้นดีแล้วหรือยัง?</v>
      </c>
      <c r="F567" s="1" t="s">
        <v>2044</v>
      </c>
      <c r="G567" s="1" t="s">
        <v>2045</v>
      </c>
      <c r="H567" s="1" t="s">
        <v>18</v>
      </c>
    </row>
    <row r="568">
      <c r="A568" s="1">
        <v>566.0</v>
      </c>
      <c r="B568" s="1" t="s">
        <v>1913</v>
      </c>
      <c r="C568" s="1" t="s">
        <v>2046</v>
      </c>
      <c r="D568" s="1" t="s">
        <v>2047</v>
      </c>
      <c r="E568" s="2" t="str">
        <f>IFERROR(__xludf.DUMMYFUNCTION("GOOGLETRANSLATE(C568, ""en"", ""th"")"),"สำหรับผู้ใช้เจ้าของโพสต์หมายเลข 65041 คะแนนชื่อเสียงของเขา/เธอคืออะไร?")</f>
        <v>สำหรับผู้ใช้เจ้าของโพสต์หมายเลข 65041 คะแนนชื่อเสียงของเขา/เธอคืออะไร?</v>
      </c>
      <c r="F568" s="1" t="s">
        <v>2048</v>
      </c>
      <c r="G568" s="1" t="s">
        <v>2049</v>
      </c>
      <c r="H568" s="1" t="s">
        <v>13</v>
      </c>
    </row>
    <row r="569">
      <c r="A569" s="1">
        <v>567.0</v>
      </c>
      <c r="B569" s="1" t="s">
        <v>1913</v>
      </c>
      <c r="C569" s="1" t="s">
        <v>2050</v>
      </c>
      <c r="D569" s="1" t="s">
        <v>2051</v>
      </c>
      <c r="E569" s="2" t="str">
        <f>IFERROR(__xludf.DUMMYFUNCTION("GOOGLETRANSLATE(C569, ""en"", ""th"")"),"สำหรับผู้ใช้ที่มีชื่อที่แสดงว่า ""ติอาโก ปาสควาลินี"" เป็นเจ้าของโพสต์จำนวนเท่าใด")</f>
        <v>สำหรับผู้ใช้ที่มีชื่อที่แสดงว่า "ติอาโก ปาสควาลินี" เป็นเจ้าของโพสต์จำนวนเท่าใด</v>
      </c>
      <c r="F569" s="1" t="s">
        <v>2052</v>
      </c>
      <c r="G569" s="1" t="s">
        <v>2053</v>
      </c>
      <c r="H569" s="1" t="s">
        <v>13</v>
      </c>
    </row>
    <row r="570">
      <c r="A570" s="1">
        <v>568.0</v>
      </c>
      <c r="B570" s="1" t="s">
        <v>1913</v>
      </c>
      <c r="C570" s="1" t="s">
        <v>2054</v>
      </c>
      <c r="D570" s="1" t="s">
        <v>2055</v>
      </c>
      <c r="E570" s="2" t="str">
        <f>IFERROR(__xludf.DUMMYFUNCTION("GOOGLETRANSLATE(C570, ""en"", ""th"")"),"ระบุชื่อที่แสดงของผู้ใช้ที่โหวตหมายเลข 6347")</f>
        <v>ระบุชื่อที่แสดงของผู้ใช้ที่โหวตหมายเลข 6347</v>
      </c>
      <c r="F570" s="1" t="s">
        <v>2056</v>
      </c>
      <c r="G570" s="1" t="s">
        <v>2057</v>
      </c>
      <c r="H570" s="1" t="s">
        <v>13</v>
      </c>
    </row>
    <row r="571">
      <c r="A571" s="1">
        <v>569.0</v>
      </c>
      <c r="B571" s="1" t="s">
        <v>1913</v>
      </c>
      <c r="C571" s="1" t="s">
        <v>2058</v>
      </c>
      <c r="D571" s="1" t="s">
        <v>2059</v>
      </c>
      <c r="E571" s="2" t="str">
        <f>IFERROR(__xludf.DUMMYFUNCTION("GOOGLETRANSLATE(C571, ""en"", ""th"")"),"ระบุจำนวนคะแนนโหวตสำหรับโพสต์เกี่ยวกับการแสดงข้อมูลเป็นภาพ")</f>
        <v>ระบุจำนวนคะแนนโหวตสำหรับโพสต์เกี่ยวกับการแสดงข้อมูลเป็นภาพ</v>
      </c>
      <c r="F571" s="1" t="s">
        <v>2060</v>
      </c>
      <c r="G571" s="1" t="s">
        <v>2061</v>
      </c>
      <c r="H571" s="1" t="s">
        <v>13</v>
      </c>
    </row>
    <row r="572">
      <c r="A572" s="1">
        <v>570.0</v>
      </c>
      <c r="B572" s="1" t="s">
        <v>1913</v>
      </c>
      <c r="C572" s="1" t="s">
        <v>2062</v>
      </c>
      <c r="D572" s="1" t="s">
        <v>2063</v>
      </c>
      <c r="E572" s="2" t="str">
        <f>IFERROR(__xludf.DUMMYFUNCTION("GOOGLETRANSLATE(C572, ""en"", ""th"")"),"สำหรับผู้ใช้ที่มีชื่อที่แสดงเป็น ""DatEpicCoderGuyWhoPrograms"" ป้ายสถานะของเขา/เธอคืออะไร?")</f>
        <v>สำหรับผู้ใช้ที่มีชื่อที่แสดงเป็น "DatEpicCoderGuyWhoPrograms" ป้ายสถานะของเขา/เธอคืออะไร?</v>
      </c>
      <c r="F572" s="1" t="s">
        <v>2064</v>
      </c>
      <c r="G572" s="1" t="s">
        <v>2065</v>
      </c>
      <c r="H572" s="1" t="s">
        <v>13</v>
      </c>
    </row>
    <row r="573">
      <c r="A573" s="1">
        <v>571.0</v>
      </c>
      <c r="B573" s="1" t="s">
        <v>1913</v>
      </c>
      <c r="C573" s="1" t="s">
        <v>2066</v>
      </c>
      <c r="D573" s="1" t="s">
        <v>2067</v>
      </c>
      <c r="E573" s="2" t="str">
        <f>IFERROR(__xludf.DUMMYFUNCTION("GOOGLETRANSLATE(C573, ""en"", ""th"")"),"สำหรับผู้ใช้หมายเลข 24 จำนวนโพสต์ของเขา/เธอเทียบกับคะแนนโหวตของเขา/เธอมีกี่ครั้ง?")</f>
        <v>สำหรับผู้ใช้หมายเลข 24 จำนวนโพสต์ของเขา/เธอเทียบกับคะแนนโหวตของเขา/เธอมีกี่ครั้ง?</v>
      </c>
      <c r="F573" s="1" t="s">
        <v>2068</v>
      </c>
      <c r="G573" s="1" t="s">
        <v>2069</v>
      </c>
      <c r="H573" s="1" t="s">
        <v>18</v>
      </c>
    </row>
    <row r="574">
      <c r="A574" s="1">
        <v>572.0</v>
      </c>
      <c r="B574" s="1" t="s">
        <v>1913</v>
      </c>
      <c r="C574" s="1" t="s">
        <v>2070</v>
      </c>
      <c r="D574" s="1" t="s">
        <v>2071</v>
      </c>
      <c r="E574" s="2" t="str">
        <f>IFERROR(__xludf.DUMMYFUNCTION("GOOGLETRANSLATE(C574, ""en"", ""th"")"),"โพสต์ชื่อ 'การรวม Weka และ/หรือ RapidMiner เข้ากับ Informatica PowerCenter/Developer' ได้รับการดูกี่ครั้ง")</f>
        <v>โพสต์ชื่อ 'การรวม Weka และ/หรือ RapidMiner เข้ากับ Informatica PowerCenter/Developer' ได้รับการดูกี่ครั้ง</v>
      </c>
      <c r="F574" s="1" t="s">
        <v>2072</v>
      </c>
      <c r="G574" s="1" t="s">
        <v>2073</v>
      </c>
      <c r="H574" s="1" t="s">
        <v>18</v>
      </c>
    </row>
    <row r="575">
      <c r="A575" s="1">
        <v>573.0</v>
      </c>
      <c r="B575" s="1" t="s">
        <v>1913</v>
      </c>
      <c r="C575" s="1" t="s">
        <v>2074</v>
      </c>
      <c r="D575" s="1" t="s">
        <v>2075</v>
      </c>
      <c r="E575" s="2" t="str">
        <f>IFERROR(__xludf.DUMMYFUNCTION("GOOGLETRANSLATE(C575, ""en"", ""th"")"),"เขียนเนื้อหาความคิดเห็นด้วยคะแนน 17")</f>
        <v>เขียนเนื้อหาความคิดเห็นด้วยคะแนน 17</v>
      </c>
      <c r="F575" s="1" t="s">
        <v>2076</v>
      </c>
      <c r="G575" s="1" t="s">
        <v>2077</v>
      </c>
      <c r="H575" s="1" t="s">
        <v>13</v>
      </c>
    </row>
    <row r="576">
      <c r="A576" s="1">
        <v>574.0</v>
      </c>
      <c r="B576" s="1" t="s">
        <v>1913</v>
      </c>
      <c r="C576" s="1" t="s">
        <v>2078</v>
      </c>
      <c r="D576" s="1" t="s">
        <v>2079</v>
      </c>
      <c r="E576" s="2" t="str">
        <f>IFERROR(__xludf.DUMMYFUNCTION("GOOGLETRANSLATE(C576, ""en"", ""th"")"),"ผู้ใช้คนใดมี URL ของเว็บไซต์อยู่ที่ 'http://stackoverflow.com'")</f>
        <v>ผู้ใช้คนใดมี URL ของเว็บไซต์อยู่ที่ 'http://stackoverflow.com'</v>
      </c>
      <c r="F576" s="1" t="s">
        <v>2080</v>
      </c>
      <c r="G576" s="1" t="s">
        <v>2081</v>
      </c>
      <c r="H576" s="1" t="s">
        <v>13</v>
      </c>
    </row>
    <row r="577">
      <c r="A577" s="1">
        <v>575.0</v>
      </c>
      <c r="B577" s="1" t="s">
        <v>1913</v>
      </c>
      <c r="C577" s="1" t="s">
        <v>2082</v>
      </c>
      <c r="D577" s="1" t="s">
        <v>2083</v>
      </c>
      <c r="E577" s="2" t="str">
        <f>IFERROR(__xludf.DUMMYFUNCTION("GOOGLETRANSLATE(C577, ""en"", ""th"")"),"ชื่อตราสัญลักษณ์ที่ผู้ใช้ 'SilentGhost' ได้รับคืออะไร")</f>
        <v>ชื่อตราสัญลักษณ์ที่ผู้ใช้ 'SilentGhost' ได้รับคืออะไร</v>
      </c>
      <c r="F577" s="1" t="s">
        <v>2084</v>
      </c>
      <c r="G577" s="1" t="s">
        <v>2085</v>
      </c>
      <c r="H577" s="1" t="s">
        <v>13</v>
      </c>
    </row>
    <row r="578">
      <c r="A578" s="1">
        <v>576.0</v>
      </c>
      <c r="B578" s="1" t="s">
        <v>1913</v>
      </c>
      <c r="C578" s="1" t="s">
        <v>2086</v>
      </c>
      <c r="D578" s="1" t="s">
        <v>2087</v>
      </c>
      <c r="E578" s="2" t="str">
        <f>IFERROR(__xludf.DUMMYFUNCTION("GOOGLETRANSLATE(C578, ""en"", ""th"")"),"ตั้งชื่อผู้ใช้ที่แสดงความคิดเห็นว่า 'ขอบคุณ user93!'")</f>
        <v>ตั้งชื่อผู้ใช้ที่แสดงความคิดเห็นว่า 'ขอบคุณ user93!'</v>
      </c>
      <c r="F578" s="1" t="s">
        <v>2088</v>
      </c>
      <c r="G578" s="1" t="s">
        <v>2089</v>
      </c>
      <c r="H578" s="1" t="s">
        <v>13</v>
      </c>
    </row>
    <row r="579">
      <c r="A579" s="1">
        <v>577.0</v>
      </c>
      <c r="B579" s="1" t="s">
        <v>1913</v>
      </c>
      <c r="C579" s="1" t="s">
        <v>2090</v>
      </c>
      <c r="D579" s="1" t="s">
        <v>2091</v>
      </c>
      <c r="E579" s="2" t="str">
        <f>IFERROR(__xludf.DUMMYFUNCTION("GOOGLETRANSLATE(C579, ""en"", ""th"")"),"เขียนความคิดเห็นทั้งหมดโดยผู้ใช้ 'A Lion'")</f>
        <v>เขียนความคิดเห็นทั้งหมดโดยผู้ใช้ 'A Lion'</v>
      </c>
      <c r="F579" s="1" t="s">
        <v>2092</v>
      </c>
      <c r="G579" s="1" t="s">
        <v>2093</v>
      </c>
      <c r="H579" s="1" t="s">
        <v>13</v>
      </c>
    </row>
    <row r="580">
      <c r="A580" s="1">
        <v>578.0</v>
      </c>
      <c r="B580" s="1" t="s">
        <v>1913</v>
      </c>
      <c r="C580" s="1" t="s">
        <v>2094</v>
      </c>
      <c r="D580" s="1" t="s">
        <v>2095</v>
      </c>
      <c r="E580" s="2" t="str">
        <f>IFERROR(__xludf.DUMMYFUNCTION("GOOGLETRANSLATE(C580, ""en"", ""th"")"),"ผู้ใช้รายใดที่สร้างโพสต์ในหัวข้อ 'ทำความเข้าใจว่า Dassault iSight กำลังทำอะไรอยู่' และชื่อเสียงของผู้ใช้มากน้อยเพียงใด?")</f>
        <v>ผู้ใช้รายใดที่สร้างโพสต์ในหัวข้อ 'ทำความเข้าใจว่า Dassault iSight กำลังทำอะไรอยู่' และชื่อเสียงของผู้ใช้มากน้อยเพียงใด?</v>
      </c>
      <c r="F580" s="1" t="s">
        <v>2096</v>
      </c>
      <c r="G580" s="1" t="s">
        <v>2097</v>
      </c>
      <c r="H580" s="1" t="s">
        <v>18</v>
      </c>
    </row>
    <row r="581">
      <c r="A581" s="1">
        <v>579.0</v>
      </c>
      <c r="B581" s="1" t="s">
        <v>1913</v>
      </c>
      <c r="C581" s="1" t="s">
        <v>2098</v>
      </c>
      <c r="D581" s="1" t="s">
        <v>2099</v>
      </c>
      <c r="E581" s="2" t="str">
        <f>IFERROR(__xludf.DUMMYFUNCTION("GOOGLETRANSLATE(C581, ""en"", ""th"")"),"เขียนความคิดเห็นทั้งหมดในโพสต์ชื่อ 'การเพิ่มประสิทธิภาพอย่างอ่อนโยนแตกต่างจาก AdaBoost อย่างไร'")</f>
        <v>เขียนความคิดเห็นทั้งหมดในโพสต์ชื่อ 'การเพิ่มประสิทธิภาพอย่างอ่อนโยนแตกต่างจาก AdaBoost อย่างไร'</v>
      </c>
      <c r="F581" s="1" t="s">
        <v>2100</v>
      </c>
      <c r="G581" s="1" t="s">
        <v>2101</v>
      </c>
      <c r="H581" s="1" t="s">
        <v>13</v>
      </c>
    </row>
    <row r="582">
      <c r="A582" s="1">
        <v>580.0</v>
      </c>
      <c r="B582" s="1" t="s">
        <v>1913</v>
      </c>
      <c r="C582" s="1" t="s">
        <v>2102</v>
      </c>
      <c r="D582" s="1" t="s">
        <v>2103</v>
      </c>
      <c r="E582" s="2" t="str">
        <f>IFERROR(__xludf.DUMMYFUNCTION("GOOGLETRANSLATE(C582, ""en"", ""th"")"),"ตั้งชื่อผู้ใช้ 10 คนด้วยชื่อตราสัญลักษณ์ 'เนโครแมนเซอร์'")</f>
        <v>ตั้งชื่อผู้ใช้ 10 คนด้วยชื่อตราสัญลักษณ์ 'เนโครแมนเซอร์'</v>
      </c>
      <c r="F582" s="1" t="s">
        <v>2104</v>
      </c>
      <c r="G582" s="1" t="s">
        <v>2105</v>
      </c>
      <c r="H582" s="1" t="s">
        <v>13</v>
      </c>
    </row>
    <row r="583">
      <c r="A583" s="1">
        <v>581.0</v>
      </c>
      <c r="B583" s="1" t="s">
        <v>1913</v>
      </c>
      <c r="C583" s="1" t="s">
        <v>2106</v>
      </c>
      <c r="D583" s="3" t="s">
        <v>2107</v>
      </c>
      <c r="E583" s="2" t="str">
        <f>IFERROR(__xludf.DUMMYFUNCTION("GOOGLETRANSLATE(C583, ""en"", ""th"")"),"ใครคือบรรณาธิการของโพสต์ชื่อ 'เครื่องมือโอเพ่นซอร์สสำหรับการแสดงภาพข้อมูลหลายมิติ'")</f>
        <v>ใครคือบรรณาธิการของโพสต์ชื่อ 'เครื่องมือโอเพ่นซอร์สสำหรับการแสดงภาพข้อมูลหลายมิติ'</v>
      </c>
      <c r="F583" s="1" t="s">
        <v>2108</v>
      </c>
      <c r="G583" s="1" t="s">
        <v>2109</v>
      </c>
      <c r="H583" s="1" t="s">
        <v>18</v>
      </c>
    </row>
    <row r="584">
      <c r="A584" s="1">
        <v>582.0</v>
      </c>
      <c r="B584" s="1" t="s">
        <v>1913</v>
      </c>
      <c r="C584" s="1" t="s">
        <v>2110</v>
      </c>
      <c r="D584" s="1" t="s">
        <v>2111</v>
      </c>
      <c r="E584" s="2" t="str">
        <f>IFERROR(__xludf.DUMMYFUNCTION("GOOGLETRANSLATE(C584, ""en"", ""th"")"),"รายชื่อหัวข้อกระทู้ที่แก้ไขโดย Vebjorn Ljosa")</f>
        <v>รายชื่อหัวข้อกระทู้ที่แก้ไขโดย Vebjorn Ljosa</v>
      </c>
      <c r="F584" s="1" t="s">
        <v>2112</v>
      </c>
      <c r="G584" s="1" t="s">
        <v>2113</v>
      </c>
      <c r="H584" s="1" t="s">
        <v>13</v>
      </c>
    </row>
    <row r="585">
      <c r="A585" s="1">
        <v>583.0</v>
      </c>
      <c r="B585" s="1" t="s">
        <v>1913</v>
      </c>
      <c r="C585" s="1" t="s">
        <v>2114</v>
      </c>
      <c r="D585" s="1" t="s">
        <v>2115</v>
      </c>
      <c r="E585" s="2" t="str">
        <f>IFERROR(__xludf.DUMMYFUNCTION("GOOGLETRANSLATE(C585, ""en"", ""th"")"),"คะแนนรวมของโพสต์ที่แก้ไขโดย Yevgeny และรวม URL เว็บไซต์ของผู้ใช้คือเท่าใด")</f>
        <v>คะแนนรวมของโพสต์ที่แก้ไขโดย Yevgeny และรวม URL เว็บไซต์ของผู้ใช้คือเท่าใด</v>
      </c>
      <c r="F585" s="1" t="s">
        <v>2116</v>
      </c>
      <c r="G585" s="1" t="s">
        <v>2117</v>
      </c>
      <c r="H585" s="1" t="s">
        <v>13</v>
      </c>
    </row>
    <row r="586">
      <c r="A586" s="1">
        <v>584.0</v>
      </c>
      <c r="B586" s="1" t="s">
        <v>1913</v>
      </c>
      <c r="C586" s="1" t="s">
        <v>2118</v>
      </c>
      <c r="D586" s="1" t="s">
        <v>2119</v>
      </c>
      <c r="E586" s="2" t="str">
        <f>IFERROR(__xludf.DUMMYFUNCTION("GOOGLETRANSLATE(C586, ""en"", ""th"")"),"เขียนความคิดเห็นทั้งหมดโดยผู้ใช้ที่แก้ไขโพสต์ชื่อ 'ทำไมต้องยกกำลังสองส่วนต่างแทนที่จะเอาค่าสัมบูรณ์เป็นส่วนเบี่ยงเบนมาตรฐาน'")</f>
        <v>เขียนความคิดเห็นทั้งหมดโดยผู้ใช้ที่แก้ไขโพสต์ชื่อ 'ทำไมต้องยกกำลังสองส่วนต่างแทนที่จะเอาค่าสัมบูรณ์เป็นส่วนเบี่ยงเบนมาตรฐาน'</v>
      </c>
      <c r="F586" s="1" t="s">
        <v>2120</v>
      </c>
      <c r="G586" s="1" t="s">
        <v>2121</v>
      </c>
      <c r="H586" s="1" t="s">
        <v>18</v>
      </c>
    </row>
    <row r="587">
      <c r="A587" s="1">
        <v>585.0</v>
      </c>
      <c r="B587" s="1" t="s">
        <v>1913</v>
      </c>
      <c r="C587" s="1" t="s">
        <v>2122</v>
      </c>
      <c r="D587" s="1" t="s">
        <v>2123</v>
      </c>
      <c r="E587" s="2" t="str">
        <f>IFERROR(__xludf.DUMMYFUNCTION("GOOGLETRANSLATE(C587, ""en"", ""th"")"),"ค่าหัวรวมของโพสต์ชื่อ 'ข้อมูล' คือเท่าไร")</f>
        <v>ค่าหัวรวมของโพสต์ชื่อ 'ข้อมูล' คือเท่าไร</v>
      </c>
      <c r="F587" s="1" t="s">
        <v>2124</v>
      </c>
      <c r="G587" s="1" t="s">
        <v>2125</v>
      </c>
      <c r="H587" s="1" t="s">
        <v>13</v>
      </c>
    </row>
    <row r="588">
      <c r="A588" s="1">
        <v>586.0</v>
      </c>
      <c r="B588" s="1" t="s">
        <v>1913</v>
      </c>
      <c r="C588" s="1" t="s">
        <v>2126</v>
      </c>
      <c r="D588" s="1" t="s">
        <v>2127</v>
      </c>
      <c r="E588" s="2" t="str">
        <f>IFERROR(__xludf.DUMMYFUNCTION("GOOGLETRANSLATE(C588, ""en"", ""th"")"),"ผู้ใช้รายใดที่เพิ่มเงินรางวัล 50 ในชื่อโพสต์ที่กล่าวถึงความแปรปรวน")</f>
        <v>ผู้ใช้รายใดที่เพิ่มเงินรางวัล 50 ในชื่อโพสต์ที่กล่าวถึงความแปรปรวน</v>
      </c>
      <c r="F588" s="1" t="s">
        <v>2128</v>
      </c>
      <c r="G588" s="1" t="s">
        <v>2129</v>
      </c>
      <c r="H588" s="1" t="s">
        <v>101</v>
      </c>
    </row>
    <row r="589">
      <c r="A589" s="1">
        <v>587.0</v>
      </c>
      <c r="B589" s="1" t="s">
        <v>1913</v>
      </c>
      <c r="C589" s="1" t="s">
        <v>2130</v>
      </c>
      <c r="D589" s="1" t="s">
        <v>2131</v>
      </c>
      <c r="E589" s="2" t="str">
        <f>IFERROR(__xludf.DUMMYFUNCTION("GOOGLETRANSLATE(C589, ""en"", ""th"")"),"คำนวณจำนวนการดูเฉลี่ยของแต่ละโพสต์ที่แท็กเป็น 'อารมณ์ขัน' และระบุชื่อและความคิดเห็นของแต่ละโพสต์")</f>
        <v>คำนวณจำนวนการดูเฉลี่ยของแต่ละโพสต์ที่แท็กเป็น 'อารมณ์ขัน' และระบุชื่อและความคิดเห็นของแต่ละโพสต์</v>
      </c>
      <c r="F589" s="1" t="s">
        <v>2132</v>
      </c>
      <c r="G589" s="1" t="s">
        <v>2133</v>
      </c>
      <c r="H589" s="1" t="s">
        <v>18</v>
      </c>
    </row>
    <row r="590">
      <c r="A590" s="1">
        <v>588.0</v>
      </c>
      <c r="B590" s="1" t="s">
        <v>1913</v>
      </c>
      <c r="C590" s="1" t="s">
        <v>2134</v>
      </c>
      <c r="E590" s="2" t="str">
        <f>IFERROR(__xludf.DUMMYFUNCTION("GOOGLETRANSLATE(C590, ""en"", ""th"")"),"ระบุจำนวนความคิดเห็นทั้งหมดที่โพสต์โดย ID ผู้ใช้ 13")</f>
        <v>ระบุจำนวนความคิดเห็นทั้งหมดที่โพสต์โดย ID ผู้ใช้ 13</v>
      </c>
      <c r="G590" s="1" t="s">
        <v>2135</v>
      </c>
      <c r="H590" s="1" t="s">
        <v>13</v>
      </c>
    </row>
    <row r="591">
      <c r="A591" s="1">
        <v>589.0</v>
      </c>
      <c r="B591" s="1" t="s">
        <v>1913</v>
      </c>
      <c r="C591" s="1" t="s">
        <v>2136</v>
      </c>
      <c r="D591" s="1" t="s">
        <v>2137</v>
      </c>
      <c r="E591" s="2" t="str">
        <f>IFERROR(__xludf.DUMMYFUNCTION("GOOGLETRANSLATE(C591, ""en"", ""th"")"),"ID ผู้ใช้ใดมีชื่อเสียงสูงสุด?")</f>
        <v>ID ผู้ใช้ใดมีชื่อเสียงสูงสุด?</v>
      </c>
      <c r="F591" s="1" t="s">
        <v>2138</v>
      </c>
      <c r="G591" s="1" t="s">
        <v>2139</v>
      </c>
      <c r="H591" s="1" t="s">
        <v>13</v>
      </c>
    </row>
    <row r="592">
      <c r="A592" s="1">
        <v>590.0</v>
      </c>
      <c r="B592" s="1" t="s">
        <v>1913</v>
      </c>
      <c r="C592" s="1" t="s">
        <v>2140</v>
      </c>
      <c r="D592" s="1" t="s">
        <v>2141</v>
      </c>
      <c r="E592" s="2" t="str">
        <f>IFERROR(__xludf.DUMMYFUNCTION("GOOGLETRANSLATE(C592, ""en"", ""th"")"),"ID ผู้ใช้ใดที่มีการดูต่ำที่สุด?")</f>
        <v>ID ผู้ใช้ใดที่มีการดูต่ำที่สุด?</v>
      </c>
      <c r="F592" s="1" t="s">
        <v>2142</v>
      </c>
      <c r="G592" s="1" t="s">
        <v>2143</v>
      </c>
      <c r="H592" s="1" t="s">
        <v>13</v>
      </c>
    </row>
    <row r="593">
      <c r="A593" s="1">
        <v>591.0</v>
      </c>
      <c r="B593" s="1" t="s">
        <v>1913</v>
      </c>
      <c r="C593" s="1" t="s">
        <v>2144</v>
      </c>
      <c r="D593" s="1" t="s">
        <v>2145</v>
      </c>
      <c r="E593" s="2" t="str">
        <f>IFERROR(__xludf.DUMMYFUNCTION("GOOGLETRANSLATE(C593, ""en"", ""th"")"),"มีผู้ใช้กี่รายที่ได้รับตราสัญลักษณ์ผู้สนับสนุนในช่วงปี 2554")</f>
        <v>มีผู้ใช้กี่รายที่ได้รับตราสัญลักษณ์ผู้สนับสนุนในช่วงปี 2554</v>
      </c>
      <c r="F593" s="1" t="s">
        <v>2146</v>
      </c>
      <c r="G593" s="1" t="s">
        <v>2147</v>
      </c>
      <c r="H593" s="1" t="s">
        <v>13</v>
      </c>
    </row>
    <row r="594">
      <c r="A594" s="1">
        <v>592.0</v>
      </c>
      <c r="B594" s="1" t="s">
        <v>1913</v>
      </c>
      <c r="C594" s="1" t="s">
        <v>2148</v>
      </c>
      <c r="D594" s="1" t="s">
        <v>2149</v>
      </c>
      <c r="E594" s="2" t="str">
        <f>IFERROR(__xludf.DUMMYFUNCTION("GOOGLETRANSLATE(C594, ""en"", ""th"")"),"มีผู้ใช้กี่คนที่ได้รับรางวัลมากกว่า 5 ตรา?")</f>
        <v>มีผู้ใช้กี่คนที่ได้รับรางวัลมากกว่า 5 ตรา?</v>
      </c>
      <c r="F594" s="1" t="s">
        <v>2150</v>
      </c>
      <c r="G594" s="1" t="s">
        <v>2151</v>
      </c>
      <c r="H594" s="1" t="s">
        <v>13</v>
      </c>
    </row>
    <row r="595">
      <c r="A595" s="1">
        <v>593.0</v>
      </c>
      <c r="B595" s="1" t="s">
        <v>1913</v>
      </c>
      <c r="C595" s="1" t="s">
        <v>2152</v>
      </c>
      <c r="D595" s="1" t="s">
        <v>2153</v>
      </c>
      <c r="E595" s="2" t="str">
        <f>IFERROR(__xludf.DUMMYFUNCTION("GOOGLETRANSLATE(C595, ""en"", ""th"")"),"ผู้ใช้จากนิวยอร์กมีตราสัญลักษณ์ครูและผู้สนับสนุนกี่คน")</f>
        <v>ผู้ใช้จากนิวยอร์กมีตราสัญลักษณ์ครูและผู้สนับสนุนกี่คน</v>
      </c>
      <c r="F595" s="1" t="s">
        <v>2154</v>
      </c>
      <c r="G595" s="1" t="s">
        <v>2155</v>
      </c>
      <c r="H595" s="1" t="s">
        <v>13</v>
      </c>
    </row>
    <row r="596">
      <c r="A596" s="1">
        <v>594.0</v>
      </c>
      <c r="B596" s="1" t="s">
        <v>1913</v>
      </c>
      <c r="C596" s="1" t="s">
        <v>2156</v>
      </c>
      <c r="E596" s="2" t="str">
        <f>IFERROR(__xludf.DUMMYFUNCTION("GOOGLETRANSLATE(C596, ""en"", ""th"")"),"ผู้ใช้คนไหนสร้างโพสต์ ID 1 และชื่อเสียงของผู้ใช้รายนี้คืออะไร?")</f>
        <v>ผู้ใช้คนไหนสร้างโพสต์ ID 1 และชื่อเสียงของผู้ใช้รายนี้คืออะไร?</v>
      </c>
      <c r="G596" s="1" t="s">
        <v>2157</v>
      </c>
      <c r="H596" s="1" t="s">
        <v>13</v>
      </c>
    </row>
    <row r="597">
      <c r="A597" s="1">
        <v>595.0</v>
      </c>
      <c r="B597" s="1" t="s">
        <v>1913</v>
      </c>
      <c r="C597" s="1" t="s">
        <v>2158</v>
      </c>
      <c r="D597" s="1" t="s">
        <v>2159</v>
      </c>
      <c r="E597" s="2" t="str">
        <f>IFERROR(__xludf.DUMMYFUNCTION("GOOGLETRANSLATE(C597, ""en"", ""th"")"),"ผู้ใช้รายใดที่มีประวัติโพสต์เพียงรายการเดียวต่อโพสต์และมีการดูอย่างน้อย 1,000 ครั้ง")</f>
        <v>ผู้ใช้รายใดที่มีประวัติโพสต์เพียงรายการเดียวต่อโพสต์และมีการดูอย่างน้อย 1,000 ครั้ง</v>
      </c>
      <c r="F597" s="1" t="s">
        <v>2160</v>
      </c>
      <c r="G597" s="1" t="s">
        <v>2161</v>
      </c>
      <c r="H597" s="1" t="s">
        <v>18</v>
      </c>
    </row>
    <row r="598">
      <c r="A598" s="1">
        <v>596.0</v>
      </c>
      <c r="B598" s="1" t="s">
        <v>1913</v>
      </c>
      <c r="C598" s="1" t="s">
        <v>2162</v>
      </c>
      <c r="D598" s="1" t="s">
        <v>2163</v>
      </c>
      <c r="E598" s="2" t="str">
        <f>IFERROR(__xludf.DUMMYFUNCTION("GOOGLETRANSLATE(C598, ""en"", ""th"")"),"ผู้ใช้คนไหนโพสต์คอมเม้นท์มากที่สุด แสดงรายการตราผู้ใช้?")</f>
        <v>ผู้ใช้คนไหนโพสต์คอมเม้นท์มากที่สุด แสดงรายการตราผู้ใช้?</v>
      </c>
      <c r="F598" s="1" t="s">
        <v>2164</v>
      </c>
      <c r="G598" s="1" t="s">
        <v>2165</v>
      </c>
      <c r="H598" s="1" t="s">
        <v>13</v>
      </c>
    </row>
    <row r="599">
      <c r="A599" s="1">
        <v>597.0</v>
      </c>
      <c r="B599" s="1" t="s">
        <v>1913</v>
      </c>
      <c r="C599" s="1" t="s">
        <v>2166</v>
      </c>
      <c r="D599" s="1" t="s">
        <v>2167</v>
      </c>
      <c r="E599" s="2" t="str">
        <f>IFERROR(__xludf.DUMMYFUNCTION("GOOGLETRANSLATE(C599, ""en"", ""th"")"),"ผู้ใช้จากอินเดียมีป้ายครูกี่คน")</f>
        <v>ผู้ใช้จากอินเดียมีป้ายครูกี่คน</v>
      </c>
      <c r="F599" s="1" t="s">
        <v>2168</v>
      </c>
      <c r="G599" s="1" t="s">
        <v>2169</v>
      </c>
      <c r="H599" s="1" t="s">
        <v>13</v>
      </c>
    </row>
    <row r="600">
      <c r="A600" s="1">
        <v>598.0</v>
      </c>
      <c r="B600" s="1" t="s">
        <v>1913</v>
      </c>
      <c r="C600" s="1" t="s">
        <v>2170</v>
      </c>
      <c r="D600" s="1" t="s">
        <v>2171</v>
      </c>
      <c r="E600" s="2" t="str">
        <f>IFERROR(__xludf.DUMMYFUNCTION("GOOGLETRANSLATE(C600, ""en"", ""th"")"),"ตราสัญลักษณ์นักเรียนที่มอบให้ระหว่างปี 2553 และ 2554 ต่างกันกี่เปอร์เซ็นต์")</f>
        <v>ตราสัญลักษณ์นักเรียนที่มอบให้ระหว่างปี 2553 และ 2554 ต่างกันกี่เปอร์เซ็นต์</v>
      </c>
      <c r="F600" s="1" t="s">
        <v>2172</v>
      </c>
      <c r="G600" s="1" t="s">
        <v>2173</v>
      </c>
      <c r="H600" s="1" t="s">
        <v>101</v>
      </c>
    </row>
    <row r="601">
      <c r="A601" s="1">
        <v>599.0</v>
      </c>
      <c r="B601" s="1" t="s">
        <v>1913</v>
      </c>
      <c r="C601" s="1" t="s">
        <v>2174</v>
      </c>
      <c r="E601" s="2" t="str">
        <f>IFERROR(__xludf.DUMMYFUNCTION("GOOGLETRANSLATE(C601, ""en"", ""th"")"),"ID ประเภทประวัติการโพสต์สำหรับ ID โพสต์ 3720 คืออะไร และมีผู้ใช้ที่ไม่ซ้ำกันกี่คนที่แสดงความคิดเห็นในโพสต์")</f>
        <v>ID ประเภทประวัติการโพสต์สำหรับ ID โพสต์ 3720 คืออะไร และมีผู้ใช้ที่ไม่ซ้ำกันกี่คนที่แสดงความคิดเห็นในโพสต์</v>
      </c>
      <c r="G601" s="1" t="s">
        <v>2175</v>
      </c>
      <c r="H601" s="1" t="s">
        <v>13</v>
      </c>
    </row>
    <row r="602">
      <c r="A602" s="1">
        <v>600.0</v>
      </c>
      <c r="B602" s="1" t="s">
        <v>1913</v>
      </c>
      <c r="C602" s="1" t="s">
        <v>2176</v>
      </c>
      <c r="D602" s="1" t="s">
        <v>2177</v>
      </c>
      <c r="E602" s="2" t="str">
        <f>IFERROR(__xludf.DUMMYFUNCTION("GOOGLETRANSLATE(C602, ""en"", ""th"")"),"แสดงรายการโพสต์ทั้งหมดที่เกี่ยวข้องกับโพสต์ ID 61217 และความนิยมของโพสต์นี้คืออะไร?")</f>
        <v>แสดงรายการโพสต์ทั้งหมดที่เกี่ยวข้องกับโพสต์ ID 61217 และความนิยมของโพสต์นี้คืออะไร?</v>
      </c>
      <c r="F602" s="1" t="s">
        <v>2178</v>
      </c>
      <c r="G602" s="1" t="s">
        <v>2179</v>
      </c>
      <c r="H602" s="1" t="s">
        <v>13</v>
      </c>
    </row>
    <row r="603">
      <c r="A603" s="1">
        <v>601.0</v>
      </c>
      <c r="B603" s="1" t="s">
        <v>1913</v>
      </c>
      <c r="C603" s="1" t="s">
        <v>2180</v>
      </c>
      <c r="E603" s="2" t="str">
        <f>IFERROR(__xludf.DUMMYFUNCTION("GOOGLETRANSLATE(C603, ""en"", ""th"")"),"คะแนนและรหัสประเภทลิงก์สำหรับโพสต์ ID 395 คืออะไร?")</f>
        <v>คะแนนและรหัสประเภทลิงก์สำหรับโพสต์ ID 395 คืออะไร?</v>
      </c>
      <c r="G603" s="1" t="s">
        <v>2181</v>
      </c>
      <c r="H603" s="1" t="s">
        <v>13</v>
      </c>
    </row>
    <row r="604">
      <c r="A604" s="1">
        <v>602.0</v>
      </c>
      <c r="B604" s="1" t="s">
        <v>1913</v>
      </c>
      <c r="C604" s="1" t="s">
        <v>2182</v>
      </c>
      <c r="D604" s="1" t="s">
        <v>2183</v>
      </c>
      <c r="E604" s="2" t="str">
        <f>IFERROR(__xludf.DUMMYFUNCTION("GOOGLETRANSLATE(C604, ""en"", ""th"")"),"แสดงรายการ ID โพสต์ทั้งหมดที่มีคะแนนมากกว่า 60 และระบุ ID ผู้ใช้ทั้งหมดที่สร้างโพสต์เหล่านี้")</f>
        <v>แสดงรายการ ID โพสต์ทั้งหมดที่มีคะแนนมากกว่า 60 และระบุ ID ผู้ใช้ทั้งหมดที่สร้างโพสต์เหล่านี้</v>
      </c>
      <c r="F604" s="1" t="s">
        <v>2184</v>
      </c>
      <c r="G604" s="1" t="s">
        <v>2185</v>
      </c>
      <c r="H604" s="1" t="s">
        <v>13</v>
      </c>
    </row>
    <row r="605">
      <c r="A605" s="1">
        <v>603.0</v>
      </c>
      <c r="B605" s="1" t="s">
        <v>1913</v>
      </c>
      <c r="C605" s="1" t="s">
        <v>2186</v>
      </c>
      <c r="D605" s="1" t="s">
        <v>2187</v>
      </c>
      <c r="E605" s="2" t="str">
        <f>IFERROR(__xludf.DUMMYFUNCTION("GOOGLETRANSLATE(C605, ""en"", ""th"")"),"ผลรวมของจำนวนรายการโปรดที่ได้รับจากผู้ใช้ ID 686 ในปี 2554 เป็นเท่าใด")</f>
        <v>ผลรวมของจำนวนรายการโปรดที่ได้รับจากผู้ใช้ ID 686 ในปี 2554 เป็นเท่าใด</v>
      </c>
      <c r="F605" s="1" t="s">
        <v>2188</v>
      </c>
      <c r="G605" s="1" t="s">
        <v>2189</v>
      </c>
      <c r="H605" s="1" t="s">
        <v>13</v>
      </c>
    </row>
    <row r="606">
      <c r="A606" s="1">
        <v>604.0</v>
      </c>
      <c r="B606" s="1" t="s">
        <v>1913</v>
      </c>
      <c r="C606" s="1" t="s">
        <v>2190</v>
      </c>
      <c r="D606" s="1" t="s">
        <v>2191</v>
      </c>
      <c r="E606" s="2" t="str">
        <f>IFERROR(__xludf.DUMMYFUNCTION("GOOGLETRANSLATE(C606, ""en"", ""th"")"),"ค่าเฉลี่ยของการโหวตขึ้นและอายุผู้ใช้เฉลี่ยสำหรับผู้ใช้ที่สร้างโพสต์มากกว่า 10 โพสต์คือเท่าใด")</f>
        <v>ค่าเฉลี่ยของการโหวตขึ้นและอายุผู้ใช้เฉลี่ยสำหรับผู้ใช้ที่สร้างโพสต์มากกว่า 10 โพสต์คือเท่าใด</v>
      </c>
      <c r="F606" s="1" t="s">
        <v>2192</v>
      </c>
      <c r="G606" s="1" t="s">
        <v>2193</v>
      </c>
      <c r="H606" s="1" t="s">
        <v>18</v>
      </c>
    </row>
    <row r="607">
      <c r="A607" s="1">
        <v>605.0</v>
      </c>
      <c r="B607" s="1" t="s">
        <v>1913</v>
      </c>
      <c r="C607" s="1" t="s">
        <v>2194</v>
      </c>
      <c r="D607" s="1" t="s">
        <v>2195</v>
      </c>
      <c r="E607" s="2" t="str">
        <f>IFERROR(__xludf.DUMMYFUNCTION("GOOGLETRANSLATE(C607, ""en"", ""th"")"),"มีผู้ใช้กี่รายที่ได้รับป้าย ""ผู้ประกาศ""")</f>
        <v>มีผู้ใช้กี่รายที่ได้รับป้าย "ผู้ประกาศ"</v>
      </c>
      <c r="F607" s="1" t="s">
        <v>2196</v>
      </c>
      <c r="G607" s="1" t="s">
        <v>2197</v>
      </c>
      <c r="H607" s="1" t="s">
        <v>13</v>
      </c>
    </row>
    <row r="608">
      <c r="A608" s="1">
        <v>606.0</v>
      </c>
      <c r="B608" s="1" t="s">
        <v>1913</v>
      </c>
      <c r="C608" s="1" t="s">
        <v>2198</v>
      </c>
      <c r="D608" s="1" t="s">
        <v>2199</v>
      </c>
      <c r="E608" s="2" t="str">
        <f>IFERROR(__xludf.DUMMYFUNCTION("GOOGLETRANSLATE(C608, ""en"", ""th"")"),"รายชื่อเหรียญตราที่ผู้ใช้ได้รับเมื่อ 19/7/2553 19:39:08 น.")</f>
        <v>รายชื่อเหรียญตราที่ผู้ใช้ได้รับเมื่อ 19/7/2553 19:39:08 น.</v>
      </c>
      <c r="F608" s="1" t="s">
        <v>2200</v>
      </c>
      <c r="G608" s="1" t="s">
        <v>2201</v>
      </c>
      <c r="H608" s="1" t="s">
        <v>13</v>
      </c>
    </row>
    <row r="609">
      <c r="A609" s="1">
        <v>607.0</v>
      </c>
      <c r="B609" s="1" t="s">
        <v>1913</v>
      </c>
      <c r="C609" s="1" t="s">
        <v>2202</v>
      </c>
      <c r="D609" s="1" t="s">
        <v>2203</v>
      </c>
      <c r="E609" s="2" t="str">
        <f>IFERROR(__xludf.DUMMYFUNCTION("GOOGLETRANSLATE(C609, ""en"", ""th"")"),"มีความคิดเห็นเชิงบวกกี่รายการในรายการ?")</f>
        <v>มีความคิดเห็นเชิงบวกกี่รายการในรายการ?</v>
      </c>
      <c r="F609" s="1" t="s">
        <v>2204</v>
      </c>
      <c r="G609" s="1" t="s">
        <v>2205</v>
      </c>
      <c r="H609" s="1" t="s">
        <v>13</v>
      </c>
    </row>
    <row r="610">
      <c r="A610" s="1">
        <v>608.0</v>
      </c>
      <c r="B610" s="1" t="s">
        <v>1913</v>
      </c>
      <c r="C610" s="1" t="s">
        <v>2206</v>
      </c>
      <c r="D610" s="1" t="s">
        <v>2207</v>
      </c>
      <c r="E610" s="2" t="str">
        <f>IFERROR(__xludf.DUMMYFUNCTION("GOOGLETRANSLATE(C610, ""en"", ""th"")"),"ระบุเนื้อหาโดยละเอียดของความเห็นที่ถูกตั้งไว้เมื่อ 19/07/2553 เวลา 19:25:47 น.")</f>
        <v>ระบุเนื้อหาโดยละเอียดของความเห็นที่ถูกตั้งไว้เมื่อ 19/07/2553 เวลา 19:25:47 น.</v>
      </c>
      <c r="F610" s="1" t="s">
        <v>2208</v>
      </c>
      <c r="G610" s="1" t="s">
        <v>2209</v>
      </c>
      <c r="H610" s="1" t="s">
        <v>13</v>
      </c>
    </row>
    <row r="611">
      <c r="A611" s="1">
        <v>609.0</v>
      </c>
      <c r="B611" s="1" t="s">
        <v>1913</v>
      </c>
      <c r="C611" s="1" t="s">
        <v>2210</v>
      </c>
      <c r="D611" s="1" t="s">
        <v>2211</v>
      </c>
      <c r="E611" s="2" t="str">
        <f>IFERROR(__xludf.DUMMYFUNCTION("GOOGLETRANSLATE(C611, ""en"", ""th"")"),"มีกี่โพสต์ที่มีคะแนน 10 ในรายการ?")</f>
        <v>มีกี่โพสต์ที่มีคะแนน 10 ในรายการ?</v>
      </c>
      <c r="F611" s="1" t="s">
        <v>2212</v>
      </c>
      <c r="G611" s="1" t="s">
        <v>2213</v>
      </c>
      <c r="H611" s="1" t="s">
        <v>13</v>
      </c>
    </row>
    <row r="612">
      <c r="A612" s="1">
        <v>610.0</v>
      </c>
      <c r="B612" s="1" t="s">
        <v>1913</v>
      </c>
      <c r="C612" s="1" t="s">
        <v>2214</v>
      </c>
      <c r="D612" s="1" t="s">
        <v>2215</v>
      </c>
      <c r="E612" s="2" t="str">
        <f>IFERROR(__xludf.DUMMYFUNCTION("GOOGLETRANSLATE(C612, ""en"", ""th"")"),"ชื่อของเหรียญตราที่ผู้ใช้ที่มีชื่อเสียงสูงสุดได้รับคืออะไร?")</f>
        <v>ชื่อของเหรียญตราที่ผู้ใช้ที่มีชื่อเสียงสูงสุดได้รับคืออะไร?</v>
      </c>
      <c r="F612" s="1" t="s">
        <v>2216</v>
      </c>
      <c r="G612" s="1" t="s">
        <v>2217</v>
      </c>
      <c r="H612" s="1" t="s">
        <v>13</v>
      </c>
    </row>
    <row r="613">
      <c r="A613" s="1">
        <v>611.0</v>
      </c>
      <c r="B613" s="1" t="s">
        <v>1913</v>
      </c>
      <c r="C613" s="1" t="s">
        <v>2218</v>
      </c>
      <c r="D613" s="1" t="s">
        <v>2199</v>
      </c>
      <c r="E613" s="2" t="str">
        <f>IFERROR(__xludf.DUMMYFUNCTION("GOOGLETRANSLATE(C613, ""en"", ""th"")"),"กล่าวถึงชื่อเสียงของผู้ใช้ที่ได้รับตราเมื่อ 19/07/2553 เวลา 19:39:08 น.")</f>
        <v>กล่าวถึงชื่อเสียงของผู้ใช้ที่ได้รับตราเมื่อ 19/07/2553 เวลา 19:39:08 น.</v>
      </c>
      <c r="F613" s="1" t="s">
        <v>2200</v>
      </c>
      <c r="G613" s="1" t="s">
        <v>2219</v>
      </c>
      <c r="H613" s="1" t="s">
        <v>13</v>
      </c>
    </row>
    <row r="614">
      <c r="A614" s="1">
        <v>612.0</v>
      </c>
      <c r="B614" s="1" t="s">
        <v>1913</v>
      </c>
      <c r="C614" s="1" t="s">
        <v>2220</v>
      </c>
      <c r="E614" s="2" t="str">
        <f>IFERROR(__xludf.DUMMYFUNCTION("GOOGLETRANSLATE(C614, ""en"", ""th"")"),"ชื่อของตราสัญลักษณ์ที่ผู้ใช้ซึ่งมีชื่อที่แสดงคือ ""ปิแอร์"" ได้รับคืออะไร")</f>
        <v>ชื่อของตราสัญลักษณ์ที่ผู้ใช้ซึ่งมีชื่อที่แสดงคือ "ปิแอร์" ได้รับคืออะไร</v>
      </c>
      <c r="G614" s="1" t="s">
        <v>2221</v>
      </c>
      <c r="H614" s="1" t="s">
        <v>13</v>
      </c>
    </row>
    <row r="615">
      <c r="A615" s="1">
        <v>613.0</v>
      </c>
      <c r="B615" s="1" t="s">
        <v>1913</v>
      </c>
      <c r="C615" s="1" t="s">
        <v>2222</v>
      </c>
      <c r="D615" s="1" t="s">
        <v>2223</v>
      </c>
      <c r="E615" s="2" t="str">
        <f>IFERROR(__xludf.DUMMYFUNCTION("GOOGLETRANSLATE(C615, ""en"", ""th"")"),"ระบุวันที่ที่ผู้ใช้ที่อยู่ในโรเชสเตอร์ รัฐนิวยอร์ก ได้รับป้ายสถานะของตน")</f>
        <v>ระบุวันที่ที่ผู้ใช้ที่อยู่ในโรเชสเตอร์ รัฐนิวยอร์ก ได้รับป้ายสถานะของตน</v>
      </c>
      <c r="F615" s="1" t="s">
        <v>2224</v>
      </c>
      <c r="G615" s="1" t="s">
        <v>2225</v>
      </c>
      <c r="H615" s="1" t="s">
        <v>13</v>
      </c>
    </row>
    <row r="616">
      <c r="A616" s="1">
        <v>614.0</v>
      </c>
      <c r="B616" s="1" t="s">
        <v>1913</v>
      </c>
      <c r="C616" s="1" t="s">
        <v>2226</v>
      </c>
      <c r="D616" s="1" t="s">
        <v>2227</v>
      </c>
      <c r="E616" s="2" t="str">
        <f>IFERROR(__xludf.DUMMYFUNCTION("GOOGLETRANSLATE(C616, ""en"", ""th"")"),"ในบรรดาผู้ใช้ที่ได้รับป้าย ""ครู"" ให้คำนวณเปอร์เซ็นต์ของผู้ใช้")</f>
        <v>ในบรรดาผู้ใช้ที่ได้รับป้าย "ครู" ให้คำนวณเปอร์เซ็นต์ของผู้ใช้</v>
      </c>
      <c r="F616" s="1" t="s">
        <v>2228</v>
      </c>
      <c r="G616" s="1" t="s">
        <v>2229</v>
      </c>
      <c r="H616" s="1" t="s">
        <v>13</v>
      </c>
    </row>
    <row r="617">
      <c r="A617" s="1">
        <v>615.0</v>
      </c>
      <c r="B617" s="1" t="s">
        <v>1913</v>
      </c>
      <c r="C617" s="1" t="s">
        <v>2230</v>
      </c>
      <c r="D617" s="1" t="s">
        <v>2231</v>
      </c>
      <c r="E617" s="2" t="str">
        <f>IFERROR(__xludf.DUMMYFUNCTION("GOOGLETRANSLATE(C617, ""en"", ""th"")"),"ในบรรดาผู้ใช้ที่ได้รับป้าย ""Organizer"" ให้คำนวณเปอร์เซ็นต์ของผู้ใช้ที่เป็นวัยรุ่น")</f>
        <v>ในบรรดาผู้ใช้ที่ได้รับป้าย "Organizer" ให้คำนวณเปอร์เซ็นต์ของผู้ใช้ที่เป็นวัยรุ่น</v>
      </c>
      <c r="F617" s="1" t="s">
        <v>2232</v>
      </c>
      <c r="G617" s="1" t="s">
        <v>2233</v>
      </c>
      <c r="H617" s="1" t="s">
        <v>18</v>
      </c>
    </row>
    <row r="618">
      <c r="A618" s="1">
        <v>616.0</v>
      </c>
      <c r="B618" s="1" t="s">
        <v>1913</v>
      </c>
      <c r="C618" s="1" t="s">
        <v>2234</v>
      </c>
      <c r="D618" s="1" t="s">
        <v>2235</v>
      </c>
      <c r="E618" s="2" t="str">
        <f>IFERROR(__xludf.DUMMYFUNCTION("GOOGLETRANSLATE(C618, ""en"", ""th"")"),"คะแนนความคิดเห็นของโพสต์เมื่อ 19/7/2553 เป็นเท่าใด 19:19:56 น.")</f>
        <v>คะแนนความคิดเห็นของโพสต์เมื่อ 19/7/2553 เป็นเท่าใด 19:19:56 น.</v>
      </c>
      <c r="F618" s="1" t="s">
        <v>2236</v>
      </c>
      <c r="G618" s="1" t="s">
        <v>2237</v>
      </c>
      <c r="H618" s="1" t="s">
        <v>13</v>
      </c>
    </row>
    <row r="619">
      <c r="A619" s="1">
        <v>617.0</v>
      </c>
      <c r="B619" s="1" t="s">
        <v>1913</v>
      </c>
      <c r="C619" s="1" t="s">
        <v>2238</v>
      </c>
      <c r="D619" s="1" t="s">
        <v>2239</v>
      </c>
      <c r="E619" s="2" t="str">
        <f>IFERROR(__xludf.DUMMYFUNCTION("GOOGLETRANSLATE(C619, ""en"", ""th"")"),"เนื้อหาโดยละเอียดของความคิดเห็นของโพสต์เมื่อวันที่ 19/7/2553 เวลา 19:37:33 น. คืออะไร?")</f>
        <v>เนื้อหาโดยละเอียดของความคิดเห็นของโพสต์เมื่อวันที่ 19/7/2553 เวลา 19:37:33 น. คืออะไร?</v>
      </c>
      <c r="F619" s="1" t="s">
        <v>2240</v>
      </c>
      <c r="G619" s="1" t="s">
        <v>2241</v>
      </c>
      <c r="H619" s="1" t="s">
        <v>13</v>
      </c>
    </row>
    <row r="620">
      <c r="A620" s="1">
        <v>618.0</v>
      </c>
      <c r="B620" s="1" t="s">
        <v>1913</v>
      </c>
      <c r="C620" s="1" t="s">
        <v>2242</v>
      </c>
      <c r="D620" s="1" t="s">
        <v>2243</v>
      </c>
      <c r="E620" s="2" t="str">
        <f>IFERROR(__xludf.DUMMYFUNCTION("GOOGLETRANSLATE(C620, ""en"", ""th"")"),"ระบุอายุของผู้ใช้ที่อยู่ในเวียนนา ประเทศออสเตรีย ที่ได้รับป้ายสถานะ")</f>
        <v>ระบุอายุของผู้ใช้ที่อยู่ในเวียนนา ประเทศออสเตรีย ที่ได้รับป้ายสถานะ</v>
      </c>
      <c r="F620" s="1" t="s">
        <v>2244</v>
      </c>
      <c r="G620" s="1" t="s">
        <v>2245</v>
      </c>
      <c r="H620" s="1" t="s">
        <v>13</v>
      </c>
    </row>
    <row r="621">
      <c r="A621" s="1">
        <v>619.0</v>
      </c>
      <c r="B621" s="1" t="s">
        <v>1913</v>
      </c>
      <c r="C621" s="1" t="s">
        <v>2246</v>
      </c>
      <c r="D621" s="1" t="s">
        <v>2247</v>
      </c>
      <c r="E621" s="2" t="str">
        <f>IFERROR(__xludf.DUMMYFUNCTION("GOOGLETRANSLATE(C621, ""en"", ""th"")"),"มีผู้ใหญ่กี่คนที่ได้รับตรา Supporter?")</f>
        <v>มีผู้ใหญ่กี่คนที่ได้รับตรา Supporter?</v>
      </c>
      <c r="F621" s="1" t="s">
        <v>2248</v>
      </c>
      <c r="G621" s="1" t="s">
        <v>2249</v>
      </c>
      <c r="H621" s="1" t="s">
        <v>13</v>
      </c>
    </row>
    <row r="622">
      <c r="A622" s="1">
        <v>620.0</v>
      </c>
      <c r="B622" s="1" t="s">
        <v>1913</v>
      </c>
      <c r="C622" s="1" t="s">
        <v>2250</v>
      </c>
      <c r="D622" s="1" t="s">
        <v>2199</v>
      </c>
      <c r="E622" s="2" t="str">
        <f>IFERROR(__xludf.DUMMYFUNCTION("GOOGLETRANSLATE(C622, ""en"", ""th"")"),"ระบุยอดเข้าชมผู้ใช้ที่ได้รับตราสัญลักษณ์ เมื่อวันที่ 19/07/2553 เวลา 19:39:08 น.")</f>
        <v>ระบุยอดเข้าชมผู้ใช้ที่ได้รับตราสัญลักษณ์ เมื่อวันที่ 19/07/2553 เวลา 19:39:08 น.</v>
      </c>
      <c r="F622" s="1" t="s">
        <v>2200</v>
      </c>
      <c r="G622" s="1" t="s">
        <v>2251</v>
      </c>
      <c r="H622" s="1" t="s">
        <v>13</v>
      </c>
    </row>
    <row r="623">
      <c r="A623" s="1">
        <v>621.0</v>
      </c>
      <c r="B623" s="1" t="s">
        <v>1913</v>
      </c>
      <c r="C623" s="1" t="s">
        <v>2252</v>
      </c>
      <c r="D623" s="1" t="s">
        <v>2253</v>
      </c>
      <c r="E623" s="2" t="str">
        <f>IFERROR(__xludf.DUMMYFUNCTION("GOOGLETRANSLATE(C623, ""en"", ""th"")"),"ชื่อของเหรียญตราที่ผู้ใช้ที่มีชื่อเสียงต่ำที่สุดได้รับคืออะไร?")</f>
        <v>ชื่อของเหรียญตราที่ผู้ใช้ที่มีชื่อเสียงต่ำที่สุดได้รับคืออะไร?</v>
      </c>
      <c r="F623" s="1" t="s">
        <v>2254</v>
      </c>
      <c r="G623" s="1" t="s">
        <v>2255</v>
      </c>
      <c r="H623" s="1" t="s">
        <v>13</v>
      </c>
    </row>
    <row r="624">
      <c r="A624" s="1">
        <v>622.0</v>
      </c>
      <c r="B624" s="1" t="s">
        <v>1913</v>
      </c>
      <c r="C624" s="1" t="s">
        <v>2256</v>
      </c>
      <c r="D624" s="1" t="s">
        <v>2257</v>
      </c>
      <c r="E624" s="2" t="str">
        <f>IFERROR(__xludf.DUMMYFUNCTION("GOOGLETRANSLATE(C624, ""en"", ""th"")"),"ระบุชื่อตราสัญลักษณ์ที่ผู้ใช้ซึ่งมีชื่อที่แสดงเป็น ""Sharpie"" ได้รับ")</f>
        <v>ระบุชื่อตราสัญลักษณ์ที่ผู้ใช้ซึ่งมีชื่อที่แสดงเป็น "Sharpie" ได้รับ</v>
      </c>
      <c r="F624" s="1" t="s">
        <v>2258</v>
      </c>
      <c r="G624" s="1" t="s">
        <v>2259</v>
      </c>
      <c r="H624" s="1" t="s">
        <v>13</v>
      </c>
    </row>
    <row r="625">
      <c r="A625" s="1">
        <v>623.0</v>
      </c>
      <c r="B625" s="1" t="s">
        <v>1913</v>
      </c>
      <c r="C625" s="1" t="s">
        <v>2260</v>
      </c>
      <c r="D625" s="1" t="s">
        <v>2261</v>
      </c>
      <c r="E625" s="2" t="str">
        <f>IFERROR(__xludf.DUMMYFUNCTION("GOOGLETRANSLATE(C625, ""en"", ""th"")"),"มีผู้เฒ่ากี่คนที่ได้รับตรา ""ผู้สนับสนุน""?")</f>
        <v>มีผู้เฒ่ากี่คนที่ได้รับตรา "ผู้สนับสนุน"?</v>
      </c>
      <c r="F625" s="1" t="s">
        <v>2262</v>
      </c>
      <c r="G625" s="1" t="s">
        <v>2263</v>
      </c>
      <c r="H625" s="1" t="s">
        <v>13</v>
      </c>
    </row>
    <row r="626">
      <c r="A626" s="1">
        <v>624.0</v>
      </c>
      <c r="B626" s="1" t="s">
        <v>1913</v>
      </c>
      <c r="C626" s="1" t="s">
        <v>2264</v>
      </c>
      <c r="D626" s="1" t="s">
        <v>2265</v>
      </c>
      <c r="E626" s="2" t="str">
        <f>IFERROR(__xludf.DUMMYFUNCTION("GOOGLETRANSLATE(C626, ""en"", ""th"")"),"ผู้ใช้ชื่ออะไร ID 30 คืออะไร?")</f>
        <v>ผู้ใช้ชื่ออะไร ID 30 คืออะไร?</v>
      </c>
      <c r="F626" s="1" t="s">
        <v>2266</v>
      </c>
      <c r="G626" s="1" t="s">
        <v>2267</v>
      </c>
      <c r="H626" s="1" t="s">
        <v>13</v>
      </c>
    </row>
    <row r="627">
      <c r="A627" s="1">
        <v>625.0</v>
      </c>
      <c r="B627" s="1" t="s">
        <v>1913</v>
      </c>
      <c r="C627" s="1" t="s">
        <v>2268</v>
      </c>
      <c r="D627" s="1" t="s">
        <v>2269</v>
      </c>
      <c r="E627" s="2" t="str">
        <f>IFERROR(__xludf.DUMMYFUNCTION("GOOGLETRANSLATE(C627, ""en"", ""th"")"),"มีผู้ใช้งานจากนิวยอร์กกี่คน?")</f>
        <v>มีผู้ใช้งานจากนิวยอร์กกี่คน?</v>
      </c>
      <c r="F627" s="1" t="s">
        <v>2270</v>
      </c>
      <c r="G627" s="1" t="s">
        <v>2271</v>
      </c>
      <c r="H627" s="1" t="s">
        <v>13</v>
      </c>
    </row>
    <row r="628">
      <c r="A628" s="1">
        <v>626.0</v>
      </c>
      <c r="B628" s="1" t="s">
        <v>1913</v>
      </c>
      <c r="C628" s="1" t="s">
        <v>2272</v>
      </c>
      <c r="D628" s="1" t="s">
        <v>2273</v>
      </c>
      <c r="E628" s="2" t="str">
        <f>IFERROR(__xludf.DUMMYFUNCTION("GOOGLETRANSLATE(C628, ""en"", ""th"")"),"ในปี 2553 มีการลงคะแนนเสียงจำนวนเท่าใด")</f>
        <v>ในปี 2553 มีการลงคะแนนเสียงจำนวนเท่าใด</v>
      </c>
      <c r="F628" s="1" t="s">
        <v>2274</v>
      </c>
      <c r="G628" s="1" t="s">
        <v>2275</v>
      </c>
      <c r="H628" s="1" t="s">
        <v>13</v>
      </c>
    </row>
    <row r="629">
      <c r="A629" s="1">
        <v>627.0</v>
      </c>
      <c r="B629" s="1" t="s">
        <v>1913</v>
      </c>
      <c r="C629" s="1" t="s">
        <v>2276</v>
      </c>
      <c r="D629" s="1" t="s">
        <v>2277</v>
      </c>
      <c r="E629" s="2" t="str">
        <f>IFERROR(__xludf.DUMMYFUNCTION("GOOGLETRANSLATE(C629, ""en"", ""th"")"),"ผู้ใช้ที่เป็นผู้ใหญ่มีกี่คน?")</f>
        <v>ผู้ใช้ที่เป็นผู้ใหญ่มีกี่คน?</v>
      </c>
      <c r="F629" s="1" t="s">
        <v>2278</v>
      </c>
      <c r="G629" s="1" t="s">
        <v>2279</v>
      </c>
      <c r="H629" s="1" t="s">
        <v>13</v>
      </c>
    </row>
    <row r="630">
      <c r="A630" s="1">
        <v>628.0</v>
      </c>
      <c r="B630" s="1" t="s">
        <v>1913</v>
      </c>
      <c r="C630" s="1" t="s">
        <v>2280</v>
      </c>
      <c r="D630" s="1" t="s">
        <v>2281</v>
      </c>
      <c r="E630" s="2" t="str">
        <f>IFERROR(__xludf.DUMMYFUNCTION("GOOGLETRANSLATE(C630, ""en"", ""th"")"),"ผู้ใช้รายใดมีจำนวนการดูสูงสุด?")</f>
        <v>ผู้ใช้รายใดมีจำนวนการดูสูงสุด?</v>
      </c>
      <c r="F630" s="1" t="s">
        <v>2282</v>
      </c>
      <c r="G630" s="1" t="s">
        <v>2283</v>
      </c>
      <c r="H630" s="1" t="s">
        <v>13</v>
      </c>
    </row>
    <row r="631">
      <c r="A631" s="1">
        <v>629.0</v>
      </c>
      <c r="B631" s="1" t="s">
        <v>1913</v>
      </c>
      <c r="C631" s="1" t="s">
        <v>2284</v>
      </c>
      <c r="D631" s="1" t="s">
        <v>2285</v>
      </c>
      <c r="E631" s="2" t="str">
        <f>IFERROR(__xludf.DUMMYFUNCTION("GOOGLETRANSLATE(C631, ""en"", ""th"")"),"คำนวณอัตราส่วนคะแนนเสียงในปี 2553 และ 2554")</f>
        <v>คำนวณอัตราส่วนคะแนนเสียงในปี 2553 และ 2554</v>
      </c>
      <c r="F631" s="1" t="s">
        <v>2286</v>
      </c>
      <c r="G631" s="1" t="s">
        <v>2287</v>
      </c>
      <c r="H631" s="1" t="s">
        <v>13</v>
      </c>
    </row>
    <row r="632">
      <c r="A632" s="1">
        <v>630.0</v>
      </c>
      <c r="B632" s="1" t="s">
        <v>1913</v>
      </c>
      <c r="C632" s="1" t="s">
        <v>2288</v>
      </c>
      <c r="D632" s="1" t="s">
        <v>2289</v>
      </c>
      <c r="E632" s="2" t="str">
        <f>IFERROR(__xludf.DUMMYFUNCTION("GOOGLETRANSLATE(C632, ""en"", ""th"")"),"แท็กชื่ออะไรที่ใช้โดย John Salvatier's")</f>
        <v>แท็กชื่ออะไรที่ใช้โดย John Salvatier's</v>
      </c>
      <c r="F632" s="1" t="s">
        <v>2290</v>
      </c>
      <c r="G632" s="1" t="s">
        <v>2291</v>
      </c>
      <c r="H632" s="1" t="s">
        <v>13</v>
      </c>
    </row>
    <row r="633">
      <c r="A633" s="1">
        <v>631.0</v>
      </c>
      <c r="B633" s="1" t="s">
        <v>1913</v>
      </c>
      <c r="C633" s="1" t="s">
        <v>2292</v>
      </c>
      <c r="D633" s="1" t="s">
        <v>2293</v>
      </c>
      <c r="E633" s="2" t="str">
        <f>IFERROR(__xludf.DUMMYFUNCTION("GOOGLETRANSLATE(C633, ""en"", ""th"")"),"Daniel Vassallo สร้างโพสต์จำนวนเท่าใด")</f>
        <v>Daniel Vassallo สร้างโพสต์จำนวนเท่าใด</v>
      </c>
      <c r="F633" s="1" t="s">
        <v>2294</v>
      </c>
      <c r="G633" s="1" t="s">
        <v>2295</v>
      </c>
      <c r="H633" s="1" t="s">
        <v>13</v>
      </c>
    </row>
    <row r="634">
      <c r="A634" s="1">
        <v>632.0</v>
      </c>
      <c r="B634" s="1" t="s">
        <v>1913</v>
      </c>
      <c r="C634" s="1" t="s">
        <v>2296</v>
      </c>
      <c r="D634" s="1" t="s">
        <v>2297</v>
      </c>
      <c r="E634" s="2" t="str">
        <f>IFERROR(__xludf.DUMMYFUNCTION("GOOGLETRANSLATE(C634, ""en"", ""th"")"),"ฮาร์ลานทำคะแนนได้กี่คะแนน?")</f>
        <v>ฮาร์ลานทำคะแนนได้กี่คะแนน?</v>
      </c>
      <c r="F634" s="1" t="s">
        <v>2298</v>
      </c>
      <c r="G634" s="1" t="s">
        <v>2299</v>
      </c>
      <c r="H634" s="1" t="s">
        <v>13</v>
      </c>
    </row>
    <row r="635">
      <c r="A635" s="1">
        <v>633.0</v>
      </c>
      <c r="B635" s="1" t="s">
        <v>1913</v>
      </c>
      <c r="C635" s="1" t="s">
        <v>2300</v>
      </c>
      <c r="D635" s="1" t="s">
        <v>2301</v>
      </c>
      <c r="E635" s="2" t="str">
        <f>IFERROR(__xludf.DUMMYFUNCTION("GOOGLETRANSLATE(C635, ""en"", ""th"")"),"โพสต์ใดโดย slashnick มีคำตอบมากที่สุด? ระบุรหัสโพสต์")</f>
        <v>โพสต์ใดโดย slashnick มีคำตอบมากที่สุด? ระบุรหัสโพสต์</v>
      </c>
      <c r="F635" s="1" t="s">
        <v>2302</v>
      </c>
      <c r="G635" s="1" t="s">
        <v>2303</v>
      </c>
      <c r="H635" s="1" t="s">
        <v>18</v>
      </c>
    </row>
    <row r="636">
      <c r="A636" s="1">
        <v>634.0</v>
      </c>
      <c r="B636" s="1" t="s">
        <v>1913</v>
      </c>
      <c r="C636" s="1" t="s">
        <v>2304</v>
      </c>
      <c r="D636" s="1" t="s">
        <v>2305</v>
      </c>
      <c r="E636" s="2" t="str">
        <f>IFERROR(__xludf.DUMMYFUNCTION("GOOGLETRANSLATE(C636, ""en"", ""th"")"),"ในบรรดาโพสต์ของ Harvey Motulsky และ Noah Snyder โพสต์ใดได้รับความนิยมมากกว่า")</f>
        <v>ในบรรดาโพสต์ของ Harvey Motulsky และ Noah Snyder โพสต์ใดได้รับความนิยมมากกว่า</v>
      </c>
      <c r="F636" s="1" t="s">
        <v>2306</v>
      </c>
      <c r="G636" s="1" t="s">
        <v>2307</v>
      </c>
      <c r="H636" s="1" t="s">
        <v>101</v>
      </c>
    </row>
    <row r="637">
      <c r="A637" s="1">
        <v>635.0</v>
      </c>
      <c r="B637" s="1" t="s">
        <v>1913</v>
      </c>
      <c r="C637" s="1" t="s">
        <v>2308</v>
      </c>
      <c r="D637" s="1" t="s">
        <v>2309</v>
      </c>
      <c r="E637" s="2" t="str">
        <f>IFERROR(__xludf.DUMMYFUNCTION("GOOGLETRANSLATE(C637, ""en"", ""th"")"),"มีกี่โพสต์ของ Matt Parker ที่มีคะแนนโหวตมากกว่า 4 ครั้ง")</f>
        <v>มีกี่โพสต์ของ Matt Parker ที่มีคะแนนโหวตมากกว่า 4 ครั้ง</v>
      </c>
      <c r="F637" s="1" t="s">
        <v>2310</v>
      </c>
      <c r="G637" s="1" t="s">
        <v>2311</v>
      </c>
      <c r="H637" s="1" t="s">
        <v>18</v>
      </c>
    </row>
    <row r="638">
      <c r="A638" s="1">
        <v>636.0</v>
      </c>
      <c r="B638" s="1" t="s">
        <v>1913</v>
      </c>
      <c r="C638" s="1" t="s">
        <v>2312</v>
      </c>
      <c r="D638" s="1" t="s">
        <v>2313</v>
      </c>
      <c r="E638" s="2" t="str">
        <f>IFERROR(__xludf.DUMMYFUNCTION("GOOGLETRANSLATE(C638, ""en"", ""th"")"),"Neil McGuigan ได้รับความคิดเห็นเชิงลบจำนวนเท่าใดในโพสต์ของเขา")</f>
        <v>Neil McGuigan ได้รับความคิดเห็นเชิงลบจำนวนเท่าใดในโพสต์ของเขา</v>
      </c>
      <c r="F638" s="1" t="s">
        <v>2314</v>
      </c>
      <c r="G638" s="1" t="s">
        <v>2315</v>
      </c>
      <c r="H638" s="1" t="s">
        <v>13</v>
      </c>
    </row>
    <row r="639">
      <c r="A639" s="1">
        <v>637.0</v>
      </c>
      <c r="B639" s="1" t="s">
        <v>1913</v>
      </c>
      <c r="C639" s="1" t="s">
        <v>2316</v>
      </c>
      <c r="D639" s="1" t="s">
        <v>2317</v>
      </c>
      <c r="E639" s="2" t="str">
        <f>IFERROR(__xludf.DUMMYFUNCTION("GOOGLETRANSLATE(C639, ""en"", ""th"")"),"ระบุแท็กทั้งหมดที่ Mark Meckes ใช้ในโพสต์ของเขาที่ไม่มีความคิดเห็น")</f>
        <v>ระบุแท็กทั้งหมดที่ Mark Meckes ใช้ในโพสต์ของเขาที่ไม่มีความคิดเห็น</v>
      </c>
      <c r="F639" s="1" t="s">
        <v>2318</v>
      </c>
      <c r="G639" s="1" t="s">
        <v>2319</v>
      </c>
      <c r="H639" s="1" t="s">
        <v>18</v>
      </c>
    </row>
    <row r="640">
      <c r="A640" s="1">
        <v>638.0</v>
      </c>
      <c r="B640" s="1" t="s">
        <v>1913</v>
      </c>
      <c r="C640" s="1" t="s">
        <v>2320</v>
      </c>
      <c r="D640" s="1" t="s">
        <v>2321</v>
      </c>
      <c r="E640" s="2" t="str">
        <f>IFERROR(__xludf.DUMMYFUNCTION("GOOGLETRANSLATE(C640, ""en"", ""th"")"),"ระบุรายชื่อผู้ใช้ทั้งหมดที่ได้รับป้าย Organizer")</f>
        <v>ระบุรายชื่อผู้ใช้ทั้งหมดที่ได้รับป้าย Organizer</v>
      </c>
      <c r="F640" s="1" t="s">
        <v>2322</v>
      </c>
      <c r="G640" s="1" t="s">
        <v>2323</v>
      </c>
      <c r="H640" s="1" t="s">
        <v>13</v>
      </c>
    </row>
    <row r="641">
      <c r="A641" s="1">
        <v>639.0</v>
      </c>
      <c r="B641" s="1" t="s">
        <v>1913</v>
      </c>
      <c r="C641" s="1" t="s">
        <v>2324</v>
      </c>
      <c r="D641" s="1" t="s">
        <v>2325</v>
      </c>
      <c r="E641" s="2" t="str">
        <f>IFERROR(__xludf.DUMMYFUNCTION("GOOGLETRANSLATE(C641, ""en"", ""th"")"),"จากโพสต์ที่โพสต์โดยชุมชน ให้คำนวณเปอร์เซ็นต์ของโพสต์ที่ใช้ภาษา R")</f>
        <v>จากโพสต์ที่โพสต์โดยชุมชน ให้คำนวณเปอร์เซ็นต์ของโพสต์ที่ใช้ภาษา R</v>
      </c>
      <c r="F641" s="1" t="s">
        <v>2326</v>
      </c>
      <c r="G641" s="1" t="s">
        <v>2327</v>
      </c>
      <c r="H641" s="1" t="s">
        <v>101</v>
      </c>
    </row>
    <row r="642">
      <c r="A642" s="1">
        <v>640.0</v>
      </c>
      <c r="B642" s="1" t="s">
        <v>1913</v>
      </c>
      <c r="C642" s="1" t="s">
        <v>2328</v>
      </c>
      <c r="D642" s="1" t="s">
        <v>2329</v>
      </c>
      <c r="E642" s="2" t="str">
        <f>IFERROR(__xludf.DUMMYFUNCTION("GOOGLETRANSLATE(C642, ""en"", ""th"")"),"คำนวณส่วนต่างของจำนวนการดูจากโพสต์ที่โพสต์โดย Mornington และจำนวนการดูจากโพสต์ที่โพสต์โดย Amos")</f>
        <v>คำนวณส่วนต่างของจำนวนการดูจากโพสต์ที่โพสต์โดย Mornington และจำนวนการดูจากโพสต์ที่โพสต์โดย Amos</v>
      </c>
      <c r="F642" s="1" t="s">
        <v>2330</v>
      </c>
      <c r="G642" s="1" t="s">
        <v>2331</v>
      </c>
      <c r="H642" s="1" t="s">
        <v>18</v>
      </c>
    </row>
    <row r="643">
      <c r="A643" s="1">
        <v>641.0</v>
      </c>
      <c r="B643" s="1" t="s">
        <v>1913</v>
      </c>
      <c r="C643" s="1" t="s">
        <v>2332</v>
      </c>
      <c r="D643" s="1" t="s">
        <v>2333</v>
      </c>
      <c r="E643" s="2" t="str">
        <f>IFERROR(__xludf.DUMMYFUNCTION("GOOGLETRANSLATE(C643, ""en"", ""th"")"),"มีผู้ใช้กี่รายที่ได้รับป้ายผู้แสดงความคิดเห็นในปี 2014")</f>
        <v>มีผู้ใช้กี่รายที่ได้รับป้ายผู้แสดงความคิดเห็นในปี 2014</v>
      </c>
      <c r="F643" s="1" t="s">
        <v>2334</v>
      </c>
      <c r="G643" s="1" t="s">
        <v>2335</v>
      </c>
      <c r="H643" s="1" t="s">
        <v>13</v>
      </c>
    </row>
    <row r="644">
      <c r="A644" s="1">
        <v>642.0</v>
      </c>
      <c r="B644" s="1" t="s">
        <v>1913</v>
      </c>
      <c r="C644" s="1" t="s">
        <v>2336</v>
      </c>
      <c r="D644" s="1" t="s">
        <v>2337</v>
      </c>
      <c r="E644" s="2" t="str">
        <f>IFERROR(__xludf.DUMMYFUNCTION("GOOGLETRANSLATE(C644, ""en"", ""th"")"),"มีกี่โพสต์ถูกสร้างขึ้นในวันที่ 21 กรกฎาคม 2010?")</f>
        <v>มีกี่โพสต์ถูกสร้างขึ้นในวันที่ 21 กรกฎาคม 2010?</v>
      </c>
      <c r="F644" s="1" t="s">
        <v>2338</v>
      </c>
      <c r="G644" s="1" t="s">
        <v>2339</v>
      </c>
      <c r="H644" s="1" t="s">
        <v>13</v>
      </c>
    </row>
    <row r="645">
      <c r="A645" s="1">
        <v>643.0</v>
      </c>
      <c r="B645" s="1" t="s">
        <v>1913</v>
      </c>
      <c r="C645" s="1" t="s">
        <v>2340</v>
      </c>
      <c r="D645" s="1" t="s">
        <v>2341</v>
      </c>
      <c r="E645" s="2" t="str">
        <f>IFERROR(__xludf.DUMMYFUNCTION("GOOGLETRANSLATE(C645, ""en"", ""th"")"),"ชื่อที่แสดงและอายุของผู้ใช้ที่มียอดดูสูงสุดคือข้อใด")</f>
        <v>ชื่อที่แสดงและอายุของผู้ใช้ที่มียอดดูสูงสุดคือข้อใด</v>
      </c>
      <c r="F645" s="1" t="s">
        <v>2342</v>
      </c>
      <c r="G645" s="1" t="s">
        <v>2343</v>
      </c>
      <c r="H645" s="1" t="s">
        <v>13</v>
      </c>
    </row>
    <row r="646">
      <c r="A646" s="1">
        <v>644.0</v>
      </c>
      <c r="B646" s="1" t="s">
        <v>1913</v>
      </c>
      <c r="C646" s="1" t="s">
        <v>2344</v>
      </c>
      <c r="D646" s="1" t="s">
        <v>2345</v>
      </c>
      <c r="E646" s="2" t="str">
        <f>IFERROR(__xludf.DUMMYFUNCTION("GOOGLETRANSLATE(C646, ""en"", ""th"")"),"ระบุวันที่แก้ไขล่าสุดและ ID ผู้ใช้แก้ไขล่าสุดสำหรับโพสต์ ""การตรวจจับใบหน้าที่กำหนดในฐานข้อมูลภาพใบหน้า""")</f>
        <v>ระบุวันที่แก้ไขล่าสุดและ ID ผู้ใช้แก้ไขล่าสุดสำหรับโพสต์ "การตรวจจับใบหน้าที่กำหนดในฐานข้อมูลภาพใบหน้า"</v>
      </c>
      <c r="F646" s="1" t="s">
        <v>2346</v>
      </c>
      <c r="G646" s="1" t="s">
        <v>2347</v>
      </c>
      <c r="H646" s="1" t="s">
        <v>13</v>
      </c>
    </row>
    <row r="647">
      <c r="A647" s="1">
        <v>645.0</v>
      </c>
      <c r="B647" s="1" t="s">
        <v>1913</v>
      </c>
      <c r="C647" s="1" t="s">
        <v>2348</v>
      </c>
      <c r="D647" s="1" t="s">
        <v>2349</v>
      </c>
      <c r="E647" s="2" t="str">
        <f>IFERROR(__xludf.DUMMYFUNCTION("GOOGLETRANSLATE(C647, ""en"", ""th"")"),"ผู้ใช้ ID 13 แสดงความคิดเห็นเชิงลบจำนวนเท่าใด")</f>
        <v>ผู้ใช้ ID 13 แสดงความคิดเห็นเชิงลบจำนวนเท่าใด</v>
      </c>
      <c r="F647" s="1" t="s">
        <v>2350</v>
      </c>
      <c r="G647" s="1" t="s">
        <v>2351</v>
      </c>
      <c r="H647" s="1" t="s">
        <v>13</v>
      </c>
    </row>
    <row r="648">
      <c r="A648" s="1">
        <v>646.0</v>
      </c>
      <c r="B648" s="1" t="s">
        <v>1913</v>
      </c>
      <c r="C648" s="1" t="s">
        <v>2352</v>
      </c>
      <c r="D648" s="1" t="s">
        <v>2353</v>
      </c>
      <c r="E648" s="2" t="str">
        <f>IFERROR(__xludf.DUMMYFUNCTION("GOOGLETRANSLATE(C648, ""en"", ""th"")"),"อธิบายชื่อโพสต์ซึ่งมีความคิดเห็นเชิงบวกและแสดงชื่อของผู้ใช้ที่โพสต์ความคิดเห็นเหล่านั้น")</f>
        <v>อธิบายชื่อโพสต์ซึ่งมีความคิดเห็นเชิงบวกและแสดงชื่อของผู้ใช้ที่โพสต์ความคิดเห็นเหล่านั้น</v>
      </c>
      <c r="F648" s="1" t="s">
        <v>2354</v>
      </c>
      <c r="G648" s="1" t="s">
        <v>2355</v>
      </c>
      <c r="H648" s="1" t="s">
        <v>13</v>
      </c>
    </row>
    <row r="649">
      <c r="A649" s="1">
        <v>647.0</v>
      </c>
      <c r="B649" s="1" t="s">
        <v>1913</v>
      </c>
      <c r="C649" s="1" t="s">
        <v>2356</v>
      </c>
      <c r="D649" s="1" t="s">
        <v>2357</v>
      </c>
      <c r="E649" s="2" t="str">
        <f>IFERROR(__xludf.DUMMYFUNCTION("GOOGLETRANSLATE(C649, ""en"", ""th"")"),"ระบุชื่อป้ายสถานะที่ได้รับในปี 2011 สำหรับผู้ใช้ที่มีตำแหน่งอยู่ในขั้วโลกเหนือ")</f>
        <v>ระบุชื่อป้ายสถานะที่ได้รับในปี 2011 สำหรับผู้ใช้ที่มีตำแหน่งอยู่ในขั้วโลกเหนือ</v>
      </c>
      <c r="F649" s="1" t="s">
        <v>2358</v>
      </c>
      <c r="G649" s="1" t="s">
        <v>2359</v>
      </c>
      <c r="H649" s="1" t="s">
        <v>13</v>
      </c>
    </row>
    <row r="650">
      <c r="A650" s="1">
        <v>648.0</v>
      </c>
      <c r="B650" s="1" t="s">
        <v>1913</v>
      </c>
      <c r="C650" s="1" t="s">
        <v>2360</v>
      </c>
      <c r="D650" s="1" t="s">
        <v>2361</v>
      </c>
      <c r="E650" s="2" t="str">
        <f>IFERROR(__xludf.DUMMYFUNCTION("GOOGLETRANSLATE(C650, ""en"", ""th"")"),"ระบุชื่อที่แสดงของผู้ใช้และ URL เว็บไซต์ที่มีอยู่ของโพสต์ที่มีจำนวนรายการโปรดมากกว่า 150 รายการ")</f>
        <v>ระบุชื่อที่แสดงของผู้ใช้และ URL เว็บไซต์ที่มีอยู่ของโพสต์ที่มีจำนวนรายการโปรดมากกว่า 150 รายการ</v>
      </c>
      <c r="F650" s="1" t="s">
        <v>2362</v>
      </c>
      <c r="G650" s="1" t="s">
        <v>2363</v>
      </c>
      <c r="H650" s="1" t="s">
        <v>13</v>
      </c>
    </row>
    <row r="651">
      <c r="A651" s="1">
        <v>649.0</v>
      </c>
      <c r="B651" s="1" t="s">
        <v>1913</v>
      </c>
      <c r="C651" s="1" t="s">
        <v>2364</v>
      </c>
      <c r="E651" s="2" t="str">
        <f>IFERROR(__xludf.DUMMYFUNCTION("GOOGLETRANSLATE(C651, ""en"", ""th"")"),"อธิบายจำนวนประวัติโพสต์และวันที่แก้ไขล่าสุดของชื่อโพสต์ ""ตำราสถิติแบบเบย์เบื้องต้นที่ดีที่สุดคืออะไร""")</f>
        <v>อธิบายจำนวนประวัติโพสต์และวันที่แก้ไขล่าสุดของชื่อโพสต์ "ตำราสถิติแบบเบย์เบื้องต้นที่ดีที่สุดคืออะไร"</v>
      </c>
      <c r="G651" s="1" t="s">
        <v>2365</v>
      </c>
      <c r="H651" s="1" t="s">
        <v>13</v>
      </c>
    </row>
    <row r="652">
      <c r="A652" s="1">
        <v>650.0</v>
      </c>
      <c r="B652" s="1" t="s">
        <v>1913</v>
      </c>
      <c r="C652" s="1" t="s">
        <v>2366</v>
      </c>
      <c r="D652" s="1" t="s">
        <v>2367</v>
      </c>
      <c r="E652" s="2" t="str">
        <f>IFERROR(__xludf.DUMMYFUNCTION("GOOGLETRANSLATE(C652, ""en"", ""th"")"),"อธิบายวันที่และตำแหน่งที่เข้าถึงล่าสุดของผู้ใช้ที่ได้รับป้ายค่าผิดปกติ")</f>
        <v>อธิบายวันที่และตำแหน่งที่เข้าถึงล่าสุดของผู้ใช้ที่ได้รับป้ายค่าผิดปกติ</v>
      </c>
      <c r="F652" s="1" t="s">
        <v>2368</v>
      </c>
      <c r="G652" s="1" t="s">
        <v>2369</v>
      </c>
      <c r="H652" s="1" t="s">
        <v>13</v>
      </c>
    </row>
    <row r="653">
      <c r="A653" s="1">
        <v>651.0</v>
      </c>
      <c r="B653" s="1" t="s">
        <v>1913</v>
      </c>
      <c r="C653" s="1" t="s">
        <v>2370</v>
      </c>
      <c r="E653" s="2" t="str">
        <f>IFERROR(__xludf.DUMMYFUNCTION("GOOGLETRANSLATE(C653, ""en"", ""th"")"),"ระบุชื่อโพสต์ที่เกี่ยวข้องของ ""จะทราบได้อย่างไรว่ามีบางอย่างเกิดขึ้นในชุดข้อมูลที่ตรวจสอบค่าเมื่อเวลาผ่านไป""")</f>
        <v>ระบุชื่อโพสต์ที่เกี่ยวข้องของ "จะทราบได้อย่างไรว่ามีบางอย่างเกิดขึ้นในชุดข้อมูลที่ตรวจสอบค่าเมื่อเวลาผ่านไป"</v>
      </c>
      <c r="G653" s="1" t="s">
        <v>2371</v>
      </c>
      <c r="H653" s="1" t="s">
        <v>13</v>
      </c>
    </row>
    <row r="654">
      <c r="A654" s="1">
        <v>652.0</v>
      </c>
      <c r="B654" s="1" t="s">
        <v>1913</v>
      </c>
      <c r="C654" s="1" t="s">
        <v>2372</v>
      </c>
      <c r="D654" s="1" t="s">
        <v>2373</v>
      </c>
      <c r="E654" s="2" t="str">
        <f>IFERROR(__xludf.DUMMYFUNCTION("GOOGLETRANSLATE(C654, ""en"", ""th"")"),"ระบุรหัสโพสต์และชื่อป้ายของผู้ใช้ซามูเอลในปี 2013")</f>
        <v>ระบุรหัสโพสต์และชื่อป้ายของผู้ใช้ซามูเอลในปี 2013</v>
      </c>
      <c r="F654" s="1" t="s">
        <v>2374</v>
      </c>
      <c r="G654" s="1" t="s">
        <v>2375</v>
      </c>
      <c r="H654" s="1" t="s">
        <v>18</v>
      </c>
    </row>
    <row r="655">
      <c r="A655" s="1">
        <v>653.0</v>
      </c>
      <c r="B655" s="1" t="s">
        <v>1913</v>
      </c>
      <c r="C655" s="1" t="s">
        <v>2376</v>
      </c>
      <c r="D655" s="1" t="s">
        <v>2377</v>
      </c>
      <c r="E655" s="2" t="str">
        <f>IFERROR(__xludf.DUMMYFUNCTION("GOOGLETRANSLATE(C655, ""en"", ""th"")"),"ชื่อที่แสดงของเจ้าของโพสต์ยอดนิยมคืออะไร?")</f>
        <v>ชื่อที่แสดงของเจ้าของโพสต์ยอดนิยมคืออะไร?</v>
      </c>
      <c r="F655" s="1" t="s">
        <v>2378</v>
      </c>
      <c r="G655" s="1" t="s">
        <v>2379</v>
      </c>
      <c r="H655" s="1" t="s">
        <v>13</v>
      </c>
    </row>
    <row r="656">
      <c r="A656" s="1">
        <v>654.0</v>
      </c>
      <c r="B656" s="1" t="s">
        <v>1913</v>
      </c>
      <c r="C656" s="1" t="s">
        <v>2380</v>
      </c>
      <c r="D656" s="1" t="s">
        <v>2381</v>
      </c>
      <c r="E656" s="2" t="str">
        <f>IFERROR(__xludf.DUMMYFUNCTION("GOOGLETRANSLATE(C656, ""en"", ""th"")"),"กล่าวถึงชื่อที่แสดงและตำแหน่งของผู้ใช้ที่เป็นเจ้าของโพสต์ที่ตัดตอนมาพร้อมแท็กการทดสอบสมมติฐาน")</f>
        <v>กล่าวถึงชื่อที่แสดงและตำแหน่งของผู้ใช้ที่เป็นเจ้าของโพสต์ที่ตัดตอนมาพร้อมแท็กการทดสอบสมมติฐาน</v>
      </c>
      <c r="F656" s="1" t="s">
        <v>2382</v>
      </c>
      <c r="G656" s="1" t="s">
        <v>2383</v>
      </c>
      <c r="H656" s="1" t="s">
        <v>18</v>
      </c>
    </row>
    <row r="657">
      <c r="A657" s="1">
        <v>655.0</v>
      </c>
      <c r="B657" s="1" t="s">
        <v>1913</v>
      </c>
      <c r="C657" s="1" t="s">
        <v>2384</v>
      </c>
      <c r="D657" s="1" t="s">
        <v>2385</v>
      </c>
      <c r="E657" s="2" t="str">
        <f>IFERROR(__xludf.DUMMYFUNCTION("GOOGLETRANSLATE(C657, ""en"", ""th"")"),"เขียนชื่อโพสต์ที่เกี่ยวข้องและรหัสประเภทลิงก์ของโพสต์ ""คะแนนองค์ประกอบหลักคืออะไร""")</f>
        <v>เขียนชื่อโพสต์ที่เกี่ยวข้องและรหัสประเภทลิงก์ของโพสต์ "คะแนนองค์ประกอบหลักคืออะไร"</v>
      </c>
      <c r="F657" s="1" t="s">
        <v>2386</v>
      </c>
      <c r="G657" s="1" t="s">
        <v>2387</v>
      </c>
      <c r="H657" s="1" t="s">
        <v>13</v>
      </c>
    </row>
    <row r="658">
      <c r="A658" s="1">
        <v>656.0</v>
      </c>
      <c r="B658" s="1" t="s">
        <v>1913</v>
      </c>
      <c r="C658" s="1" t="s">
        <v>2388</v>
      </c>
      <c r="D658" s="1" t="s">
        <v>2389</v>
      </c>
      <c r="E658" s="2" t="str">
        <f>IFERROR(__xludf.DUMMYFUNCTION("GOOGLETRANSLATE(C658, ""en"", ""th"")"),"อธิบายชื่อที่แสดงของ ID ผู้ปกครองสำหรับโพสต์ย่อยที่มีคะแนนสูงสุด")</f>
        <v>อธิบายชื่อที่แสดงของ ID ผู้ปกครองสำหรับโพสต์ย่อยที่มีคะแนนสูงสุด</v>
      </c>
      <c r="F658" s="1" t="s">
        <v>2390</v>
      </c>
      <c r="G658" s="1" t="s">
        <v>2391</v>
      </c>
      <c r="H658" s="1" t="s">
        <v>13</v>
      </c>
    </row>
    <row r="659">
      <c r="A659" s="1">
        <v>657.0</v>
      </c>
      <c r="B659" s="1" t="s">
        <v>1913</v>
      </c>
      <c r="C659" s="1" t="s">
        <v>2392</v>
      </c>
      <c r="D659" s="1" t="s">
        <v>2393</v>
      </c>
      <c r="E659" s="2" t="str">
        <f>IFERROR(__xludf.DUMMYFUNCTION("GOOGLETRANSLATE(C659, ""en"", ""th"")"),"ภายใต้ประเภทการโหวต 8 ให้ระบุชื่อที่แสดงและ URL เว็บไซต์ของผู้ใช้ที่ได้รับเงินรางวัลสูงสุด")</f>
        <v>ภายใต้ประเภทการโหวต 8 ให้ระบุชื่อที่แสดงและ URL เว็บไซต์ของผู้ใช้ที่ได้รับเงินรางวัลสูงสุด</v>
      </c>
      <c r="F659" s="1" t="s">
        <v>2394</v>
      </c>
      <c r="G659" s="1" t="s">
        <v>2395</v>
      </c>
      <c r="H659" s="1" t="s">
        <v>18</v>
      </c>
    </row>
    <row r="660">
      <c r="A660" s="1">
        <v>658.0</v>
      </c>
      <c r="B660" s="1" t="s">
        <v>1913</v>
      </c>
      <c r="C660" s="1" t="s">
        <v>2396</v>
      </c>
      <c r="D660" s="1" t="s">
        <v>2397</v>
      </c>
      <c r="E660" s="2" t="str">
        <f>IFERROR(__xludf.DUMMYFUNCTION("GOOGLETRANSLATE(C660, ""en"", ""th"")"),"5 อันดับกระทู้ที่ได้รับความนิยมสูงสุดมีชื่อว่าอะไร?")</f>
        <v>5 อันดับกระทู้ที่ได้รับความนิยมสูงสุดมีชื่อว่าอะไร?</v>
      </c>
      <c r="F660" s="1" t="s">
        <v>2398</v>
      </c>
      <c r="G660" s="1" t="s">
        <v>2399</v>
      </c>
      <c r="H660" s="1" t="s">
        <v>13</v>
      </c>
    </row>
    <row r="661">
      <c r="A661" s="1">
        <v>659.0</v>
      </c>
      <c r="B661" s="1" t="s">
        <v>1913</v>
      </c>
      <c r="C661" s="1" t="s">
        <v>2400</v>
      </c>
      <c r="D661" s="1" t="s">
        <v>2401</v>
      </c>
      <c r="E661" s="2" t="str">
        <f>IFERROR(__xludf.DUMMYFUNCTION("GOOGLETRANSLATE(C661, ""en"", ""th"")"),"มีกี่แท็กที่มีจำนวนโพสต์ระหว่าง 5,000 ถึง 7,000?")</f>
        <v>มีกี่แท็กที่มีจำนวนโพสต์ระหว่าง 5,000 ถึง 7,000?</v>
      </c>
      <c r="F661" s="1" t="s">
        <v>2402</v>
      </c>
      <c r="G661" s="1" t="s">
        <v>2403</v>
      </c>
      <c r="H661" s="1" t="s">
        <v>13</v>
      </c>
    </row>
    <row r="662">
      <c r="A662" s="1">
        <v>660.0</v>
      </c>
      <c r="B662" s="1" t="s">
        <v>1913</v>
      </c>
      <c r="C662" s="1" t="s">
        <v>2404</v>
      </c>
      <c r="D662" s="1" t="s">
        <v>2405</v>
      </c>
      <c r="E662" s="2" t="str">
        <f>IFERROR(__xludf.DUMMYFUNCTION("GOOGLETRANSLATE(C662, ""en"", ""th"")"),"ID ผู้ใช้ของเจ้าของโพสต์ที่มีค่าที่สุดคืออะไร?")</f>
        <v>ID ผู้ใช้ของเจ้าของโพสต์ที่มีค่าที่สุดคืออะไร?</v>
      </c>
      <c r="F662" s="1" t="s">
        <v>2406</v>
      </c>
      <c r="G662" s="1" t="s">
        <v>2407</v>
      </c>
      <c r="H662" s="1" t="s">
        <v>13</v>
      </c>
    </row>
    <row r="663">
      <c r="A663" s="1">
        <v>661.0</v>
      </c>
      <c r="B663" s="1" t="s">
        <v>1913</v>
      </c>
      <c r="C663" s="1" t="s">
        <v>2408</v>
      </c>
      <c r="D663" s="1" t="s">
        <v>2409</v>
      </c>
      <c r="E663" s="2" t="str">
        <f>IFERROR(__xludf.DUMMYFUNCTION("GOOGLETRANSLATE(C663, ""en"", ""th"")"),"ผู้ใช้ที่มีอิทธิพลมากที่สุดอายุเท่าไหร่?")</f>
        <v>ผู้ใช้ที่มีอิทธิพลมากที่สุดอายุเท่าไหร่?</v>
      </c>
      <c r="F663" s="1" t="s">
        <v>2410</v>
      </c>
      <c r="G663" s="1" t="s">
        <v>2411</v>
      </c>
      <c r="H663" s="1" t="s">
        <v>13</v>
      </c>
    </row>
    <row r="664">
      <c r="A664" s="1">
        <v>662.0</v>
      </c>
      <c r="B664" s="1" t="s">
        <v>1913</v>
      </c>
      <c r="C664" s="1" t="s">
        <v>2412</v>
      </c>
      <c r="D664" s="1" t="s">
        <v>2413</v>
      </c>
      <c r="E664" s="2" t="str">
        <f>IFERROR(__xludf.DUMMYFUNCTION("GOOGLETRANSLATE(C664, ""en"", ""th"")"),"มีกี่โพสต์ที่มีการโหวตที่สร้างขึ้นในปี 2554 ที่มีค่าหัว 50")</f>
        <v>มีกี่โพสต์ที่มีการโหวตที่สร้างขึ้นในปี 2554 ที่มีค่าหัว 50</v>
      </c>
      <c r="F664" s="1" t="s">
        <v>2414</v>
      </c>
      <c r="G664" s="1" t="s">
        <v>2415</v>
      </c>
      <c r="H664" s="1" t="s">
        <v>13</v>
      </c>
    </row>
    <row r="665">
      <c r="A665" s="1">
        <v>663.0</v>
      </c>
      <c r="B665" s="1" t="s">
        <v>1913</v>
      </c>
      <c r="C665" s="1" t="s">
        <v>2416</v>
      </c>
      <c r="D665" s="1" t="s">
        <v>2417</v>
      </c>
      <c r="E665" s="2" t="str">
        <f>IFERROR(__xludf.DUMMYFUNCTION("GOOGLETRANSLATE(C665, ""en"", ""th"")"),"ID ของผู้ใช้ที่อายุน้อยที่สุดคืออะไร?")</f>
        <v>ID ของผู้ใช้ที่อายุน้อยที่สุดคืออะไร?</v>
      </c>
      <c r="F665" s="1" t="s">
        <v>2418</v>
      </c>
      <c r="G665" s="1" t="s">
        <v>2419</v>
      </c>
      <c r="H665" s="1" t="s">
        <v>13</v>
      </c>
    </row>
    <row r="666">
      <c r="A666" s="1">
        <v>664.0</v>
      </c>
      <c r="B666" s="1" t="s">
        <v>1913</v>
      </c>
      <c r="C666" s="1" t="s">
        <v>2420</v>
      </c>
      <c r="D666" s="1" t="s">
        <v>2421</v>
      </c>
      <c r="E666" s="2" t="str">
        <f>IFERROR(__xludf.DUMMYFUNCTION("GOOGLETRANSLATE(C666, ""en"", ""th"")"),"คะแนนรวมของโพสต์เมื่อ 2010-07-19 เป็นเท่าใด?")</f>
        <v>คะแนนรวมของโพสต์เมื่อ 2010-07-19 เป็นเท่าใด?</v>
      </c>
      <c r="F666" s="1" t="s">
        <v>2422</v>
      </c>
      <c r="G666" s="1" t="s">
        <v>2423</v>
      </c>
      <c r="H666" s="1" t="s">
        <v>13</v>
      </c>
    </row>
    <row r="667">
      <c r="A667" s="1">
        <v>665.0</v>
      </c>
      <c r="B667" s="1" t="s">
        <v>1913</v>
      </c>
      <c r="C667" s="1" t="s">
        <v>2424</v>
      </c>
      <c r="D667" s="1" t="s">
        <v>2425</v>
      </c>
      <c r="E667" s="2" t="str">
        <f>IFERROR(__xludf.DUMMYFUNCTION("GOOGLETRANSLATE(C667, ""en"", ""th"")"),"จำนวนลิงก์เฉลี่ยต่อเดือนที่สร้างขึ้นในปี 2010 สำหรับโพสต์ที่มีคำตอบไม่เกิน 2 คำตอบคือเท่าใด")</f>
        <v>จำนวนลิงก์เฉลี่ยต่อเดือนที่สร้างขึ้นในปี 2010 สำหรับโพสต์ที่มีคำตอบไม่เกิน 2 คำตอบคือเท่าใด</v>
      </c>
      <c r="F667" s="1" t="s">
        <v>2426</v>
      </c>
      <c r="G667" s="1" t="s">
        <v>2427</v>
      </c>
      <c r="H667" s="1" t="s">
        <v>18</v>
      </c>
    </row>
    <row r="668">
      <c r="A668" s="1">
        <v>666.0</v>
      </c>
      <c r="B668" s="1" t="s">
        <v>1913</v>
      </c>
      <c r="C668" s="1" t="s">
        <v>2428</v>
      </c>
      <c r="D668" s="1" t="s">
        <v>2429</v>
      </c>
      <c r="E668" s="2" t="str">
        <f>IFERROR(__xludf.DUMMYFUNCTION("GOOGLETRANSLATE(C668, ""en"", ""th"")"),"ในบรรดาโพสต์ที่ได้รับการโหวตโดยผู้ใช้ 1465 id ของโพสต์ที่มีค่าที่สุดคืออะไร?")</f>
        <v>ในบรรดาโพสต์ที่ได้รับการโหวตโดยผู้ใช้ 1465 id ของโพสต์ที่มีค่าที่สุดคืออะไร?</v>
      </c>
      <c r="F668" s="1" t="s">
        <v>2430</v>
      </c>
      <c r="G668" s="1" t="s">
        <v>2431</v>
      </c>
      <c r="H668" s="1" t="s">
        <v>13</v>
      </c>
    </row>
    <row r="669">
      <c r="A669" s="1">
        <v>667.0</v>
      </c>
      <c r="B669" s="1" t="s">
        <v>1913</v>
      </c>
      <c r="C669" s="1" t="s">
        <v>2432</v>
      </c>
      <c r="D669" s="1" t="s">
        <v>2433</v>
      </c>
      <c r="E669" s="2" t="str">
        <f>IFERROR(__xludf.DUMMYFUNCTION("GOOGLETRANSLATE(C669, ""en"", ""th"")"),"ชื่อเรื่องของโพสต์ที่มีลิงก์โพสต์เก่าที่สุดคืออะไร?")</f>
        <v>ชื่อเรื่องของโพสต์ที่มีลิงก์โพสต์เก่าที่สุดคืออะไร?</v>
      </c>
      <c r="F669" s="1" t="s">
        <v>2434</v>
      </c>
      <c r="G669" s="1" t="s">
        <v>2435</v>
      </c>
      <c r="H669" s="1" t="s">
        <v>13</v>
      </c>
    </row>
    <row r="670">
      <c r="A670" s="1">
        <v>668.0</v>
      </c>
      <c r="B670" s="1" t="s">
        <v>1913</v>
      </c>
      <c r="C670" s="1" t="s">
        <v>2436</v>
      </c>
      <c r="D670" s="1" t="s">
        <v>2437</v>
      </c>
      <c r="E670" s="2" t="str">
        <f>IFERROR(__xludf.DUMMYFUNCTION("GOOGLETRANSLATE(C670, ""en"", ""th"")"),"ชื่อที่แสดงของผู้ใช้ที่ได้รับป้ายสถานะสูงสุดคืออะไร?")</f>
        <v>ชื่อที่แสดงของผู้ใช้ที่ได้รับป้ายสถานะสูงสุดคืออะไร?</v>
      </c>
      <c r="F670" s="1" t="s">
        <v>2438</v>
      </c>
      <c r="G670" s="1" t="s">
        <v>2439</v>
      </c>
      <c r="H670" s="1" t="s">
        <v>13</v>
      </c>
    </row>
    <row r="671">
      <c r="A671" s="1">
        <v>669.0</v>
      </c>
      <c r="B671" s="1" t="s">
        <v>1913</v>
      </c>
      <c r="C671" s="1" t="s">
        <v>2440</v>
      </c>
      <c r="D671" s="1" t="s">
        <v>2441</v>
      </c>
      <c r="E671" s="2" t="str">
        <f>IFERROR(__xludf.DUMMYFUNCTION("GOOGLETRANSLATE(C671, ""en"", ""th"")"),"'chl' โหวตครั้งแรกในโพสต์เมื่อใด")</f>
        <v>'chl' โหวตครั้งแรกในโพสต์เมื่อใด</v>
      </c>
      <c r="F671" s="1" t="s">
        <v>2442</v>
      </c>
      <c r="G671" s="1" t="s">
        <v>2443</v>
      </c>
      <c r="H671" s="1" t="s">
        <v>13</v>
      </c>
    </row>
    <row r="672">
      <c r="A672" s="1">
        <v>670.0</v>
      </c>
      <c r="B672" s="1" t="s">
        <v>1913</v>
      </c>
      <c r="C672" s="1" t="s">
        <v>2444</v>
      </c>
      <c r="D672" s="1" t="s">
        <v>2445</v>
      </c>
      <c r="E672" s="2" t="str">
        <f>IFERROR(__xludf.DUMMYFUNCTION("GOOGLETRANSLATE(C672, ""en"", ""th"")"),"วันที่ผู้ใช้อายุน้อยที่สุดโพสต์ครั้งแรกคือเมื่อใด")</f>
        <v>วันที่ผู้ใช้อายุน้อยที่สุดโพสต์ครั้งแรกคือเมื่อใด</v>
      </c>
      <c r="F672" s="1" t="s">
        <v>2446</v>
      </c>
      <c r="G672" s="1" t="s">
        <v>2447</v>
      </c>
      <c r="H672" s="1" t="s">
        <v>13</v>
      </c>
    </row>
    <row r="673">
      <c r="A673" s="1">
        <v>671.0</v>
      </c>
      <c r="B673" s="1" t="s">
        <v>1913</v>
      </c>
      <c r="C673" s="1" t="s">
        <v>2448</v>
      </c>
      <c r="D673" s="1" t="s">
        <v>2449</v>
      </c>
      <c r="E673" s="2" t="str">
        <f>IFERROR(__xludf.DUMMYFUNCTION("GOOGLETRANSLATE(C673, ""en"", ""th"")"),"ชื่อที่แสดงของผู้ใช้ที่ได้รับตรา Autobiographer ตัวแรกคืออะไร")</f>
        <v>ชื่อที่แสดงของผู้ใช้ที่ได้รับตรา Autobiographer ตัวแรกคืออะไร</v>
      </c>
      <c r="F673" s="1" t="s">
        <v>2450</v>
      </c>
      <c r="G673" s="1" t="s">
        <v>2451</v>
      </c>
      <c r="H673" s="1" t="s">
        <v>13</v>
      </c>
    </row>
    <row r="674">
      <c r="A674" s="1">
        <v>672.0</v>
      </c>
      <c r="B674" s="1" t="s">
        <v>1913</v>
      </c>
      <c r="C674" s="1" t="s">
        <v>2452</v>
      </c>
      <c r="D674" s="1" t="s">
        <v>2453</v>
      </c>
      <c r="E674" s="2" t="str">
        <f>IFERROR(__xludf.DUMMYFUNCTION("GOOGLETRANSLATE(C674, ""en"", ""th"")"),"ในบรรดาผู้ใช้ที่อยู่ในสหราชอาณาจักร มีผู้ใช้กี่คนที่โพสต์มีจำนวนรายการโปรดรวม 4 หรือมากกว่านั้น")</f>
        <v>ในบรรดาผู้ใช้ที่อยู่ในสหราชอาณาจักร มีผู้ใช้กี่คนที่โพสต์มีจำนวนรายการโปรดรวม 4 หรือมากกว่านั้น</v>
      </c>
      <c r="F674" s="1" t="s">
        <v>2454</v>
      </c>
      <c r="G674" s="1" t="s">
        <v>2455</v>
      </c>
      <c r="H674" s="1" t="s">
        <v>18</v>
      </c>
    </row>
    <row r="675">
      <c r="A675" s="1">
        <v>673.0</v>
      </c>
      <c r="B675" s="1" t="s">
        <v>1913</v>
      </c>
      <c r="C675" s="1" t="s">
        <v>2456</v>
      </c>
      <c r="D675" s="1" t="s">
        <v>2457</v>
      </c>
      <c r="E675" s="2" t="str">
        <f>IFERROR(__xludf.DUMMYFUNCTION("GOOGLETRANSLATE(C675, ""en"", ""th"")"),"จำนวนโพสต์โดยเฉลี่ยที่โหวตโดยผู้ใช้ที่มีอายุมากที่สุดคือเท่าไร?")</f>
        <v>จำนวนโพสต์โดยเฉลี่ยที่โหวตโดยผู้ใช้ที่มีอายุมากที่สุดคือเท่าไร?</v>
      </c>
      <c r="F675" s="1" t="s">
        <v>2458</v>
      </c>
      <c r="G675" s="1" t="s">
        <v>2459</v>
      </c>
      <c r="H675" s="1" t="s">
        <v>13</v>
      </c>
    </row>
    <row r="676">
      <c r="A676" s="1">
        <v>674.0</v>
      </c>
      <c r="B676" s="1" t="s">
        <v>1913</v>
      </c>
      <c r="C676" s="1" t="s">
        <v>2460</v>
      </c>
      <c r="D676" s="1" t="s">
        <v>2461</v>
      </c>
      <c r="E676" s="2" t="str">
        <f>IFERROR(__xludf.DUMMYFUNCTION("GOOGLETRANSLATE(C676, ""en"", ""th"")"),"ใครมีชื่อเสียงสูงสุด? กรุณาระบุชื่อที่แสดง.")</f>
        <v>ใครมีชื่อเสียงสูงสุด? กรุณาระบุชื่อที่แสดง.</v>
      </c>
      <c r="F676" s="1" t="s">
        <v>2462</v>
      </c>
      <c r="G676" s="1" t="s">
        <v>2463</v>
      </c>
      <c r="H676" s="1" t="s">
        <v>13</v>
      </c>
    </row>
    <row r="677">
      <c r="A677" s="1">
        <v>675.0</v>
      </c>
      <c r="B677" s="1" t="s">
        <v>1913</v>
      </c>
      <c r="C677" s="1" t="s">
        <v>2464</v>
      </c>
      <c r="D677" s="1" t="s">
        <v>2465</v>
      </c>
      <c r="E677" s="2" t="str">
        <f>IFERROR(__xludf.DUMMYFUNCTION("GOOGLETRANSLATE(C677, ""en"", ""th"")"),"มีผู้ใช้กี่รายที่มีชื่อเสียงมากกว่า 2,000 และจำนวนการดูมากกว่า 1,000")</f>
        <v>มีผู้ใช้กี่รายที่มีชื่อเสียงมากกว่า 2,000 และจำนวนการดูมากกว่า 1,000</v>
      </c>
      <c r="F677" s="1" t="s">
        <v>2466</v>
      </c>
      <c r="G677" s="1" t="s">
        <v>2467</v>
      </c>
      <c r="H677" s="1" t="s">
        <v>13</v>
      </c>
    </row>
    <row r="678">
      <c r="A678" s="1">
        <v>676.0</v>
      </c>
      <c r="B678" s="1" t="s">
        <v>1913</v>
      </c>
      <c r="C678" s="1" t="s">
        <v>2468</v>
      </c>
      <c r="D678" s="1" t="s">
        <v>2469</v>
      </c>
      <c r="E678" s="2" t="str">
        <f>IFERROR(__xludf.DUMMYFUNCTION("GOOGLETRANSLATE(C678, ""en"", ""th"")"),"โปรดระบุชื่อที่แสดงทั้งหมดของผู้ใช้ที่เป็นผู้ใหญ่")</f>
        <v>โปรดระบุชื่อที่แสดงทั้งหมดของผู้ใช้ที่เป็นผู้ใหญ่</v>
      </c>
      <c r="F678" s="1" t="s">
        <v>2278</v>
      </c>
      <c r="G678" s="1" t="s">
        <v>2470</v>
      </c>
      <c r="H678" s="1" t="s">
        <v>13</v>
      </c>
    </row>
    <row r="679">
      <c r="A679" s="1">
        <v>677.0</v>
      </c>
      <c r="B679" s="1" t="s">
        <v>1913</v>
      </c>
      <c r="C679" s="1" t="s">
        <v>2471</v>
      </c>
      <c r="D679" s="1" t="s">
        <v>2472</v>
      </c>
      <c r="E679" s="2" t="str">
        <f>IFERROR(__xludf.DUMMYFUNCTION("GOOGLETRANSLATE(C679, ""en"", ""th"")"),"Jay Stevens มีกี่โพสต์ในปี 2010")</f>
        <v>Jay Stevens มีกี่โพสต์ในปี 2010</v>
      </c>
      <c r="F679" s="1" t="s">
        <v>2473</v>
      </c>
      <c r="G679" s="1" t="s">
        <v>2474</v>
      </c>
      <c r="H679" s="1" t="s">
        <v>13</v>
      </c>
    </row>
    <row r="680">
      <c r="A680" s="1">
        <v>678.0</v>
      </c>
      <c r="B680" s="1" t="s">
        <v>1913</v>
      </c>
      <c r="C680" s="1" t="s">
        <v>2475</v>
      </c>
      <c r="D680" s="1" t="s">
        <v>2476</v>
      </c>
      <c r="E680" s="2" t="str">
        <f>IFERROR(__xludf.DUMMYFUNCTION("GOOGLETRANSLATE(C680, ""en"", ""th"")"),"โพสต์ใดของ Harvey Motulsky มีผู้เข้าชมมากที่สุด? กรุณาระบุ ID และชื่อโพสต์นี้")</f>
        <v>โพสต์ใดของ Harvey Motulsky มีผู้เข้าชมมากที่สุด? กรุณาระบุ ID และชื่อโพสต์นี้</v>
      </c>
      <c r="F680" s="1" t="s">
        <v>2477</v>
      </c>
      <c r="G680" s="1" t="s">
        <v>2478</v>
      </c>
      <c r="H680" s="1" t="s">
        <v>13</v>
      </c>
    </row>
    <row r="681">
      <c r="A681" s="1">
        <v>679.0</v>
      </c>
      <c r="B681" s="1" t="s">
        <v>1913</v>
      </c>
      <c r="C681" s="1" t="s">
        <v>2479</v>
      </c>
      <c r="D681" s="1" t="s">
        <v>2480</v>
      </c>
      <c r="E681" s="2" t="str">
        <f>IFERROR(__xludf.DUMMYFUNCTION("GOOGLETRANSLATE(C681, ""en"", ""th"")"),"โพสต์ใดมีคะแนนสูงสุด? โปรดระบุรหัสและชื่อตำแหน่ง")</f>
        <v>โพสต์ใดมีคะแนนสูงสุด? โปรดระบุรหัสและชื่อตำแหน่ง</v>
      </c>
      <c r="F681" s="1" t="s">
        <v>2481</v>
      </c>
      <c r="G681" s="1" t="s">
        <v>2482</v>
      </c>
      <c r="H681" s="1" t="s">
        <v>13</v>
      </c>
    </row>
    <row r="682">
      <c r="A682" s="1">
        <v>680.0</v>
      </c>
      <c r="B682" s="1" t="s">
        <v>1913</v>
      </c>
      <c r="C682" s="1" t="s">
        <v>2483</v>
      </c>
      <c r="D682" s="1" t="s">
        <v>2484</v>
      </c>
      <c r="E682" s="2" t="str">
        <f>IFERROR(__xludf.DUMMYFUNCTION("GOOGLETRANSLATE(C682, ""en"", ""th"")"),"คะแนนเฉลี่ยของโพสต์ของ Stephen Turner คือเท่าใด")</f>
        <v>คะแนนเฉลี่ยของโพสต์ของ Stephen Turner คือเท่าใด</v>
      </c>
      <c r="F682" s="1" t="s">
        <v>2485</v>
      </c>
      <c r="G682" s="1" t="s">
        <v>2486</v>
      </c>
      <c r="H682" s="1" t="s">
        <v>13</v>
      </c>
    </row>
    <row r="683">
      <c r="A683" s="1">
        <v>681.0</v>
      </c>
      <c r="B683" s="1" t="s">
        <v>1913</v>
      </c>
      <c r="C683" s="1" t="s">
        <v>2487</v>
      </c>
      <c r="D683" s="1" t="s">
        <v>2488</v>
      </c>
      <c r="E683" s="2" t="str">
        <f>IFERROR(__xludf.DUMMYFUNCTION("GOOGLETRANSLATE(C683, ""en"", ""th"")"),"โปรดระบุชื่อที่แสดงของผู้ใช้ซึ่งมีโพสต์ที่มีการดูมากกว่า 20,000 ครั้งในปี 2554")</f>
        <v>โปรดระบุชื่อที่แสดงของผู้ใช้ซึ่งมีโพสต์ที่มีการดูมากกว่า 20,000 ครั้งในปี 2554</v>
      </c>
      <c r="F683" s="1" t="s">
        <v>2489</v>
      </c>
      <c r="G683" s="1" t="s">
        <v>2490</v>
      </c>
      <c r="H683" s="1" t="s">
        <v>13</v>
      </c>
    </row>
    <row r="684">
      <c r="A684" s="1">
        <v>682.0</v>
      </c>
      <c r="B684" s="1" t="s">
        <v>1913</v>
      </c>
      <c r="C684" s="1" t="s">
        <v>2491</v>
      </c>
      <c r="D684" s="1" t="s">
        <v>2492</v>
      </c>
      <c r="E684" s="2" t="str">
        <f>IFERROR(__xludf.DUMMYFUNCTION("GOOGLETRANSLATE(C684, ""en"", ""th"")"),"ซึ่งเป็นโพสต์ที่มีมูลค่ามากที่สุดในปี 2010? กรุณาระบุรหัสและชื่อที่แสดงของเจ้าของ")</f>
        <v>ซึ่งเป็นโพสต์ที่มีมูลค่ามากที่สุดในปี 2010? กรุณาระบุรหัสและชื่อที่แสดงของเจ้าของ</v>
      </c>
      <c r="F684" s="1" t="s">
        <v>2493</v>
      </c>
      <c r="G684" s="1" t="s">
        <v>2494</v>
      </c>
      <c r="H684" s="1" t="s">
        <v>18</v>
      </c>
    </row>
    <row r="685">
      <c r="A685" s="1">
        <v>683.0</v>
      </c>
      <c r="B685" s="1" t="s">
        <v>1913</v>
      </c>
      <c r="C685" s="1" t="s">
        <v>2495</v>
      </c>
      <c r="D685" s="1" t="s">
        <v>2496</v>
      </c>
      <c r="E685" s="2" t="str">
        <f>IFERROR(__xludf.DUMMYFUNCTION("GOOGLETRANSLATE(C685, ""en"", ""th"")"),"เปอร์เซ็นต์ของโพสต์ที่เจ้าของมีชื่อเสียงมากกว่า 1,000 ในปี 2554 เป็นเท่าใด")</f>
        <v>เปอร์เซ็นต์ของโพสต์ที่เจ้าของมีชื่อเสียงมากกว่า 1,000 ในปี 2554 เป็นเท่าใด</v>
      </c>
      <c r="F685" s="1" t="s">
        <v>2497</v>
      </c>
      <c r="G685" s="1" t="s">
        <v>2498</v>
      </c>
      <c r="H685" s="1" t="s">
        <v>18</v>
      </c>
    </row>
    <row r="686">
      <c r="A686" s="1">
        <v>684.0</v>
      </c>
      <c r="B686" s="1" t="s">
        <v>1913</v>
      </c>
      <c r="C686" s="1" t="s">
        <v>2499</v>
      </c>
      <c r="D686" s="1" t="s">
        <v>2500</v>
      </c>
      <c r="E686" s="2" t="str">
        <f>IFERROR(__xludf.DUMMYFUNCTION("GOOGLETRANSLATE(C686, ""en"", ""th"")"),"ระบุเปอร์เซ็นต์ของผู้ใช้ที่เป็นวัยรุ่น")</f>
        <v>ระบุเปอร์เซ็นต์ของผู้ใช้ที่เป็นวัยรุ่น</v>
      </c>
      <c r="F686" s="1" t="s">
        <v>2501</v>
      </c>
      <c r="G686" s="1" t="s">
        <v>2502</v>
      </c>
      <c r="H686" s="1" t="s">
        <v>13</v>
      </c>
    </row>
    <row r="687">
      <c r="A687" s="1">
        <v>685.0</v>
      </c>
      <c r="B687" s="1" t="s">
        <v>1913</v>
      </c>
      <c r="C687" s="1" t="s">
        <v>2503</v>
      </c>
      <c r="D687" s="1" t="s">
        <v>2504</v>
      </c>
      <c r="E687" s="2" t="str">
        <f>IFERROR(__xludf.DUMMYFUNCTION("GOOGLETRANSLATE(C687, ""en"", ""th"")"),"ระบุจำนวนการดูทั้งหมดในโพสต์ 'ชุดข้อมูลเกมคอมพิวเตอร์' ตั้งชื่อผู้ใช้ที่โพสต์ครั้งล่าสุด")</f>
        <v>ระบุจำนวนการดูทั้งหมดในโพสต์ 'ชุดข้อมูลเกมคอมพิวเตอร์' ตั้งชื่อผู้ใช้ที่โพสต์ครั้งล่าสุด</v>
      </c>
      <c r="F687" s="1" t="s">
        <v>2505</v>
      </c>
      <c r="G687" s="1" t="s">
        <v>2506</v>
      </c>
      <c r="H687" s="1" t="s">
        <v>18</v>
      </c>
    </row>
    <row r="688">
      <c r="A688" s="1">
        <v>686.0</v>
      </c>
      <c r="B688" s="1" t="s">
        <v>1913</v>
      </c>
      <c r="C688" s="1" t="s">
        <v>2507</v>
      </c>
      <c r="D688" s="1" t="s">
        <v>2508</v>
      </c>
      <c r="E688" s="2" t="str">
        <f>IFERROR(__xludf.DUMMYFUNCTION("GOOGLETRANSLATE(C688, ""en"", ""th"")"),"ระบุจำนวนโพสต์ทั้งหมดที่มีการดูสูงกว่าค่าเฉลี่ย")</f>
        <v>ระบุจำนวนโพสต์ทั้งหมดที่มีการดูสูงกว่าค่าเฉลี่ย</v>
      </c>
      <c r="F688" s="1" t="s">
        <v>2509</v>
      </c>
      <c r="G688" s="1" t="s">
        <v>2510</v>
      </c>
      <c r="H688" s="1" t="s">
        <v>13</v>
      </c>
    </row>
    <row r="689">
      <c r="A689" s="1">
        <v>687.0</v>
      </c>
      <c r="B689" s="1" t="s">
        <v>1913</v>
      </c>
      <c r="C689" s="1" t="s">
        <v>2511</v>
      </c>
      <c r="D689" s="1" t="s">
        <v>2512</v>
      </c>
      <c r="E689" s="2" t="str">
        <f>IFERROR(__xludf.DUMMYFUNCTION("GOOGLETRANSLATE(C689, ""en"", ""th"")"),"มีความคิดเห็นกี่รายการในโพสต์ที่มีคะแนนสูงสุด")</f>
        <v>มีความคิดเห็นกี่รายการในโพสต์ที่มีคะแนนสูงสุด</v>
      </c>
      <c r="F689" s="1" t="s">
        <v>2513</v>
      </c>
      <c r="G689" s="1" t="s">
        <v>2514</v>
      </c>
      <c r="H689" s="1" t="s">
        <v>13</v>
      </c>
    </row>
    <row r="690">
      <c r="A690" s="1">
        <v>688.0</v>
      </c>
      <c r="B690" s="1" t="s">
        <v>1913</v>
      </c>
      <c r="C690" s="1" t="s">
        <v>2515</v>
      </c>
      <c r="D690" s="1" t="s">
        <v>2516</v>
      </c>
      <c r="E690" s="2" t="str">
        <f>IFERROR(__xludf.DUMMYFUNCTION("GOOGLETRANSLATE(C690, ""en"", ""th"")"),"ระบุจำนวนโพสต์ที่มีการดูมากกว่า 35,000 ครั้ง แต่ไม่ได้รับความคิดเห็นจากผู้ใช้รายอื่น")</f>
        <v>ระบุจำนวนโพสต์ที่มีการดูมากกว่า 35,000 ครั้ง แต่ไม่ได้รับความคิดเห็นจากผู้ใช้รายอื่น</v>
      </c>
      <c r="F690" s="1" t="s">
        <v>2517</v>
      </c>
      <c r="G690" s="1" t="s">
        <v>2518</v>
      </c>
      <c r="H690" s="1" t="s">
        <v>13</v>
      </c>
    </row>
    <row r="691">
      <c r="A691" s="1">
        <v>689.0</v>
      </c>
      <c r="B691" s="1" t="s">
        <v>1913</v>
      </c>
      <c r="C691" s="1" t="s">
        <v>2519</v>
      </c>
      <c r="D691" s="1" t="s">
        <v>2520</v>
      </c>
      <c r="E691" s="2" t="str">
        <f>IFERROR(__xludf.DUMMYFUNCTION("GOOGLETRANSLATE(C691, ""en"", ""th"")"),"ระบุชื่อที่แสดงและที่ตั้งของผู้ใช้ซึ่งแก้ไขโพสต์เป็นคนสุดท้ายด้วย ID 183")</f>
        <v>ระบุชื่อที่แสดงและที่ตั้งของผู้ใช้ซึ่งแก้ไขโพสต์เป็นคนสุดท้ายด้วย ID 183</v>
      </c>
      <c r="F691" s="1" t="s">
        <v>2521</v>
      </c>
      <c r="G691" s="1" t="s">
        <v>2522</v>
      </c>
      <c r="H691" s="1" t="s">
        <v>13</v>
      </c>
    </row>
    <row r="692">
      <c r="A692" s="1">
        <v>690.0</v>
      </c>
      <c r="B692" s="1" t="s">
        <v>1913</v>
      </c>
      <c r="C692" s="1" t="s">
        <v>2523</v>
      </c>
      <c r="D692" s="1" t="s">
        <v>2524</v>
      </c>
      <c r="E692" s="2" t="str">
        <f>IFERROR(__xludf.DUMMYFUNCTION("GOOGLETRANSLATE(C692, ""en"", ""th"")"),"ระบุป้ายสถานะล่าสุดที่มอบให้แก่ผู้ใช้ด้วยชื่อที่แสดง Emmett")</f>
        <v>ระบุป้ายสถานะล่าสุดที่มอบให้แก่ผู้ใช้ด้วยชื่อที่แสดง Emmett</v>
      </c>
      <c r="F692" s="1" t="s">
        <v>2525</v>
      </c>
      <c r="G692" s="1" t="s">
        <v>2526</v>
      </c>
      <c r="H692" s="1" t="s">
        <v>13</v>
      </c>
    </row>
    <row r="693">
      <c r="A693" s="1">
        <v>691.0</v>
      </c>
      <c r="B693" s="1" t="s">
        <v>1913</v>
      </c>
      <c r="C693" s="1" t="s">
        <v>2527</v>
      </c>
      <c r="D693" s="1" t="s">
        <v>2528</v>
      </c>
      <c r="E693" s="2" t="str">
        <f>IFERROR(__xludf.DUMMYFUNCTION("GOOGLETRANSLATE(C693, ""en"", ""th"")"),"ระบุจำนวนผู้ใช้ที่เป็นผู้ใหญ่ที่โหวตเห็นด้วยมากกว่า 5,000 ครั้ง")</f>
        <v>ระบุจำนวนผู้ใช้ที่เป็นผู้ใหญ่ที่โหวตเห็นด้วยมากกว่า 5,000 ครั้ง</v>
      </c>
      <c r="F693" s="1" t="s">
        <v>2529</v>
      </c>
      <c r="G693" s="1" t="s">
        <v>2530</v>
      </c>
      <c r="H693" s="1" t="s">
        <v>13</v>
      </c>
    </row>
    <row r="694">
      <c r="A694" s="1">
        <v>692.0</v>
      </c>
      <c r="B694" s="1" t="s">
        <v>1913</v>
      </c>
      <c r="C694" s="1" t="s">
        <v>2531</v>
      </c>
      <c r="D694" s="1" t="s">
        <v>2532</v>
      </c>
      <c r="E694" s="2" t="str">
        <f>IFERROR(__xludf.DUMMYFUNCTION("GOOGLETRANSLATE(C694, ""en"", ""th"")"),"ผู้ใช้ซึ่งรู้จักกันในชื่อที่แสดงว่า 'โซโลมอน' ใช้เวลานานเท่าใดจึงจะได้รับตราสัญลักษณ์ นับจากวันที่สร้างบัญชีผู้ใช้")</f>
        <v>ผู้ใช้ซึ่งรู้จักกันในชื่อที่แสดงว่า 'โซโลมอน' ใช้เวลานานเท่าใดจึงจะได้รับตราสัญลักษณ์ นับจากวันที่สร้างบัญชีผู้ใช้</v>
      </c>
      <c r="F694" s="1" t="s">
        <v>2533</v>
      </c>
      <c r="G694" s="1" t="s">
        <v>2534</v>
      </c>
      <c r="H694" s="1" t="s">
        <v>18</v>
      </c>
    </row>
    <row r="695">
      <c r="A695" s="1">
        <v>693.0</v>
      </c>
      <c r="B695" s="1" t="s">
        <v>1913</v>
      </c>
      <c r="C695" s="1" t="s">
        <v>2535</v>
      </c>
      <c r="D695" s="1" t="s">
        <v>2536</v>
      </c>
      <c r="E695" s="2" t="str">
        <f>IFERROR(__xludf.DUMMYFUNCTION("GOOGLETRANSLATE(C695, ""en"", ""th"")"),"ระบุจำนวนโพสต์และความคิดเห็นที่ผู้ใช้ทิ้งไว้ซึ่งมีบัญชีผู้ใช้ที่สร้างขึ้นล่าสุด")</f>
        <v>ระบุจำนวนโพสต์และความคิดเห็นที่ผู้ใช้ทิ้งไว้ซึ่งมีบัญชีผู้ใช้ที่สร้างขึ้นล่าสุด</v>
      </c>
      <c r="F695" s="1" t="s">
        <v>2537</v>
      </c>
      <c r="G695" s="1" t="s">
        <v>2538</v>
      </c>
      <c r="H695" s="1" t="s">
        <v>13</v>
      </c>
    </row>
    <row r="696">
      <c r="A696" s="1">
        <v>694.0</v>
      </c>
      <c r="B696" s="1" t="s">
        <v>1913</v>
      </c>
      <c r="C696" s="1" t="s">
        <v>2539</v>
      </c>
      <c r="D696" s="1" t="s">
        <v>2540</v>
      </c>
      <c r="E696" s="2" t="str">
        <f>IFERROR(__xludf.DUMMYFUNCTION("GOOGLETRANSLATE(C696, ""en"", ""th"")"),"ระบุข้อความความคิดเห็น 10 ความเห็นล่าสุดในโพสต์พร้อมชื่อ 'การวิเคราะห์ข้อมูลลมด้วย R' และชื่อที่แสดงของผู้ใช้ที่ทิ้งไว้")</f>
        <v>ระบุข้อความความคิดเห็น 10 ความเห็นล่าสุดในโพสต์พร้อมชื่อ 'การวิเคราะห์ข้อมูลลมด้วย R' และชื่อที่แสดงของผู้ใช้ที่ทิ้งไว้</v>
      </c>
      <c r="F696" s="1" t="s">
        <v>2541</v>
      </c>
      <c r="G696" s="1" t="s">
        <v>2542</v>
      </c>
      <c r="H696" s="1" t="s">
        <v>18</v>
      </c>
    </row>
    <row r="697">
      <c r="A697" s="1">
        <v>695.0</v>
      </c>
      <c r="B697" s="1" t="s">
        <v>1913</v>
      </c>
      <c r="C697" s="1" t="s">
        <v>2543</v>
      </c>
      <c r="D697" s="1" t="s">
        <v>2544</v>
      </c>
      <c r="E697" s="2" t="str">
        <f>IFERROR(__xludf.DUMMYFUNCTION("GOOGLETRANSLATE(C697, ""en"", ""th"")"),"มีผู้ใช้กี่คนที่ได้รับรางวัลตราสัญลักษณ์ 'Citizen Patrol'")</f>
        <v>มีผู้ใช้กี่คนที่ได้รับรางวัลตราสัญลักษณ์ 'Citizen Patrol'</v>
      </c>
      <c r="F697" s="1" t="s">
        <v>2545</v>
      </c>
      <c r="G697" s="1" t="s">
        <v>2546</v>
      </c>
      <c r="H697" s="1" t="s">
        <v>13</v>
      </c>
    </row>
    <row r="698">
      <c r="A698" s="1">
        <v>696.0</v>
      </c>
      <c r="B698" s="1" t="s">
        <v>1913</v>
      </c>
      <c r="C698" s="1" t="s">
        <v>2547</v>
      </c>
      <c r="D698" s="1" t="s">
        <v>2548</v>
      </c>
      <c r="E698" s="2" t="str">
        <f>IFERROR(__xludf.DUMMYFUNCTION("GOOGLETRANSLATE(C698, ""en"", ""th"")"),"นับจำนวนโพสต์ด้วยแท็กที่ระบุว่าเป็น 'อาชีพ'")</f>
        <v>นับจำนวนโพสต์ด้วยแท็กที่ระบุว่าเป็น 'อาชีพ'</v>
      </c>
      <c r="F698" s="1" t="s">
        <v>2549</v>
      </c>
      <c r="G698" s="1" t="s">
        <v>2550</v>
      </c>
      <c r="H698" s="1" t="s">
        <v>13</v>
      </c>
    </row>
    <row r="699">
      <c r="A699" s="1">
        <v>697.0</v>
      </c>
      <c r="B699" s="1" t="s">
        <v>1913</v>
      </c>
      <c r="C699" s="1" t="s">
        <v>2551</v>
      </c>
      <c r="E699" s="2" t="str">
        <f>IFERROR(__xludf.DUMMYFUNCTION("GOOGLETRANSLATE(C699, ""en"", ""th"")"),"ชื่อเสียงและจำนวนการดูของผู้ใช้คืออะไร ซึ่งเป็นที่รู้จักในชื่อที่แสดงของเขาหรือเธอว่า 'Jarrod Dixon'")</f>
        <v>ชื่อเสียงและจำนวนการดูของผู้ใช้คืออะไร ซึ่งเป็นที่รู้จักในชื่อที่แสดงของเขาหรือเธอว่า 'Jarrod Dixon'</v>
      </c>
      <c r="G699" s="1" t="s">
        <v>2552</v>
      </c>
      <c r="H699" s="1" t="s">
        <v>13</v>
      </c>
    </row>
    <row r="700">
      <c r="A700" s="1">
        <v>698.0</v>
      </c>
      <c r="B700" s="1" t="s">
        <v>1913</v>
      </c>
      <c r="C700" s="1" t="s">
        <v>2553</v>
      </c>
      <c r="E700" s="2" t="str">
        <f>IFERROR(__xludf.DUMMYFUNCTION("GOOGLETRANSLATE(C700, ""en"", ""th"")"),"ผู้ใช้แสดงความคิดเห็นและคำตอบในโพสต์ชื่อ 'การจัดกลุ่มข้อมูล 1D' กี่รายการ")</f>
        <v>ผู้ใช้แสดงความคิดเห็นและคำตอบในโพสต์ชื่อ 'การจัดกลุ่มข้อมูล 1D' กี่รายการ</v>
      </c>
      <c r="G700" s="1" t="s">
        <v>2554</v>
      </c>
      <c r="H700" s="1" t="s">
        <v>13</v>
      </c>
    </row>
    <row r="701">
      <c r="A701" s="1">
        <v>699.0</v>
      </c>
      <c r="B701" s="1" t="s">
        <v>1913</v>
      </c>
      <c r="C701" s="1" t="s">
        <v>2555</v>
      </c>
      <c r="D701" s="1" t="s">
        <v>2556</v>
      </c>
      <c r="E701" s="2" t="str">
        <f>IFERROR(__xludf.DUMMYFUNCTION("GOOGLETRANSLATE(C701, ""en"", ""th"")"),"ผู้ใช้ที่รู้จักกันในชื่อ 'IrishStat' สร้างบัญชีของตนเองเมื่อใด")</f>
        <v>ผู้ใช้ที่รู้จักกันในชื่อ 'IrishStat' สร้างบัญชีของตนเองเมื่อใด</v>
      </c>
      <c r="F701" s="1" t="s">
        <v>2557</v>
      </c>
      <c r="G701" s="1" t="s">
        <v>2558</v>
      </c>
      <c r="H701" s="1" t="s">
        <v>13</v>
      </c>
    </row>
    <row r="702">
      <c r="A702" s="1">
        <v>700.0</v>
      </c>
      <c r="B702" s="1" t="s">
        <v>1913</v>
      </c>
      <c r="C702" s="1" t="s">
        <v>2559</v>
      </c>
      <c r="D702" s="1" t="s">
        <v>2560</v>
      </c>
      <c r="E702" s="2" t="str">
        <f>IFERROR(__xludf.DUMMYFUNCTION("GOOGLETRANSLATE(C702, ""en"", ""th"")"),"ระบุจำนวนโพสต์ที่เสนอรางวัลมากกว่า 30")</f>
        <v>ระบุจำนวนโพสต์ที่เสนอรางวัลมากกว่า 30</v>
      </c>
      <c r="F702" s="1" t="s">
        <v>2561</v>
      </c>
      <c r="G702" s="1" t="s">
        <v>2562</v>
      </c>
      <c r="H702" s="1" t="s">
        <v>13</v>
      </c>
    </row>
    <row r="703">
      <c r="A703" s="1">
        <v>701.0</v>
      </c>
      <c r="B703" s="1" t="s">
        <v>1913</v>
      </c>
      <c r="C703" s="1" t="s">
        <v>2563</v>
      </c>
      <c r="D703" s="1" t="s">
        <v>2564</v>
      </c>
      <c r="E703" s="2" t="str">
        <f>IFERROR(__xludf.DUMMYFUNCTION("GOOGLETRANSLATE(C703, ""en"", ""th"")"),"ในบรรดาโพสต์ทั้งหมดที่โพสต์โดยผู้ใช้ที่มีอิทธิพลมากที่สุด ให้ระบุเปอร์เซ็นต์ที่มีคะแนนมากกว่า 50")</f>
        <v>ในบรรดาโพสต์ทั้งหมดที่โพสต์โดยผู้ใช้ที่มีอิทธิพลมากที่สุด ให้ระบุเปอร์เซ็นต์ที่มีคะแนนมากกว่า 50</v>
      </c>
      <c r="F703" s="1" t="s">
        <v>2565</v>
      </c>
      <c r="G703" s="1" t="s">
        <v>2566</v>
      </c>
      <c r="H703" s="1" t="s">
        <v>101</v>
      </c>
    </row>
    <row r="704">
      <c r="A704" s="1">
        <v>702.0</v>
      </c>
      <c r="B704" s="1" t="s">
        <v>1913</v>
      </c>
      <c r="C704" s="1" t="s">
        <v>2567</v>
      </c>
      <c r="D704" s="1" t="s">
        <v>2568</v>
      </c>
      <c r="E704" s="2" t="str">
        <f>IFERROR(__xludf.DUMMYFUNCTION("GOOGLETRANSLATE(C704, ""en"", ""th"")"),"มีกี่กระทู้ที่ได้คะแนนไม่ถึง 20?")</f>
        <v>มีกี่กระทู้ที่ได้คะแนนไม่ถึง 20?</v>
      </c>
      <c r="F704" s="1" t="s">
        <v>2569</v>
      </c>
      <c r="G704" s="1" t="s">
        <v>2570</v>
      </c>
      <c r="H704" s="1" t="s">
        <v>13</v>
      </c>
    </row>
    <row r="705">
      <c r="A705" s="1">
        <v>703.0</v>
      </c>
      <c r="B705" s="1" t="s">
        <v>1913</v>
      </c>
      <c r="C705" s="1" t="s">
        <v>2571</v>
      </c>
      <c r="D705" s="1" t="s">
        <v>2572</v>
      </c>
      <c r="E705" s="2" t="str">
        <f>IFERROR(__xludf.DUMMYFUNCTION("GOOGLETRANSLATE(C705, ""en"", ""th"")"),"ในบรรดาแท็กที่มีรหัสแท็กต่ำกว่า 15 มีกี่แท็กที่มีจำนวนโพสต์ถึง 20 รายการและต่ำกว่านั้น")</f>
        <v>ในบรรดาแท็กที่มีรหัสแท็กต่ำกว่า 15 มีกี่แท็กที่มีจำนวนโพสต์ถึง 20 รายการและต่ำกว่านั้น</v>
      </c>
      <c r="F705" s="1" t="s">
        <v>2573</v>
      </c>
      <c r="G705" s="1" t="s">
        <v>2574</v>
      </c>
      <c r="H705" s="1" t="s">
        <v>13</v>
      </c>
    </row>
    <row r="706">
      <c r="A706" s="1">
        <v>704.0</v>
      </c>
      <c r="B706" s="1" t="s">
        <v>1913</v>
      </c>
      <c r="C706" s="1" t="s">
        <v>2575</v>
      </c>
      <c r="D706" s="1" t="s">
        <v>2576</v>
      </c>
      <c r="E706" s="2" t="str">
        <f>IFERROR(__xludf.DUMMYFUNCTION("GOOGLETRANSLATE(C706, ""en"", ""th"")"),"ID โพสต์ที่ตัดตอนมาและ ID โพสต์ wiki ของแท็กชื่อตัวอย่างคืออะไร")</f>
        <v>ID โพสต์ที่ตัดตอนมาและ ID โพสต์ wiki ของแท็กชื่อตัวอย่างคืออะไร</v>
      </c>
      <c r="F706" s="1" t="s">
        <v>2577</v>
      </c>
      <c r="G706" s="1" t="s">
        <v>2578</v>
      </c>
      <c r="H706" s="1" t="s">
        <v>13</v>
      </c>
    </row>
    <row r="707">
      <c r="A707" s="1">
        <v>705.0</v>
      </c>
      <c r="B707" s="1" t="s">
        <v>1913</v>
      </c>
      <c r="C707" s="1" t="s">
        <v>2579</v>
      </c>
      <c r="D707" s="1" t="s">
        <v>2580</v>
      </c>
      <c r="E707" s="2" t="str">
        <f>IFERROR(__xludf.DUMMYFUNCTION("GOOGLETRANSLATE(C707, ""en"", ""th"")"),"ระบุชื่อเสียงของผู้ใช้และจำนวนคะแนนโหวตของผู้ใช้ที่แสดงความคิดเห็นว่า ""เอาล่ะ คุณชนะ :)""")</f>
        <v>ระบุชื่อเสียงของผู้ใช้และจำนวนคะแนนโหวตของผู้ใช้ที่แสดงความคิดเห็นว่า "เอาล่ะ คุณชนะ :)"</v>
      </c>
      <c r="F707" s="1" t="s">
        <v>2581</v>
      </c>
      <c r="G707" s="1" t="s">
        <v>2582</v>
      </c>
      <c r="H707" s="1" t="s">
        <v>13</v>
      </c>
    </row>
    <row r="708">
      <c r="A708" s="1">
        <v>706.0</v>
      </c>
      <c r="B708" s="1" t="s">
        <v>1913</v>
      </c>
      <c r="C708" s="1" t="s">
        <v>2583</v>
      </c>
      <c r="D708" s="1" t="s">
        <v>2584</v>
      </c>
      <c r="E708" s="2" t="str">
        <f>IFERROR(__xludf.DUMMYFUNCTION("GOOGLETRANSLATE(C708, ""en"", ""th"")"),"ให้ข้อความแสดงความคิดเห็นในโพสต์เกี่ยวกับการถดถอยเชิงเส้น")</f>
        <v>ให้ข้อความแสดงความคิดเห็นในโพสต์เกี่ยวกับการถดถอยเชิงเส้น</v>
      </c>
      <c r="F708" s="1" t="s">
        <v>2585</v>
      </c>
      <c r="G708" s="1" t="s">
        <v>2586</v>
      </c>
      <c r="H708" s="1" t="s">
        <v>13</v>
      </c>
    </row>
    <row r="709">
      <c r="A709" s="1">
        <v>707.0</v>
      </c>
      <c r="B709" s="1" t="s">
        <v>1913</v>
      </c>
      <c r="C709" s="1" t="s">
        <v>2587</v>
      </c>
      <c r="D709" s="1" t="s">
        <v>2588</v>
      </c>
      <c r="E709" s="2" t="str">
        <f>IFERROR(__xludf.DUMMYFUNCTION("GOOGLETRANSLATE(C709, ""en"", ""th"")"),"ในบรรดาโพสต์ที่มีผู้เข้าชมตั้งแต่ 100 ถึง 150 ความคิดเห็นที่มีคะแนนสูงสุดคือข้อใด")</f>
        <v>ในบรรดาโพสต์ที่มีผู้เข้าชมตั้งแต่ 100 ถึง 150 ความคิดเห็นที่มีคะแนนสูงสุดคือข้อใด</v>
      </c>
      <c r="F709" s="1" t="s">
        <v>2589</v>
      </c>
      <c r="G709" s="1" t="s">
        <v>2590</v>
      </c>
      <c r="H709" s="1" t="s">
        <v>18</v>
      </c>
    </row>
    <row r="710">
      <c r="A710" s="1">
        <v>708.0</v>
      </c>
      <c r="B710" s="1" t="s">
        <v>1913</v>
      </c>
      <c r="C710" s="1" t="s">
        <v>2591</v>
      </c>
      <c r="D710" s="1" t="s">
        <v>2592</v>
      </c>
      <c r="E710" s="2" t="str">
        <f>IFERROR(__xludf.DUMMYFUNCTION("GOOGLETRANSLATE(C710, ""en"", ""th"")"),"ระบุวันที่และอายุที่สร้างความคิดเห็นของผู้ใช้ที่แสดงความคิดเห็นกับเว็บไซต์")</f>
        <v>ระบุวันที่และอายุที่สร้างความคิดเห็นของผู้ใช้ที่แสดงความคิดเห็นกับเว็บไซต์</v>
      </c>
      <c r="F710" s="1" t="s">
        <v>2593</v>
      </c>
      <c r="G710" s="1" t="s">
        <v>2594</v>
      </c>
      <c r="H710" s="1" t="s">
        <v>18</v>
      </c>
    </row>
    <row r="711">
      <c r="A711" s="1">
        <v>709.0</v>
      </c>
      <c r="B711" s="1" t="s">
        <v>1913</v>
      </c>
      <c r="C711" s="1" t="s">
        <v>2595</v>
      </c>
      <c r="D711" s="1" t="s">
        <v>2596</v>
      </c>
      <c r="E711" s="2" t="str">
        <f>IFERROR(__xludf.DUMMYFUNCTION("GOOGLETRANSLATE(C711, ""en"", ""th"")"),"ในความคิดเห็นที่มี 0 คะแนน มีกี่โพสต์ที่มียอดดูต่ำกว่า 5")</f>
        <v>ในความคิดเห็นที่มี 0 คะแนน มีกี่โพสต์ที่มียอดดูต่ำกว่า 5</v>
      </c>
      <c r="F711" s="1" t="s">
        <v>2597</v>
      </c>
      <c r="G711" s="1" t="s">
        <v>2598</v>
      </c>
      <c r="H711" s="1" t="s">
        <v>13</v>
      </c>
    </row>
    <row r="712">
      <c r="A712" s="1">
        <v>710.0</v>
      </c>
      <c r="B712" s="1" t="s">
        <v>1913</v>
      </c>
      <c r="C712" s="1" t="s">
        <v>2599</v>
      </c>
      <c r="D712" s="1" t="s">
        <v>2600</v>
      </c>
      <c r="E712" s="2" t="str">
        <f>IFERROR(__xludf.DUMMYFUNCTION("GOOGLETRANSLATE(C712, ""en"", ""th"")"),"ในโพสต์ที่มี 1 ความคิดเห็น มีกี่ความคิดเห็นที่มี 0 คะแนน?")</f>
        <v>ในโพสต์ที่มี 1 ความคิดเห็น มีกี่ความคิดเห็นที่มี 0 คะแนน?</v>
      </c>
      <c r="F712" s="1" t="s">
        <v>2601</v>
      </c>
      <c r="G712" s="1" t="s">
        <v>2602</v>
      </c>
      <c r="H712" s="1" t="s">
        <v>13</v>
      </c>
    </row>
    <row r="713">
      <c r="A713" s="1">
        <v>711.0</v>
      </c>
      <c r="B713" s="1" t="s">
        <v>1913</v>
      </c>
      <c r="C713" s="1" t="s">
        <v>2603</v>
      </c>
      <c r="E713" s="2" t="str">
        <f>IFERROR(__xludf.DUMMYFUNCTION("GOOGLETRANSLATE(C713, ""en"", ""th"")"),"ในบรรดาความคิดเห็นต่อสินค้าที่มี 0 คะแนน ผู้ใช้ที่มีอายุ 40 ปี ทั้งหมดคือเท่าใด")</f>
        <v>ในบรรดาความคิดเห็นต่อสินค้าที่มี 0 คะแนน ผู้ใช้ที่มีอายุ 40 ปี ทั้งหมดคือเท่าใด</v>
      </c>
      <c r="G713" s="1" t="s">
        <v>2604</v>
      </c>
      <c r="H713" s="1" t="s">
        <v>13</v>
      </c>
    </row>
    <row r="714">
      <c r="A714" s="1">
        <v>712.0</v>
      </c>
      <c r="B714" s="1" t="s">
        <v>1913</v>
      </c>
      <c r="C714" s="1" t="s">
        <v>2605</v>
      </c>
      <c r="D714" s="1" t="s">
        <v>2606</v>
      </c>
      <c r="E714" s="2" t="str">
        <f>IFERROR(__xludf.DUMMYFUNCTION("GOOGLETRANSLATE(C714, ""en"", ""th"")"),"รหัสโพสต์และความคิดเห็นที่แสดงความคิดเห็นในโพสต์ชื่อ ""ความแตกต่างของกลุ่มในรายการ Likert ห้าจุด"" คืออะไร")</f>
        <v>รหัสโพสต์และความคิดเห็นที่แสดงความคิดเห็นในโพสต์ชื่อ "ความแตกต่างของกลุ่มในรายการ Likert ห้าจุด" คืออะไร</v>
      </c>
      <c r="F714" s="1" t="s">
        <v>2607</v>
      </c>
      <c r="G714" s="1" t="s">
        <v>2608</v>
      </c>
      <c r="H714" s="1" t="s">
        <v>13</v>
      </c>
    </row>
    <row r="715">
      <c r="A715" s="1">
        <v>713.0</v>
      </c>
      <c r="B715" s="1" t="s">
        <v>1913</v>
      </c>
      <c r="C715" s="1" t="s">
        <v>2609</v>
      </c>
      <c r="D715" s="1" t="s">
        <v>2610</v>
      </c>
      <c r="E715" s="2" t="str">
        <f>IFERROR(__xludf.DUMMYFUNCTION("GOOGLETRANSLATE(C715, ""en"", ""th"")"),"จำนวนโหวตสูงสุดของผู้ใช้ที่แสดงความคิดเห็นว่า ""R ประเมินแล้วขี้เกียจเช่นกัน"" คืออะไร?")</f>
        <v>จำนวนโหวตสูงสุดของผู้ใช้ที่แสดงความคิดเห็นว่า "R ประเมินแล้วขี้เกียจเช่นกัน" คืออะไร?</v>
      </c>
      <c r="F715" s="1" t="s">
        <v>2611</v>
      </c>
      <c r="G715" s="1" t="s">
        <v>2612</v>
      </c>
      <c r="H715" s="1" t="s">
        <v>13</v>
      </c>
    </row>
    <row r="716">
      <c r="A716" s="1">
        <v>714.0</v>
      </c>
      <c r="B716" s="1" t="s">
        <v>1913</v>
      </c>
      <c r="C716" s="1" t="s">
        <v>2613</v>
      </c>
      <c r="D716" s="1" t="s">
        <v>2614</v>
      </c>
      <c r="E716" s="2" t="str">
        <f>IFERROR(__xludf.DUMMYFUNCTION("GOOGLETRANSLATE(C716, ""en"", ""th"")"),"แสดงรายการความคิดเห็นที่แสดงความคิดเห็นโดยผู้ใช้ด้วยชื่อผู้ใช้ของ Harvey Motulsky")</f>
        <v>แสดงรายการความคิดเห็นที่แสดงความคิดเห็นโดยผู้ใช้ด้วยชื่อผู้ใช้ของ Harvey Motulsky</v>
      </c>
      <c r="F716" s="1" t="s">
        <v>2615</v>
      </c>
      <c r="G716" s="1" t="s">
        <v>2616</v>
      </c>
      <c r="H716" s="1" t="s">
        <v>13</v>
      </c>
    </row>
    <row r="717">
      <c r="A717" s="1">
        <v>715.0</v>
      </c>
      <c r="B717" s="1" t="s">
        <v>1913</v>
      </c>
      <c r="C717" s="1" t="s">
        <v>2617</v>
      </c>
      <c r="D717" s="1" t="s">
        <v>2618</v>
      </c>
      <c r="E717" s="2" t="str">
        <f>IFERROR(__xludf.DUMMYFUNCTION("GOOGLETRANSLATE(C717, ""en"", ""th"")"),"ในความคิดเห็นที่มีคะแนนระหว่าง 1 ถึง 5 ให้ระบุชื่อที่แสดงของผู้ใช้ที่มีคะแนนโหวตเป็น 0")</f>
        <v>ในความคิดเห็นที่มีคะแนนระหว่าง 1 ถึง 5 ให้ระบุชื่อที่แสดงของผู้ใช้ที่มีคะแนนโหวตเป็น 0</v>
      </c>
      <c r="F717" s="1" t="s">
        <v>2619</v>
      </c>
      <c r="G717" s="1" t="s">
        <v>2620</v>
      </c>
      <c r="H717" s="1" t="s">
        <v>13</v>
      </c>
    </row>
    <row r="718">
      <c r="A718" s="1">
        <v>716.0</v>
      </c>
      <c r="B718" s="1" t="s">
        <v>1913</v>
      </c>
      <c r="C718" s="1" t="s">
        <v>2621</v>
      </c>
      <c r="D718" s="1" t="s">
        <v>2622</v>
      </c>
      <c r="E718" s="2" t="str">
        <f>IFERROR(__xludf.DUMMYFUNCTION("GOOGLETRANSLATE(C718, ""en"", ""th"")"),"ในบรรดาความคิดเห็นที่มีคะแนนระหว่าง 5 ถึง 10 เปอร์เซ็นต์ของผู้ใช้ที่โหวต 0 ครั้งเป็นเท่าใด")</f>
        <v>ในบรรดาความคิดเห็นที่มีคะแนนระหว่าง 5 ถึง 10 เปอร์เซ็นต์ของผู้ใช้ที่โหวต 0 ครั้งเป็นเท่าใด</v>
      </c>
      <c r="F718" s="1" t="s">
        <v>2623</v>
      </c>
      <c r="G718" s="1" t="s">
        <v>2624</v>
      </c>
      <c r="H718" s="1" t="s">
        <v>18</v>
      </c>
    </row>
    <row r="719">
      <c r="A719" s="1">
        <v>717.0</v>
      </c>
      <c r="B719" s="1" t="s">
        <v>2625</v>
      </c>
      <c r="C719" s="1" t="s">
        <v>2626</v>
      </c>
      <c r="D719" s="1" t="s">
        <v>2627</v>
      </c>
      <c r="E719" s="2" t="str">
        <f>IFERROR(__xludf.DUMMYFUNCTION("GOOGLETRANSLATE(C719, ""en"", ""th"")"),"โปรดระบุพลังพิเศษทั้งหมดของ 3-D Man")</f>
        <v>โปรดระบุพลังพิเศษทั้งหมดของ 3-D Man</v>
      </c>
      <c r="F719" s="1" t="s">
        <v>2628</v>
      </c>
      <c r="G719" s="1" t="s">
        <v>2629</v>
      </c>
      <c r="H719" s="1" t="s">
        <v>13</v>
      </c>
    </row>
    <row r="720">
      <c r="A720" s="1">
        <v>718.0</v>
      </c>
      <c r="B720" s="1" t="s">
        <v>2625</v>
      </c>
      <c r="C720" s="1" t="s">
        <v>2630</v>
      </c>
      <c r="D720" s="1" t="s">
        <v>2631</v>
      </c>
      <c r="E720" s="2" t="str">
        <f>IFERROR(__xludf.DUMMYFUNCTION("GOOGLETRANSLATE(C720, ""en"", ""th"")"),"มีฮีโร่กี่คนที่มีพลังวิเศษแบบ ""Super Strength""?")</f>
        <v>มีฮีโร่กี่คนที่มีพลังวิเศษแบบ "Super Strength"?</v>
      </c>
      <c r="F720" s="1" t="s">
        <v>2632</v>
      </c>
      <c r="G720" s="1" t="s">
        <v>2633</v>
      </c>
      <c r="H720" s="1" t="s">
        <v>13</v>
      </c>
    </row>
    <row r="721">
      <c r="A721" s="1">
        <v>719.0</v>
      </c>
      <c r="B721" s="1" t="s">
        <v>2625</v>
      </c>
      <c r="C721" s="1" t="s">
        <v>2634</v>
      </c>
      <c r="D721" s="1" t="s">
        <v>2635</v>
      </c>
      <c r="E721" s="2" t="str">
        <f>IFERROR(__xludf.DUMMYFUNCTION("GOOGLETRANSLATE(C721, ""en"", ""th"")"),"ในบรรดาฮีโร่ที่มีพลังวิเศษแบบ ""Super Strength"" มีกี่คนที่มีส่วนสูงเกิน 200 ซม.?")</f>
        <v>ในบรรดาฮีโร่ที่มีพลังวิเศษแบบ "Super Strength" มีกี่คนที่มีส่วนสูงเกิน 200 ซม.?</v>
      </c>
      <c r="F721" s="1" t="s">
        <v>2636</v>
      </c>
      <c r="G721" s="1" t="s">
        <v>2637</v>
      </c>
      <c r="H721" s="1" t="s">
        <v>18</v>
      </c>
    </row>
    <row r="722">
      <c r="A722" s="1">
        <v>720.0</v>
      </c>
      <c r="B722" s="1" t="s">
        <v>2625</v>
      </c>
      <c r="C722" s="1" t="s">
        <v>2638</v>
      </c>
      <c r="D722" s="1" t="s">
        <v>2639</v>
      </c>
      <c r="E722" s="2" t="str">
        <f>IFERROR(__xludf.DUMMYFUNCTION("GOOGLETRANSLATE(C722, ""en"", ""th"")"),"โปรดระบุชื่อเต็มของฮีโร่ทั้งหมดที่มีพลังวิเศษมากกว่า 15 ชนิด")</f>
        <v>โปรดระบุชื่อเต็มของฮีโร่ทั้งหมดที่มีพลังวิเศษมากกว่า 15 ชนิด</v>
      </c>
      <c r="F722" s="1" t="s">
        <v>2640</v>
      </c>
      <c r="G722" s="1" t="s">
        <v>2641</v>
      </c>
      <c r="H722" s="1" t="s">
        <v>13</v>
      </c>
    </row>
    <row r="723">
      <c r="A723" s="1">
        <v>721.0</v>
      </c>
      <c r="B723" s="1" t="s">
        <v>2625</v>
      </c>
      <c r="C723" s="1" t="s">
        <v>2642</v>
      </c>
      <c r="D723" s="1" t="s">
        <v>2643</v>
      </c>
      <c r="E723" s="2" t="str">
        <f>IFERROR(__xludf.DUMMYFUNCTION("GOOGLETRANSLATE(C723, ""en"", ""th"")"),"ฮีโร่มีดวงตาสีฟ้ากี่คน?")</f>
        <v>ฮีโร่มีดวงตาสีฟ้ากี่คน?</v>
      </c>
      <c r="F723" s="1" t="s">
        <v>2644</v>
      </c>
      <c r="G723" s="1" t="s">
        <v>2645</v>
      </c>
      <c r="H723" s="1" t="s">
        <v>13</v>
      </c>
    </row>
    <row r="724">
      <c r="A724" s="1">
        <v>722.0</v>
      </c>
      <c r="B724" s="1" t="s">
        <v>2625</v>
      </c>
      <c r="C724" s="1" t="s">
        <v>2646</v>
      </c>
      <c r="D724" s="1" t="s">
        <v>2647</v>
      </c>
      <c r="E724" s="2" t="str">
        <f>IFERROR(__xludf.DUMMYFUNCTION("GOOGLETRANSLATE(C724, ""en"", ""th"")"),"ผิวของ Apocalypse มีสีอะไร?")</f>
        <v>ผิวของ Apocalypse มีสีอะไร?</v>
      </c>
      <c r="F724" s="1" t="s">
        <v>2648</v>
      </c>
      <c r="G724" s="1" t="s">
        <v>2649</v>
      </c>
      <c r="H724" s="1" t="s">
        <v>13</v>
      </c>
    </row>
    <row r="725">
      <c r="A725" s="1">
        <v>723.0</v>
      </c>
      <c r="B725" s="1" t="s">
        <v>2625</v>
      </c>
      <c r="C725" s="1" t="s">
        <v>2650</v>
      </c>
      <c r="D725" s="1" t="s">
        <v>2651</v>
      </c>
      <c r="E725" s="2" t="str">
        <f>IFERROR(__xludf.DUMMYFUNCTION("GOOGLETRANSLATE(C725, ""en"", ""th"")"),"ในบรรดาฮีโร่ที่มีดวงตาสีฟ้า มีกี่คนที่มีพลังวิเศษของ ""ความว่องไว""?")</f>
        <v>ในบรรดาฮีโร่ที่มีดวงตาสีฟ้า มีกี่คนที่มีพลังวิเศษของ "ความว่องไว"?</v>
      </c>
      <c r="F725" s="1" t="s">
        <v>2652</v>
      </c>
      <c r="G725" s="1" t="s">
        <v>2653</v>
      </c>
      <c r="H725" s="1" t="s">
        <v>18</v>
      </c>
    </row>
    <row r="726">
      <c r="A726" s="1">
        <v>724.0</v>
      </c>
      <c r="B726" s="1" t="s">
        <v>2625</v>
      </c>
      <c r="C726" s="1" t="s">
        <v>2654</v>
      </c>
      <c r="D726" s="1" t="s">
        <v>2655</v>
      </c>
      <c r="E726" s="2" t="str">
        <f>IFERROR(__xludf.DUMMYFUNCTION("GOOGLETRANSLATE(C726, ""en"", ""th"")"),"โปรดระบุชื่อซูเปอร์ฮีโร่ของฮีโร่ทั้งหมดที่มีตาสีฟ้าและผมสีบลอนด์")</f>
        <v>โปรดระบุชื่อซูเปอร์ฮีโร่ของฮีโร่ทั้งหมดที่มีตาสีฟ้าและผมสีบลอนด์</v>
      </c>
      <c r="F726" s="1" t="s">
        <v>2656</v>
      </c>
      <c r="G726" s="1" t="s">
        <v>2657</v>
      </c>
      <c r="H726" s="1" t="s">
        <v>101</v>
      </c>
    </row>
    <row r="727">
      <c r="A727" s="1">
        <v>725.0</v>
      </c>
      <c r="B727" s="1" t="s">
        <v>2625</v>
      </c>
      <c r="C727" s="1" t="s">
        <v>2658</v>
      </c>
      <c r="D727" s="1" t="s">
        <v>2659</v>
      </c>
      <c r="E727" s="2" t="str">
        <f>IFERROR(__xludf.DUMMYFUNCTION("GOOGLETRANSLATE(C727, ""en"", ""th"")"),"Marvel Comics มีฮีโร่กี่คนที่ตีพิมพ์?")</f>
        <v>Marvel Comics มีฮีโร่กี่คนที่ตีพิมพ์?</v>
      </c>
      <c r="F727" s="1" t="s">
        <v>2660</v>
      </c>
      <c r="G727" s="1" t="s">
        <v>2661</v>
      </c>
      <c r="H727" s="1" t="s">
        <v>13</v>
      </c>
    </row>
    <row r="728">
      <c r="A728" s="1">
        <v>726.0</v>
      </c>
      <c r="B728" s="1" t="s">
        <v>2625</v>
      </c>
      <c r="C728" s="1" t="s">
        <v>2662</v>
      </c>
      <c r="D728" s="1" t="s">
        <v>2663</v>
      </c>
      <c r="E728" s="2" t="str">
        <f>IFERROR(__xludf.DUMMYFUNCTION("GOOGLETRANSLATE(C728, ""en"", ""th"")"),"จัดอันดับฮีโร่ที่เผยแพร่โดย Marvel Comics ตามความสูงตามลำดับจากมากไปน้อย")</f>
        <v>จัดอันดับฮีโร่ที่เผยแพร่โดย Marvel Comics ตามความสูงตามลำดับจากมากไปน้อย</v>
      </c>
      <c r="F728" s="1" t="s">
        <v>2664</v>
      </c>
      <c r="G728" s="1" t="s">
        <v>2665</v>
      </c>
      <c r="H728" s="1" t="s">
        <v>18</v>
      </c>
    </row>
    <row r="729">
      <c r="A729" s="1">
        <v>727.0</v>
      </c>
      <c r="B729" s="1" t="s">
        <v>2625</v>
      </c>
      <c r="C729" s="1" t="s">
        <v>2666</v>
      </c>
      <c r="D729" s="1" t="s">
        <v>2667</v>
      </c>
      <c r="E729" s="2" t="str">
        <f>IFERROR(__xludf.DUMMYFUNCTION("GOOGLETRANSLATE(C729, ""en"", ""th"")"),"ใครคือผู้จัดพิมพ์ของ Sauron?")</f>
        <v>ใครคือผู้จัดพิมพ์ของ Sauron?</v>
      </c>
      <c r="F729" s="1" t="s">
        <v>2668</v>
      </c>
      <c r="G729" s="1" t="s">
        <v>2669</v>
      </c>
      <c r="H729" s="1" t="s">
        <v>13</v>
      </c>
    </row>
    <row r="730">
      <c r="A730" s="1">
        <v>728.0</v>
      </c>
      <c r="B730" s="1" t="s">
        <v>2625</v>
      </c>
      <c r="C730" s="1" t="s">
        <v>2670</v>
      </c>
      <c r="D730" s="1" t="s">
        <v>2671</v>
      </c>
      <c r="E730" s="2" t="str">
        <f>IFERROR(__xludf.DUMMYFUNCTION("GOOGLETRANSLATE(C730, ""en"", ""th"")"),"จัดอันดับฮีโร่จาก Marvel Comics ตามความนิยมของสีตา โดยเริ่มจากสีที่พบบ่อยที่สุด")</f>
        <v>จัดอันดับฮีโร่จาก Marvel Comics ตามความนิยมของสีตา โดยเริ่มจากสีที่พบบ่อยที่สุด</v>
      </c>
      <c r="F730" s="1" t="s">
        <v>2672</v>
      </c>
      <c r="G730" s="1" t="s">
        <v>2673</v>
      </c>
      <c r="H730" s="1" t="s">
        <v>18</v>
      </c>
    </row>
    <row r="731">
      <c r="A731" s="1">
        <v>729.0</v>
      </c>
      <c r="B731" s="1" t="s">
        <v>2625</v>
      </c>
      <c r="C731" s="1" t="s">
        <v>2674</v>
      </c>
      <c r="D731" s="1" t="s">
        <v>2675</v>
      </c>
      <c r="E731" s="2" t="str">
        <f>IFERROR(__xludf.DUMMYFUNCTION("GOOGLETRANSLATE(C731, ""en"", ""th"")"),"ความสูงเฉลี่ยของฮีโร่จาก Marvel Comics คือเท่าไร?")</f>
        <v>ความสูงเฉลี่ยของฮีโร่จาก Marvel Comics คือเท่าไร?</v>
      </c>
      <c r="F731" s="1" t="s">
        <v>2676</v>
      </c>
      <c r="G731" s="1" t="s">
        <v>2677</v>
      </c>
      <c r="H731" s="1" t="s">
        <v>13</v>
      </c>
    </row>
    <row r="732">
      <c r="A732" s="1">
        <v>730.0</v>
      </c>
      <c r="B732" s="1" t="s">
        <v>2625</v>
      </c>
      <c r="C732" s="1" t="s">
        <v>2678</v>
      </c>
      <c r="D732" s="1" t="s">
        <v>2679</v>
      </c>
      <c r="E732" s="2" t="str">
        <f>IFERROR(__xludf.DUMMYFUNCTION("GOOGLETRANSLATE(C732, ""en"", ""th"")"),"รายชื่อฮีโร่จาก Marvel Comics ที่มีพลังวิเศษของ 'Super Strength'")</f>
        <v>รายชื่อฮีโร่จาก Marvel Comics ที่มีพลังวิเศษของ 'Super Strength'</v>
      </c>
      <c r="F732" s="1" t="s">
        <v>2680</v>
      </c>
      <c r="G732" s="1" t="s">
        <v>2681</v>
      </c>
      <c r="H732" s="1" t="s">
        <v>101</v>
      </c>
    </row>
    <row r="733">
      <c r="A733" s="1">
        <v>731.0</v>
      </c>
      <c r="B733" s="1" t="s">
        <v>2625</v>
      </c>
      <c r="C733" s="1" t="s">
        <v>2682</v>
      </c>
      <c r="D733" s="1" t="s">
        <v>2683</v>
      </c>
      <c r="E733" s="2" t="str">
        <f>IFERROR(__xludf.DUMMYFUNCTION("GOOGLETRANSLATE(C733, ""en"", ""th"")"),"DC Comics ตีพิมพ์ฮีโร่กี่ตัว?")</f>
        <v>DC Comics ตีพิมพ์ฮีโร่กี่ตัว?</v>
      </c>
      <c r="F733" s="1" t="s">
        <v>2684</v>
      </c>
      <c r="G733" s="1" t="s">
        <v>2685</v>
      </c>
      <c r="H733" s="1" t="s">
        <v>13</v>
      </c>
    </row>
    <row r="734">
      <c r="A734" s="1">
        <v>732.0</v>
      </c>
      <c r="B734" s="1" t="s">
        <v>2625</v>
      </c>
      <c r="C734" s="1" t="s">
        <v>2686</v>
      </c>
      <c r="D734" s="1" t="s">
        <v>2687</v>
      </c>
      <c r="E734" s="2" t="str">
        <f>IFERROR(__xludf.DUMMYFUNCTION("GOOGLETRANSLATE(C734, ""en"", ""th"")"),"สำนักพิมพ์ใดตีพิมพ์ซูเปอร์ฮีโร่ที่ช้าที่สุด?")</f>
        <v>สำนักพิมพ์ใดตีพิมพ์ซูเปอร์ฮีโร่ที่ช้าที่สุด?</v>
      </c>
      <c r="F734" s="1" t="s">
        <v>2688</v>
      </c>
      <c r="G734" s="1" t="s">
        <v>2689</v>
      </c>
      <c r="H734" s="1" t="s">
        <v>18</v>
      </c>
    </row>
    <row r="735">
      <c r="A735" s="1">
        <v>733.0</v>
      </c>
      <c r="B735" s="1" t="s">
        <v>2625</v>
      </c>
      <c r="C735" s="1" t="s">
        <v>2690</v>
      </c>
      <c r="D735" s="1" t="s">
        <v>2691</v>
      </c>
      <c r="E735" s="2" t="str">
        <f>IFERROR(__xludf.DUMMYFUNCTION("GOOGLETRANSLATE(C735, ""en"", ""th"")"),"Marvel Comics ตีพิมพ์ฮีโร่ตาสีทองกี่คน?")</f>
        <v>Marvel Comics ตีพิมพ์ฮีโร่ตาสีทองกี่คน?</v>
      </c>
      <c r="F735" s="1" t="s">
        <v>2692</v>
      </c>
      <c r="G735" s="1" t="s">
        <v>2693</v>
      </c>
      <c r="H735" s="1" t="s">
        <v>18</v>
      </c>
    </row>
    <row r="736">
      <c r="A736" s="1">
        <v>734.0</v>
      </c>
      <c r="B736" s="1" t="s">
        <v>2625</v>
      </c>
      <c r="C736" s="1" t="s">
        <v>2694</v>
      </c>
      <c r="D736" s="1" t="s">
        <v>2695</v>
      </c>
      <c r="E736" s="2" t="str">
        <f>IFERROR(__xludf.DUMMYFUNCTION("GOOGLETRANSLATE(C736, ""en"", ""th"")"),"ผู้จัดพิมพ์ Blue Beetle II ชื่ออะไร")</f>
        <v>ผู้จัดพิมพ์ Blue Beetle II ชื่ออะไร</v>
      </c>
      <c r="F736" s="1" t="s">
        <v>2696</v>
      </c>
      <c r="G736" s="1" t="s">
        <v>2697</v>
      </c>
      <c r="H736" s="1" t="s">
        <v>13</v>
      </c>
    </row>
    <row r="737">
      <c r="A737" s="1">
        <v>735.0</v>
      </c>
      <c r="B737" s="1" t="s">
        <v>2625</v>
      </c>
      <c r="C737" s="1" t="s">
        <v>2698</v>
      </c>
      <c r="D737" s="1" t="s">
        <v>2699</v>
      </c>
      <c r="E737" s="2" t="str">
        <f>IFERROR(__xludf.DUMMYFUNCTION("GOOGLETRANSLATE(C737, ""en"", ""th"")"),"มีฮีโร่ผมสีบลอนด์กี่คน?")</f>
        <v>มีฮีโร่ผมสีบลอนด์กี่คน?</v>
      </c>
      <c r="F737" s="1" t="s">
        <v>2700</v>
      </c>
      <c r="G737" s="1" t="s">
        <v>2701</v>
      </c>
      <c r="H737" s="1" t="s">
        <v>13</v>
      </c>
    </row>
    <row r="738">
      <c r="A738" s="1">
        <v>736.0</v>
      </c>
      <c r="B738" s="1" t="s">
        <v>2625</v>
      </c>
      <c r="C738" s="1" t="s">
        <v>2702</v>
      </c>
      <c r="D738" s="1" t="s">
        <v>2703</v>
      </c>
      <c r="E738" s="2" t="str">
        <f>IFERROR(__xludf.DUMMYFUNCTION("GOOGLETRANSLATE(C738, ""en"", ""th"")"),"ซูเปอร์ฮีโร่ที่โง่ที่สุดคือใคร?")</f>
        <v>ซูเปอร์ฮีโร่ที่โง่ที่สุดคือใคร?</v>
      </c>
      <c r="F738" s="1" t="s">
        <v>2704</v>
      </c>
      <c r="G738" s="1" t="s">
        <v>2705</v>
      </c>
      <c r="H738" s="1" t="s">
        <v>18</v>
      </c>
    </row>
    <row r="739">
      <c r="A739" s="1">
        <v>737.0</v>
      </c>
      <c r="B739" s="1" t="s">
        <v>2625</v>
      </c>
      <c r="C739" s="1" t="s">
        <v>2706</v>
      </c>
      <c r="D739" s="1" t="s">
        <v>2707</v>
      </c>
      <c r="E739" s="2" t="str">
        <f>IFERROR(__xludf.DUMMYFUNCTION("GOOGLETRANSLATE(C739, ""en"", ""th"")"),"เผ่าพันธุ์ของ Copycat คืออะไร?")</f>
        <v>เผ่าพันธุ์ของ Copycat คืออะไร?</v>
      </c>
      <c r="F739" s="1" t="s">
        <v>2708</v>
      </c>
      <c r="G739" s="1" t="s">
        <v>2709</v>
      </c>
      <c r="H739" s="1" t="s">
        <v>13</v>
      </c>
    </row>
    <row r="740">
      <c r="A740" s="1">
        <v>738.0</v>
      </c>
      <c r="B740" s="1" t="s">
        <v>2625</v>
      </c>
      <c r="C740" s="1" t="s">
        <v>2710</v>
      </c>
      <c r="D740" s="1" t="s">
        <v>2711</v>
      </c>
      <c r="E740" s="2" t="str">
        <f>IFERROR(__xludf.DUMMYFUNCTION("GOOGLETRANSLATE(C740, ""en"", ""th"")"),"ฮีโร่คนไหนที่มีค่าคุณสมบัติความทนทานน้อยกว่า 50?")</f>
        <v>ฮีโร่คนไหนที่มีค่าคุณสมบัติความทนทานน้อยกว่า 50?</v>
      </c>
      <c r="F740" s="1" t="s">
        <v>2712</v>
      </c>
      <c r="G740" s="1" t="s">
        <v>2713</v>
      </c>
      <c r="H740" s="1" t="s">
        <v>13</v>
      </c>
    </row>
    <row r="741">
      <c r="A741" s="1">
        <v>739.0</v>
      </c>
      <c r="B741" s="1" t="s">
        <v>2625</v>
      </c>
      <c r="C741" s="1" t="s">
        <v>2714</v>
      </c>
      <c r="D741" s="1" t="s">
        <v>2715</v>
      </c>
      <c r="E741" s="2" t="str">
        <f>IFERROR(__xludf.DUMMYFUNCTION("GOOGLETRANSLATE(C741, ""en"", ""th"")"),"ฮีโร่ผู้มีพลังแห่งความตายชื่ออะไร?")</f>
        <v>ฮีโร่ผู้มีพลังแห่งความตายชื่ออะไร?</v>
      </c>
      <c r="F741" s="1" t="s">
        <v>2716</v>
      </c>
      <c r="G741" s="1" t="s">
        <v>2717</v>
      </c>
      <c r="H741" s="1" t="s">
        <v>18</v>
      </c>
    </row>
    <row r="742">
      <c r="A742" s="1">
        <v>740.0</v>
      </c>
      <c r="B742" s="1" t="s">
        <v>2625</v>
      </c>
      <c r="C742" s="1" t="s">
        <v>2718</v>
      </c>
      <c r="D742" s="1" t="s">
        <v>2719</v>
      </c>
      <c r="E742" s="2" t="str">
        <f>IFERROR(__xludf.DUMMYFUNCTION("GOOGLETRANSLATE(C742, ""en"", ""th"")"),"ฮีโร่หญิงที่มีค่าความแข็งแกร่ง 100 มีกี่คน?")</f>
        <v>ฮีโร่หญิงที่มีค่าความแข็งแกร่ง 100 มีกี่คน?</v>
      </c>
      <c r="F742" s="1" t="s">
        <v>2720</v>
      </c>
      <c r="G742" s="1" t="s">
        <v>2721</v>
      </c>
      <c r="H742" s="1" t="s">
        <v>18</v>
      </c>
    </row>
    <row r="743">
      <c r="A743" s="1">
        <v>741.0</v>
      </c>
      <c r="B743" s="1" t="s">
        <v>2625</v>
      </c>
      <c r="C743" s="1" t="s">
        <v>2722</v>
      </c>
      <c r="D743" s="1" t="s">
        <v>2723</v>
      </c>
      <c r="E743" s="2" t="str">
        <f>IFERROR(__xludf.DUMMYFUNCTION("GOOGLETRANSLATE(C743, ""en"", ""th"")"),"ซูเปอร์ฮีโร่ที่มีพลังมากที่สุดชื่ออะไร?")</f>
        <v>ซูเปอร์ฮีโร่ที่มีพลังมากที่สุดชื่ออะไร?</v>
      </c>
      <c r="F743" s="1" t="s">
        <v>2724</v>
      </c>
      <c r="G743" s="1" t="s">
        <v>2725</v>
      </c>
      <c r="H743" s="1" t="s">
        <v>13</v>
      </c>
    </row>
    <row r="744">
      <c r="A744" s="1">
        <v>742.0</v>
      </c>
      <c r="B744" s="1" t="s">
        <v>2625</v>
      </c>
      <c r="C744" s="1" t="s">
        <v>2726</v>
      </c>
      <c r="D744" s="1" t="s">
        <v>2727</v>
      </c>
      <c r="E744" s="2" t="str">
        <f>IFERROR(__xludf.DUMMYFUNCTION("GOOGLETRANSLATE(C744, ""en"", ""th"")"),"มีฮีโร่แวมไพร์กี่คน?")</f>
        <v>มีฮีโร่แวมไพร์กี่คน?</v>
      </c>
      <c r="F744" s="1" t="s">
        <v>2728</v>
      </c>
      <c r="G744" s="1" t="s">
        <v>2729</v>
      </c>
      <c r="H744" s="1" t="s">
        <v>13</v>
      </c>
    </row>
    <row r="745">
      <c r="A745" s="1">
        <v>743.0</v>
      </c>
      <c r="B745" s="1" t="s">
        <v>2625</v>
      </c>
      <c r="C745" s="1" t="s">
        <v>2730</v>
      </c>
      <c r="D745" s="1" t="s">
        <v>2731</v>
      </c>
      <c r="E745" s="2" t="str">
        <f>IFERROR(__xludf.DUMMYFUNCTION("GOOGLETRANSLATE(C745, ""en"", ""th"")"),"เปอร์เซ็นต์ของฮีโร่ที่กระทำเพื่อผลประโยชน์ของตนเองหรือตัดสินใจตามหลักศีลธรรมของตนเองคือกี่เปอร์เซ็นต์ ระบุจำนวนฮีโร่ดังกล่าวที่ได้รับการตีพิมพ์โดย Marvel Comics")</f>
        <v>เปอร์เซ็นต์ของฮีโร่ที่กระทำเพื่อผลประโยชน์ของตนเองหรือตัดสินใจตามหลักศีลธรรมของตนเองคือกี่เปอร์เซ็นต์ ระบุจำนวนฮีโร่ดังกล่าวที่ได้รับการตีพิมพ์โดย Marvel Comics</v>
      </c>
      <c r="F745" s="1" t="s">
        <v>2732</v>
      </c>
      <c r="G745" s="1" t="s">
        <v>2733</v>
      </c>
      <c r="H745" s="1" t="s">
        <v>101</v>
      </c>
    </row>
    <row r="746">
      <c r="A746" s="1">
        <v>744.0</v>
      </c>
      <c r="B746" s="1" t="s">
        <v>2625</v>
      </c>
      <c r="C746" s="1" t="s">
        <v>2734</v>
      </c>
      <c r="D746" s="1" t="s">
        <v>2735</v>
      </c>
      <c r="E746" s="2" t="str">
        <f>IFERROR(__xludf.DUMMYFUNCTION("GOOGLETRANSLATE(C746, ""en"", ""th"")"),"ระหว่าง DC และ Marvel Comics สำนักพิมพ์ไหนตีพิมพ์ซูเปอร์ฮีโร่มากกว่ากัน? ค้นหาความแตกต่างในจำนวนฮีโร่ที่พวกเขาตีพิมพ์")</f>
        <v>ระหว่าง DC และ Marvel Comics สำนักพิมพ์ไหนตีพิมพ์ซูเปอร์ฮีโร่มากกว่ากัน? ค้นหาความแตกต่างในจำนวนฮีโร่ที่พวกเขาตีพิมพ์</v>
      </c>
      <c r="F746" s="1" t="s">
        <v>2736</v>
      </c>
      <c r="G746" s="1" t="s">
        <v>2737</v>
      </c>
      <c r="H746" s="1" t="s">
        <v>101</v>
      </c>
    </row>
    <row r="747">
      <c r="A747" s="1">
        <v>745.0</v>
      </c>
      <c r="B747" s="1" t="s">
        <v>2625</v>
      </c>
      <c r="C747" s="1" t="s">
        <v>2738</v>
      </c>
      <c r="D747" s="1" t="s">
        <v>2739</v>
      </c>
      <c r="E747" s="2" t="str">
        <f>IFERROR(__xludf.DUMMYFUNCTION("GOOGLETRANSLATE(C747, ""en"", ""th"")"),"ให้ ID ผู้จัดพิมพ์ของ Star Trek")</f>
        <v>ให้ ID ผู้จัดพิมพ์ของ Star Trek</v>
      </c>
      <c r="F747" s="1" t="s">
        <v>2740</v>
      </c>
      <c r="G747" s="1" t="s">
        <v>2741</v>
      </c>
      <c r="H747" s="1" t="s">
        <v>13</v>
      </c>
    </row>
    <row r="748">
      <c r="A748" s="1">
        <v>746.0</v>
      </c>
      <c r="B748" s="1" t="s">
        <v>2625</v>
      </c>
      <c r="C748" s="1" t="s">
        <v>2742</v>
      </c>
      <c r="D748" s="1" t="s">
        <v>2743</v>
      </c>
      <c r="E748" s="2" t="str">
        <f>IFERROR(__xludf.DUMMYFUNCTION("GOOGLETRANSLATE(C748, ""en"", ""th"")"),"คำนวณค่าแอตทริบิวต์เฉลี่ยของฮีโร่ทั้งหมด")</f>
        <v>คำนวณค่าแอตทริบิวต์เฉลี่ยของฮีโร่ทั้งหมด</v>
      </c>
      <c r="F748" s="1" t="s">
        <v>2744</v>
      </c>
      <c r="G748" s="1" t="s">
        <v>2745</v>
      </c>
      <c r="H748" s="1" t="s">
        <v>13</v>
      </c>
    </row>
    <row r="749">
      <c r="A749" s="1">
        <v>747.0</v>
      </c>
      <c r="B749" s="1" t="s">
        <v>2625</v>
      </c>
      <c r="C749" s="1" t="s">
        <v>2746</v>
      </c>
      <c r="D749" s="1" t="s">
        <v>2747</v>
      </c>
      <c r="E749" s="2" t="str">
        <f>IFERROR(__xludf.DUMMYFUNCTION("GOOGLETRANSLATE(C749, ""en"", ""th"")"),"จำนวนฮีโร่ที่ไม่มีชื่อเต็มคือเท่าไร?")</f>
        <v>จำนวนฮีโร่ที่ไม่มีชื่อเต็มคือเท่าไร?</v>
      </c>
      <c r="F749" s="1" t="s">
        <v>2748</v>
      </c>
      <c r="G749" s="1" t="s">
        <v>2749</v>
      </c>
      <c r="H749" s="1" t="s">
        <v>13</v>
      </c>
    </row>
    <row r="750">
      <c r="A750" s="1">
        <v>748.0</v>
      </c>
      <c r="B750" s="1" t="s">
        <v>2625</v>
      </c>
      <c r="C750" s="1" t="s">
        <v>2750</v>
      </c>
      <c r="D750" s="1" t="s">
        <v>2751</v>
      </c>
      <c r="E750" s="2" t="str">
        <f>IFERROR(__xludf.DUMMYFUNCTION("GOOGLETRANSLATE(C750, ""en"", ""th"")"),"ซูเปอร์ฮีโร่มีดวงตาสีอะไร ID 75?")</f>
        <v>ซูเปอร์ฮีโร่มีดวงตาสีอะไร ID 75?</v>
      </c>
      <c r="F750" s="1" t="s">
        <v>2752</v>
      </c>
      <c r="G750" s="1" t="s">
        <v>2753</v>
      </c>
      <c r="H750" s="1" t="s">
        <v>13</v>
      </c>
    </row>
    <row r="751">
      <c r="A751" s="1">
        <v>749.0</v>
      </c>
      <c r="B751" s="1" t="s">
        <v>2625</v>
      </c>
      <c r="C751" s="1" t="s">
        <v>2754</v>
      </c>
      <c r="D751" s="1" t="s">
        <v>2755</v>
      </c>
      <c r="E751" s="2" t="str">
        <f>IFERROR(__xludf.DUMMYFUNCTION("GOOGLETRANSLATE(C751, ""en"", ""th"")"),"มอบพลังพิเศษของซูเปอร์ฮีโร่ชื่อ Deathlok")</f>
        <v>มอบพลังพิเศษของซูเปอร์ฮีโร่ชื่อ Deathlok</v>
      </c>
      <c r="F751" s="1" t="s">
        <v>2756</v>
      </c>
      <c r="G751" s="1" t="s">
        <v>2757</v>
      </c>
      <c r="H751" s="1" t="s">
        <v>13</v>
      </c>
    </row>
    <row r="752">
      <c r="A752" s="1">
        <v>750.0</v>
      </c>
      <c r="B752" s="1" t="s">
        <v>2625</v>
      </c>
      <c r="C752" s="1" t="s">
        <v>2758</v>
      </c>
      <c r="D752" s="1" t="s">
        <v>2759</v>
      </c>
      <c r="E752" s="2" t="str">
        <f>IFERROR(__xludf.DUMMYFUNCTION("GOOGLETRANSLATE(C752, ""en"", ""th"")"),"น้ำหนักเฉลี่ยของฮีโร่หญิงทุกคนคือเท่าไร?")</f>
        <v>น้ำหนักเฉลี่ยของฮีโร่หญิงทุกคนคือเท่าไร?</v>
      </c>
      <c r="F752" s="1" t="s">
        <v>2760</v>
      </c>
      <c r="G752" s="1" t="s">
        <v>2761</v>
      </c>
      <c r="H752" s="1" t="s">
        <v>13</v>
      </c>
    </row>
    <row r="753">
      <c r="A753" s="1">
        <v>751.0</v>
      </c>
      <c r="B753" s="1" t="s">
        <v>2625</v>
      </c>
      <c r="C753" s="1" t="s">
        <v>2762</v>
      </c>
      <c r="D753" s="1" t="s">
        <v>2763</v>
      </c>
      <c r="E753" s="2" t="str">
        <f>IFERROR(__xludf.DUMMYFUNCTION("GOOGLETRANSLATE(C753, ""en"", ""th"")"),"รายชื่อพลังพิเศษของฮีโร่ชายอย่างน้อยห้ารายการ")</f>
        <v>รายชื่อพลังพิเศษของฮีโร่ชายอย่างน้อยห้ารายการ</v>
      </c>
      <c r="F753" s="1" t="s">
        <v>2764</v>
      </c>
      <c r="G753" s="1" t="s">
        <v>2765</v>
      </c>
      <c r="H753" s="1" t="s">
        <v>18</v>
      </c>
    </row>
    <row r="754">
      <c r="A754" s="1">
        <v>752.0</v>
      </c>
      <c r="B754" s="1" t="s">
        <v>2625</v>
      </c>
      <c r="C754" s="1" t="s">
        <v>2766</v>
      </c>
      <c r="D754" s="1" t="s">
        <v>2767</v>
      </c>
      <c r="E754" s="2" t="str">
        <f>IFERROR(__xludf.DUMMYFUNCTION("GOOGLETRANSLATE(C754, ""en"", ""th"")"),"ตั้งชื่อซุปเปอร์ฮีโร่จากต่างดาว")</f>
        <v>ตั้งชื่อซุปเปอร์ฮีโร่จากต่างดาว</v>
      </c>
      <c r="F754" s="1" t="s">
        <v>2768</v>
      </c>
      <c r="G754" s="1" t="s">
        <v>2769</v>
      </c>
      <c r="H754" s="1" t="s">
        <v>13</v>
      </c>
    </row>
    <row r="755">
      <c r="A755" s="1">
        <v>753.0</v>
      </c>
      <c r="B755" s="1" t="s">
        <v>2625</v>
      </c>
      <c r="C755" s="1" t="s">
        <v>2770</v>
      </c>
      <c r="D755" s="1" t="s">
        <v>2771</v>
      </c>
      <c r="E755" s="2" t="str">
        <f>IFERROR(__xludf.DUMMYFUNCTION("GOOGLETRANSLATE(C755, ""en"", ""th"")"),"ในบรรดาฮีโร่ที่มีส่วนสูงตั้งแต่ 170 ถึง 190 ให้ระบุชื่อฮีโร่ที่ไม่มีสีตา")</f>
        <v>ในบรรดาฮีโร่ที่มีส่วนสูงตั้งแต่ 170 ถึง 190 ให้ระบุชื่อฮีโร่ที่ไม่มีสีตา</v>
      </c>
      <c r="F755" s="1" t="s">
        <v>2772</v>
      </c>
      <c r="G755" s="1" t="s">
        <v>2773</v>
      </c>
      <c r="H755" s="1" t="s">
        <v>18</v>
      </c>
    </row>
    <row r="756">
      <c r="A756" s="1">
        <v>754.0</v>
      </c>
      <c r="B756" s="1" t="s">
        <v>2625</v>
      </c>
      <c r="C756" s="1" t="s">
        <v>2774</v>
      </c>
      <c r="D756" s="1" t="s">
        <v>2775</v>
      </c>
      <c r="E756" s="2" t="str">
        <f>IFERROR(__xludf.DUMMYFUNCTION("GOOGLETRANSLATE(C756, ""en"", ""th"")"),"พลังพิเศษของฮีโร่ ID 56 คืออะไร?")</f>
        <v>พลังพิเศษของฮีโร่ ID 56 คืออะไร?</v>
      </c>
      <c r="F756" s="1" t="s">
        <v>2776</v>
      </c>
      <c r="G756" s="1" t="s">
        <v>2777</v>
      </c>
      <c r="H756" s="1" t="s">
        <v>13</v>
      </c>
    </row>
    <row r="757">
      <c r="A757" s="1">
        <v>755.0</v>
      </c>
      <c r="B757" s="1" t="s">
        <v>2625</v>
      </c>
      <c r="C757" s="1" t="s">
        <v>2778</v>
      </c>
      <c r="D757" s="1" t="s">
        <v>2779</v>
      </c>
      <c r="E757" s="2" t="str">
        <f>IFERROR(__xludf.DUMMYFUNCTION("GOOGLETRANSLATE(C757, ""en"", ""th"")"),"รายชื่อฮีโร่ Demi-God อย่างน้อยห้าชื่อ")</f>
        <v>รายชื่อฮีโร่ Demi-God อย่างน้อยห้าชื่อ</v>
      </c>
      <c r="F757" s="1" t="s">
        <v>2780</v>
      </c>
      <c r="G757" s="1" t="s">
        <v>2781</v>
      </c>
      <c r="H757" s="1" t="s">
        <v>13</v>
      </c>
    </row>
    <row r="758">
      <c r="A758" s="1">
        <v>756.0</v>
      </c>
      <c r="B758" s="1" t="s">
        <v>2625</v>
      </c>
      <c r="C758" s="1" t="s">
        <v>2782</v>
      </c>
      <c r="D758" s="1" t="s">
        <v>2783</v>
      </c>
      <c r="E758" s="2" t="str">
        <f>IFERROR(__xludf.DUMMYFUNCTION("GOOGLETRANSLATE(C758, ""en"", ""th"")"),"มีฮีโร่ตัวร้ายกี่คน?")</f>
        <v>มีฮีโร่ตัวร้ายกี่คน?</v>
      </c>
      <c r="F758" s="1" t="s">
        <v>2784</v>
      </c>
      <c r="G758" s="1" t="s">
        <v>2785</v>
      </c>
      <c r="H758" s="1" t="s">
        <v>13</v>
      </c>
    </row>
    <row r="759">
      <c r="A759" s="1">
        <v>757.0</v>
      </c>
      <c r="B759" s="1" t="s">
        <v>2625</v>
      </c>
      <c r="C759" s="1" t="s">
        <v>2786</v>
      </c>
      <c r="D759" s="1" t="s">
        <v>2787</v>
      </c>
      <c r="E759" s="2" t="str">
        <f>IFERROR(__xludf.DUMMYFUNCTION("GOOGLETRANSLATE(C759, ""en"", ""th"")"),"ระบุเผ่าพันธุ์ซูเปอร์ฮีโร่ที่มีน้ำหนัก 169 กิโลกรัม")</f>
        <v>ระบุเผ่าพันธุ์ซูเปอร์ฮีโร่ที่มีน้ำหนัก 169 กิโลกรัม</v>
      </c>
      <c r="F759" s="1" t="s">
        <v>2788</v>
      </c>
      <c r="G759" s="1" t="s">
        <v>2789</v>
      </c>
      <c r="H759" s="1" t="s">
        <v>13</v>
      </c>
    </row>
    <row r="760">
      <c r="A760" s="1">
        <v>758.0</v>
      </c>
      <c r="B760" s="1" t="s">
        <v>2625</v>
      </c>
      <c r="C760" s="1" t="s">
        <v>2790</v>
      </c>
      <c r="D760" s="1" t="s">
        <v>2791</v>
      </c>
      <c r="E760" s="2" t="str">
        <f>IFERROR(__xludf.DUMMYFUNCTION("GOOGLETRANSLATE(C760, ""en"", ""th"")"),"ให้สีผมของมนุษย์ซูเปอร์ฮีโร่ที่สูง 185 ซม.")</f>
        <v>ให้สีผมของมนุษย์ซูเปอร์ฮีโร่ที่สูง 185 ซม.</v>
      </c>
      <c r="F760" s="1" t="s">
        <v>2792</v>
      </c>
      <c r="G760" s="1" t="s">
        <v>2793</v>
      </c>
      <c r="H760" s="1" t="s">
        <v>18</v>
      </c>
    </row>
    <row r="761">
      <c r="A761" s="1">
        <v>759.0</v>
      </c>
      <c r="B761" s="1" t="s">
        <v>2625</v>
      </c>
      <c r="C761" s="1" t="s">
        <v>2794</v>
      </c>
      <c r="D761" s="1" t="s">
        <v>2795</v>
      </c>
      <c r="E761" s="2" t="str">
        <f>IFERROR(__xludf.DUMMYFUNCTION("GOOGLETRANSLATE(C761, ""en"", ""th"")"),"สีตาของซูเปอร์ฮีโร่ที่หนักที่สุดคืออะไร?")</f>
        <v>สีตาของซูเปอร์ฮีโร่ที่หนักที่สุดคืออะไร?</v>
      </c>
      <c r="F761" s="1" t="s">
        <v>2796</v>
      </c>
      <c r="G761" s="1" t="s">
        <v>2797</v>
      </c>
      <c r="H761" s="1" t="s">
        <v>13</v>
      </c>
    </row>
    <row r="762">
      <c r="A762" s="1">
        <v>760.0</v>
      </c>
      <c r="B762" s="1" t="s">
        <v>2625</v>
      </c>
      <c r="C762" s="1" t="s">
        <v>2798</v>
      </c>
      <c r="D762" s="1" t="s">
        <v>2799</v>
      </c>
      <c r="E762" s="2" t="str">
        <f>IFERROR(__xludf.DUMMYFUNCTION("GOOGLETRANSLATE(C762, ""en"", ""th"")"),"ฮีโร่ที่มีส่วนสูงระหว่าง 150 ถึง 180 เปอร์เซ็นต์ของฮีโร่ที่ตีพิมพ์โดย Marvel Comics คือกี่เปอร์เซ็นต์")</f>
        <v>ฮีโร่ที่มีส่วนสูงระหว่าง 150 ถึง 180 เปอร์เซ็นต์ของฮีโร่ที่ตีพิมพ์โดย Marvel Comics คือกี่เปอร์เซ็นต์</v>
      </c>
      <c r="F762" s="1" t="s">
        <v>2800</v>
      </c>
      <c r="G762" s="1" t="s">
        <v>2801</v>
      </c>
      <c r="H762" s="1" t="s">
        <v>101</v>
      </c>
    </row>
    <row r="763">
      <c r="A763" s="1">
        <v>761.0</v>
      </c>
      <c r="B763" s="1" t="s">
        <v>2625</v>
      </c>
      <c r="C763" s="1" t="s">
        <v>2802</v>
      </c>
      <c r="D763" s="1" t="s">
        <v>2803</v>
      </c>
      <c r="E763" s="2" t="str">
        <f>IFERROR(__xludf.DUMMYFUNCTION("GOOGLETRANSLATE(C763, ""en"", ""th"")"),"ในบรรดาฮีโร่ชาย ให้ระบุชื่อซูเปอร์ฮีโร่ของฮีโร่ที่มีน้ำหนักมากกว่าน้ำหนักเฉลี่ย 79% ของฮีโร่ทั้งหมด")</f>
        <v>ในบรรดาฮีโร่ชาย ให้ระบุชื่อซูเปอร์ฮีโร่ของฮีโร่ที่มีน้ำหนักมากกว่าน้ำหนักเฉลี่ย 79% ของฮีโร่ทั้งหมด</v>
      </c>
      <c r="F763" s="1" t="s">
        <v>2804</v>
      </c>
      <c r="G763" s="1" t="s">
        <v>2805</v>
      </c>
      <c r="H763" s="1" t="s">
        <v>18</v>
      </c>
    </row>
    <row r="764">
      <c r="A764" s="1">
        <v>762.0</v>
      </c>
      <c r="B764" s="1" t="s">
        <v>2625</v>
      </c>
      <c r="C764" s="1" t="s">
        <v>2806</v>
      </c>
      <c r="D764" s="1" t="s">
        <v>2807</v>
      </c>
      <c r="E764" s="2" t="str">
        <f>IFERROR(__xludf.DUMMYFUNCTION("GOOGLETRANSLATE(C764, ""en"", ""th"")"),"ฮีโร่มีพลังใดมากที่สุด?")</f>
        <v>ฮีโร่มีพลังใดมากที่สุด?</v>
      </c>
      <c r="F764" s="1" t="s">
        <v>2808</v>
      </c>
      <c r="G764" s="1" t="s">
        <v>2809</v>
      </c>
      <c r="H764" s="1" t="s">
        <v>13</v>
      </c>
    </row>
    <row r="765">
      <c r="A765" s="1">
        <v>763.0</v>
      </c>
      <c r="B765" s="1" t="s">
        <v>2625</v>
      </c>
      <c r="C765" s="1" t="s">
        <v>2810</v>
      </c>
      <c r="D765" s="1" t="s">
        <v>2811</v>
      </c>
      <c r="E765" s="2" t="str">
        <f>IFERROR(__xludf.DUMMYFUNCTION("GOOGLETRANSLATE(C765, ""en"", ""th"")"),"ระบุค่าแอตทริบิวต์ของสิ่งที่น่ารังเกียจในดวงใจ")</f>
        <v>ระบุค่าแอตทริบิวต์ของสิ่งที่น่ารังเกียจในดวงใจ</v>
      </c>
      <c r="F765" s="1" t="s">
        <v>2812</v>
      </c>
      <c r="G765" s="1" t="s">
        <v>2813</v>
      </c>
      <c r="H765" s="1" t="s">
        <v>13</v>
      </c>
    </row>
    <row r="766">
      <c r="A766" s="1">
        <v>764.0</v>
      </c>
      <c r="B766" s="1" t="s">
        <v>2625</v>
      </c>
      <c r="C766" s="1" t="s">
        <v>2814</v>
      </c>
      <c r="D766" s="1" t="s">
        <v>2815</v>
      </c>
      <c r="E766" s="2" t="str">
        <f>IFERROR(__xludf.DUMMYFUNCTION("GOOGLETRANSLATE(C766, ""en"", ""th"")"),"พลังพิเศษของฮีโร่ที่มี ID 1 คืออะไร?")</f>
        <v>พลังพิเศษของฮีโร่ที่มี ID 1 คืออะไร?</v>
      </c>
      <c r="F766" s="1" t="s">
        <v>2816</v>
      </c>
      <c r="G766" s="1" t="s">
        <v>2817</v>
      </c>
      <c r="H766" s="1" t="s">
        <v>13</v>
      </c>
    </row>
    <row r="767">
      <c r="A767" s="1">
        <v>765.0</v>
      </c>
      <c r="B767" s="1" t="s">
        <v>2625</v>
      </c>
      <c r="C767" s="1" t="s">
        <v>2818</v>
      </c>
      <c r="D767" s="1" t="s">
        <v>2819</v>
      </c>
      <c r="E767" s="2" t="str">
        <f>IFERROR(__xludf.DUMMYFUNCTION("GOOGLETRANSLATE(C767, ""en"", ""th"")"),"มีฮีโร่กี่คนที่มีพลังล่องหน?")</f>
        <v>มีฮีโร่กี่คนที่มีพลังล่องหน?</v>
      </c>
      <c r="F767" s="1" t="s">
        <v>2820</v>
      </c>
      <c r="G767" s="1" t="s">
        <v>2821</v>
      </c>
      <c r="H767" s="1" t="s">
        <v>13</v>
      </c>
    </row>
    <row r="768">
      <c r="A768" s="1">
        <v>766.0</v>
      </c>
      <c r="B768" s="1" t="s">
        <v>2625</v>
      </c>
      <c r="C768" s="1" t="s">
        <v>2822</v>
      </c>
      <c r="D768" s="1" t="s">
        <v>2823</v>
      </c>
      <c r="E768" s="2" t="str">
        <f>IFERROR(__xludf.DUMMYFUNCTION("GOOGLETRANSLATE(C768, ""en"", ""th"")"),"ชื่อเต็มของฮีโร่ที่มีคุณสมบัติความแข็งแกร่งสูงสุดคืออะไร?")</f>
        <v>ชื่อเต็มของฮีโร่ที่มีคุณสมบัติความแข็งแกร่งสูงสุดคืออะไร?</v>
      </c>
      <c r="F768" s="1" t="s">
        <v>2824</v>
      </c>
      <c r="G768" s="1" t="s">
        <v>2825</v>
      </c>
      <c r="H768" s="1" t="s">
        <v>18</v>
      </c>
    </row>
    <row r="769">
      <c r="A769" s="1">
        <v>767.0</v>
      </c>
      <c r="B769" s="1" t="s">
        <v>2625</v>
      </c>
      <c r="C769" s="1" t="s">
        <v>2826</v>
      </c>
      <c r="D769" s="1" t="s">
        <v>2827</v>
      </c>
      <c r="E769" s="2" t="str">
        <f>IFERROR(__xludf.DUMMYFUNCTION("GOOGLETRANSLATE(C769, ""en"", ""th"")"),"ค่าเฉลี่ยของฮีโร่ที่ไม่มีสีผิวคือเท่าไร?")</f>
        <v>ค่าเฉลี่ยของฮีโร่ที่ไม่มีสีผิวคือเท่าไร?</v>
      </c>
      <c r="F769" s="1" t="s">
        <v>2828</v>
      </c>
      <c r="G769" s="1" t="s">
        <v>2829</v>
      </c>
      <c r="H769" s="1" t="s">
        <v>13</v>
      </c>
    </row>
    <row r="770">
      <c r="A770" s="1">
        <v>768.0</v>
      </c>
      <c r="B770" s="1" t="s">
        <v>2625</v>
      </c>
      <c r="C770" s="1" t="s">
        <v>2830</v>
      </c>
      <c r="D770" s="1" t="s">
        <v>2831</v>
      </c>
      <c r="E770" s="2" t="str">
        <f>IFERROR(__xludf.DUMMYFUNCTION("GOOGLETRANSLATE(C770, ""en"", ""th"")"),"Dark Horse Comics ได้รับการตีพิมพ์ฮีโร่กี่คน?")</f>
        <v>Dark Horse Comics ได้รับการตีพิมพ์ฮีโร่กี่คน?</v>
      </c>
      <c r="F770" s="1" t="s">
        <v>2832</v>
      </c>
      <c r="G770" s="1" t="s">
        <v>2833</v>
      </c>
      <c r="H770" s="1" t="s">
        <v>13</v>
      </c>
    </row>
    <row r="771">
      <c r="A771" s="1">
        <v>769.0</v>
      </c>
      <c r="B771" s="1" t="s">
        <v>2625</v>
      </c>
      <c r="C771" s="1" t="s">
        <v>2834</v>
      </c>
      <c r="D771" s="1" t="s">
        <v>2835</v>
      </c>
      <c r="E771" s="2" t="str">
        <f>IFERROR(__xludf.DUMMYFUNCTION("GOOGLETRANSLATE(C771, ""en"", ""th"")"),"ซูเปอร์ฮีโร่คนไหนมีความทนทานมากที่สุดซึ่งจัดพิมพ์โดย Dark Horse Comics?")</f>
        <v>ซูเปอร์ฮีโร่คนไหนมีความทนทานมากที่สุดซึ่งจัดพิมพ์โดย Dark Horse Comics?</v>
      </c>
      <c r="F771" s="1" t="s">
        <v>2836</v>
      </c>
      <c r="G771" s="1" t="s">
        <v>2837</v>
      </c>
      <c r="H771" s="1" t="s">
        <v>101</v>
      </c>
    </row>
    <row r="772">
      <c r="A772" s="1">
        <v>770.0</v>
      </c>
      <c r="B772" s="1" t="s">
        <v>2625</v>
      </c>
      <c r="C772" s="1" t="s">
        <v>2838</v>
      </c>
      <c r="D772" s="1" t="s">
        <v>2839</v>
      </c>
      <c r="E772" s="2" t="str">
        <f>IFERROR(__xludf.DUMMYFUNCTION("GOOGLETRANSLATE(C772, ""en"", ""th"")"),"ดวงตาของอับราฮัม เซเปียนมีสีอะไร")</f>
        <v>ดวงตาของอับราฮัม เซเปียนมีสีอะไร</v>
      </c>
      <c r="F772" s="1" t="s">
        <v>2840</v>
      </c>
      <c r="G772" s="1" t="s">
        <v>2841</v>
      </c>
      <c r="H772" s="1" t="s">
        <v>13</v>
      </c>
    </row>
    <row r="773">
      <c r="A773" s="1">
        <v>771.0</v>
      </c>
      <c r="B773" s="1" t="s">
        <v>2625</v>
      </c>
      <c r="C773" s="1" t="s">
        <v>2842</v>
      </c>
      <c r="D773" s="1" t="s">
        <v>2843</v>
      </c>
      <c r="E773" s="2" t="str">
        <f>IFERROR(__xludf.DUMMYFUNCTION("GOOGLETRANSLATE(C773, ""en"", ""th"")"),"รายชื่อฮีโร่ที่มีพลังการบิน")</f>
        <v>รายชื่อฮีโร่ที่มีพลังการบิน</v>
      </c>
      <c r="F773" s="1" t="s">
        <v>2844</v>
      </c>
      <c r="G773" s="1" t="s">
        <v>2845</v>
      </c>
      <c r="H773" s="1" t="s">
        <v>13</v>
      </c>
    </row>
    <row r="774">
      <c r="A774" s="1">
        <v>772.0</v>
      </c>
      <c r="B774" s="1" t="s">
        <v>2625</v>
      </c>
      <c r="C774" s="1" t="s">
        <v>2846</v>
      </c>
      <c r="D774" s="1" t="s">
        <v>2847</v>
      </c>
      <c r="E774" s="2" t="str">
        <f>IFERROR(__xludf.DUMMYFUNCTION("GOOGLETRANSLATE(C774, ""en"", ""th"")"),"รายชื่อดวงตา ผม และสีผิวของฮีโร่หญิงทุกคนที่ตีพิมพ์โดย Dark Horse Comics")</f>
        <v>รายชื่อดวงตา ผม และสีผิวของฮีโร่หญิงทุกคนที่ตีพิมพ์โดย Dark Horse Comics</v>
      </c>
      <c r="F774" s="1" t="s">
        <v>2848</v>
      </c>
      <c r="G774" s="1" t="s">
        <v>2849</v>
      </c>
      <c r="H774" s="1" t="s">
        <v>101</v>
      </c>
    </row>
    <row r="775">
      <c r="A775" s="1">
        <v>773.0</v>
      </c>
      <c r="B775" s="1" t="s">
        <v>2625</v>
      </c>
      <c r="C775" s="1" t="s">
        <v>2850</v>
      </c>
      <c r="D775" s="1" t="s">
        <v>2851</v>
      </c>
      <c r="E775" s="2" t="str">
        <f>IFERROR(__xludf.DUMMYFUNCTION("GOOGLETRANSLATE(C775, ""en"", ""th"")"),"ซูเปอร์ฮีโร่คนไหนมีตา ผม และสีผิวเหมือนกัน? ระบุสำนักพิมพ์ซูเปอร์ฮีโร่")</f>
        <v>ซูเปอร์ฮีโร่คนไหนมีตา ผม และสีผิวเหมือนกัน? ระบุสำนักพิมพ์ซูเปอร์ฮีโร่</v>
      </c>
      <c r="F775" s="1" t="s">
        <v>2852</v>
      </c>
      <c r="G775" s="1" t="s">
        <v>2853</v>
      </c>
      <c r="H775" s="1" t="s">
        <v>101</v>
      </c>
    </row>
    <row r="776">
      <c r="A776" s="1">
        <v>774.0</v>
      </c>
      <c r="B776" s="1" t="s">
        <v>2625</v>
      </c>
      <c r="C776" s="1" t="s">
        <v>2854</v>
      </c>
      <c r="D776" s="1" t="s">
        <v>2855</v>
      </c>
      <c r="E776" s="2" t="str">
        <f>IFERROR(__xludf.DUMMYFUNCTION("GOOGLETRANSLATE(C776, ""en"", ""th"")"),"A-Bomb ซูเปอร์ฮีโร่อยู่ในกลุ่มใด?")</f>
        <v>A-Bomb ซูเปอร์ฮีโร่อยู่ในกลุ่มใด?</v>
      </c>
      <c r="F776" s="1" t="s">
        <v>2856</v>
      </c>
      <c r="G776" s="1" t="s">
        <v>2857</v>
      </c>
      <c r="H776" s="1" t="s">
        <v>13</v>
      </c>
    </row>
    <row r="777">
      <c r="A777" s="1">
        <v>775.0</v>
      </c>
      <c r="B777" s="1" t="s">
        <v>2625</v>
      </c>
      <c r="C777" s="1" t="s">
        <v>2858</v>
      </c>
      <c r="D777" s="1" t="s">
        <v>2859</v>
      </c>
      <c r="E777" s="2" t="str">
        <f>IFERROR(__xludf.DUMMYFUNCTION("GOOGLETRANSLATE(C777, ""en"", ""th"")"),"เปอร์เซ็นต์ของฮีโร่หญิงสีน้ำเงินในบรรดาฮีโร่หญิงทั้งหมดคือเท่าใด")</f>
        <v>เปอร์เซ็นต์ของฮีโร่หญิงสีน้ำเงินในบรรดาฮีโร่หญิงทั้งหมดคือเท่าใด</v>
      </c>
      <c r="F777" s="1" t="s">
        <v>2860</v>
      </c>
      <c r="G777" s="1" t="s">
        <v>2861</v>
      </c>
      <c r="H777" s="1" t="s">
        <v>101</v>
      </c>
    </row>
    <row r="778">
      <c r="A778" s="1">
        <v>776.0</v>
      </c>
      <c r="B778" s="1" t="s">
        <v>2625</v>
      </c>
      <c r="C778" s="1" t="s">
        <v>2862</v>
      </c>
      <c r="D778" s="1" t="s">
        <v>2863</v>
      </c>
      <c r="E778" s="2" t="str">
        <f>IFERROR(__xludf.DUMMYFUNCTION("GOOGLETRANSLATE(C778, ""en"", ""th"")"),"ระบุชื่อฮีโร่และเชื้อชาติของ Charles Chandler")</f>
        <v>ระบุชื่อฮีโร่และเชื้อชาติของ Charles Chandler</v>
      </c>
      <c r="F778" s="1" t="s">
        <v>2864</v>
      </c>
      <c r="G778" s="1" t="s">
        <v>2865</v>
      </c>
      <c r="H778" s="1" t="s">
        <v>13</v>
      </c>
    </row>
    <row r="779">
      <c r="A779" s="1">
        <v>777.0</v>
      </c>
      <c r="B779" s="1" t="s">
        <v>2625</v>
      </c>
      <c r="C779" s="1" t="s">
        <v>2866</v>
      </c>
      <c r="D779" s="1" t="s">
        <v>2867</v>
      </c>
      <c r="E779" s="2" t="str">
        <f>IFERROR(__xludf.DUMMYFUNCTION("GOOGLETRANSLATE(C779, ""en"", ""th"")"),"ฮีโร่ Agent 13 มีเพศอะไร?")</f>
        <v>ฮีโร่ Agent 13 มีเพศอะไร?</v>
      </c>
      <c r="F779" s="1" t="s">
        <v>2868</v>
      </c>
      <c r="G779" s="1" t="s">
        <v>2869</v>
      </c>
      <c r="H779" s="1" t="s">
        <v>13</v>
      </c>
    </row>
    <row r="780">
      <c r="A780" s="1">
        <v>778.0</v>
      </c>
      <c r="B780" s="1" t="s">
        <v>2625</v>
      </c>
      <c r="C780" s="1" t="s">
        <v>2870</v>
      </c>
      <c r="D780" s="1" t="s">
        <v>2871</v>
      </c>
      <c r="E780" s="2" t="str">
        <f>IFERROR(__xludf.DUMMYFUNCTION("GOOGLETRANSLATE(C780, ""en"", ""th"")"),"ระบุชื่อฮีโร่ที่มีพลังในการปรับตัว")</f>
        <v>ระบุชื่อฮีโร่ที่มีพลังในการปรับตัว</v>
      </c>
      <c r="F780" s="1" t="s">
        <v>2872</v>
      </c>
      <c r="G780" s="1" t="s">
        <v>2873</v>
      </c>
      <c r="H780" s="1" t="s">
        <v>13</v>
      </c>
    </row>
    <row r="781">
      <c r="A781" s="1">
        <v>779.0</v>
      </c>
      <c r="B781" s="1" t="s">
        <v>2625</v>
      </c>
      <c r="C781" s="1" t="s">
        <v>2874</v>
      </c>
      <c r="D781" s="1" t="s">
        <v>2875</v>
      </c>
      <c r="E781" s="2" t="str">
        <f>IFERROR(__xludf.DUMMYFUNCTION("GOOGLETRANSLATE(C781, ""en"", ""th"")"),"ฮีโร่ Amazo มีพลังกี่ตัว?")</f>
        <v>ฮีโร่ Amazo มีพลังกี่ตัว?</v>
      </c>
      <c r="F781" s="1" t="s">
        <v>2876</v>
      </c>
      <c r="G781" s="1" t="s">
        <v>2877</v>
      </c>
      <c r="H781" s="1" t="s">
        <v>13</v>
      </c>
    </row>
    <row r="782">
      <c r="A782" s="1">
        <v>780.0</v>
      </c>
      <c r="B782" s="1" t="s">
        <v>2625</v>
      </c>
      <c r="C782" s="1" t="s">
        <v>2878</v>
      </c>
      <c r="D782" s="1" t="s">
        <v>2879</v>
      </c>
      <c r="E782" s="2" t="str">
        <f>IFERROR(__xludf.DUMMYFUNCTION("GOOGLETRANSLATE(C782, ""en"", ""th"")"),"รายชื่อพลังของฮันเตอร์ โซโลมอน")</f>
        <v>รายชื่อพลังของฮันเตอร์ โซโลมอน</v>
      </c>
      <c r="F782" s="1" t="s">
        <v>2880</v>
      </c>
      <c r="G782" s="1" t="s">
        <v>2881</v>
      </c>
      <c r="H782" s="1" t="s">
        <v>13</v>
      </c>
    </row>
    <row r="783">
      <c r="A783" s="1">
        <v>781.0</v>
      </c>
      <c r="B783" s="1" t="s">
        <v>2625</v>
      </c>
      <c r="C783" s="1" t="s">
        <v>2882</v>
      </c>
      <c r="D783" s="1" t="s">
        <v>2883</v>
      </c>
      <c r="E783" s="2" t="str">
        <f>IFERROR(__xludf.DUMMYFUNCTION("GOOGLETRANSLATE(C783, ""en"", ""th"")"),"ระบุความสูงของฮีโร่ที่มีดวงตาเป็นสีเหลืองอำพัน")</f>
        <v>ระบุความสูงของฮีโร่ที่มีดวงตาเป็นสีเหลืองอำพัน</v>
      </c>
      <c r="F783" s="1" t="s">
        <v>2884</v>
      </c>
      <c r="G783" s="1" t="s">
        <v>2885</v>
      </c>
      <c r="H783" s="1" t="s">
        <v>13</v>
      </c>
    </row>
    <row r="784">
      <c r="A784" s="1">
        <v>782.0</v>
      </c>
      <c r="B784" s="1" t="s">
        <v>2625</v>
      </c>
      <c r="C784" s="1" t="s">
        <v>2886</v>
      </c>
      <c r="D784" s="1" t="s">
        <v>2887</v>
      </c>
      <c r="E784" s="2" t="str">
        <f>IFERROR(__xludf.DUMMYFUNCTION("GOOGLETRANSLATE(C784, ""en"", ""th"")"),"ระบุชื่อฮีโร่ที่มีตาและสีผมเป็นสีดำ")</f>
        <v>ระบุชื่อฮีโร่ที่มีตาและสีผมเป็นสีดำ</v>
      </c>
      <c r="F784" s="1" t="s">
        <v>2888</v>
      </c>
      <c r="G784" s="1" t="s">
        <v>2889</v>
      </c>
      <c r="H784" s="1" t="s">
        <v>18</v>
      </c>
    </row>
    <row r="785">
      <c r="A785" s="1">
        <v>783.0</v>
      </c>
      <c r="B785" s="1" t="s">
        <v>2625</v>
      </c>
      <c r="C785" s="1" t="s">
        <v>2890</v>
      </c>
      <c r="D785" s="1" t="s">
        <v>2891</v>
      </c>
      <c r="E785" s="2" t="str">
        <f>IFERROR(__xludf.DUMMYFUNCTION("GOOGLETRANSLATE(C785, ""en"", ""th"")"),"ให้สีตาของฮีโร่ที่มีสีผิวเป็นสีทอง")</f>
        <v>ให้สีตาของฮีโร่ที่มีสีผิวเป็นสีทอง</v>
      </c>
      <c r="F785" s="1" t="s">
        <v>2892</v>
      </c>
      <c r="G785" s="1" t="s">
        <v>2893</v>
      </c>
      <c r="H785" s="1" t="s">
        <v>13</v>
      </c>
    </row>
    <row r="786">
      <c r="A786" s="1">
        <v>784.0</v>
      </c>
      <c r="B786" s="1" t="s">
        <v>2625</v>
      </c>
      <c r="C786" s="1" t="s">
        <v>2894</v>
      </c>
      <c r="D786" s="1" t="s">
        <v>2895</v>
      </c>
      <c r="E786" s="2" t="str">
        <f>IFERROR(__xludf.DUMMYFUNCTION("GOOGLETRANSLATE(C786, ""en"", ""th"")"),"ระบุชื่อเต็มของฮีโร่แวมไพร์")</f>
        <v>ระบุชื่อเต็มของฮีโร่แวมไพร์</v>
      </c>
      <c r="F786" s="1" t="s">
        <v>2896</v>
      </c>
      <c r="G786" s="1" t="s">
        <v>2897</v>
      </c>
      <c r="H786" s="1" t="s">
        <v>13</v>
      </c>
    </row>
    <row r="787">
      <c r="A787" s="1">
        <v>785.0</v>
      </c>
      <c r="B787" s="1" t="s">
        <v>2625</v>
      </c>
      <c r="C787" s="1" t="s">
        <v>2898</v>
      </c>
      <c r="D787" s="1" t="s">
        <v>2899</v>
      </c>
      <c r="E787" s="2" t="str">
        <f>IFERROR(__xludf.DUMMYFUNCTION("GOOGLETRANSLATE(C787, ""en"", ""th"")"),"อธิบายชื่อของฮีโร่แนวกลางที่เป็นกลาง")</f>
        <v>อธิบายชื่อของฮีโร่แนวกลางที่เป็นกลาง</v>
      </c>
      <c r="F787" s="1" t="s">
        <v>2900</v>
      </c>
      <c r="G787" s="1" t="s">
        <v>2901</v>
      </c>
      <c r="H787" s="1" t="s">
        <v>13</v>
      </c>
    </row>
    <row r="788">
      <c r="A788" s="1">
        <v>786.0</v>
      </c>
      <c r="B788" s="1" t="s">
        <v>2625</v>
      </c>
      <c r="C788" s="1" t="s">
        <v>2902</v>
      </c>
      <c r="D788" s="1" t="s">
        <v>2903</v>
      </c>
      <c r="E788" s="2" t="str">
        <f>IFERROR(__xludf.DUMMYFUNCTION("GOOGLETRANSLATE(C788, ""en"", ""th"")"),"มีฮีโร่กี่คนที่มีค่าคุณสมบัติด้านความแข็งแกร่งสูงสุด?")</f>
        <v>มีฮีโร่กี่คนที่มีค่าคุณสมบัติด้านความแข็งแกร่งสูงสุด?</v>
      </c>
      <c r="F788" s="1" t="s">
        <v>2904</v>
      </c>
      <c r="G788" s="1" t="s">
        <v>2905</v>
      </c>
      <c r="H788" s="1" t="s">
        <v>18</v>
      </c>
    </row>
    <row r="789">
      <c r="A789" s="1">
        <v>787.0</v>
      </c>
      <c r="B789" s="1" t="s">
        <v>2625</v>
      </c>
      <c r="C789" s="1" t="s">
        <v>2906</v>
      </c>
      <c r="D789" s="1" t="s">
        <v>2907</v>
      </c>
      <c r="E789" s="2" t="str">
        <f>IFERROR(__xludf.DUMMYFUNCTION("GOOGLETRANSLATE(C789, ""en"", ""th"")"),"เชื้อชาติและตำแหน่งของ Cameron Hicks คืออะไร?")</f>
        <v>เชื้อชาติและตำแหน่งของ Cameron Hicks คืออะไร?</v>
      </c>
      <c r="F789" s="1" t="s">
        <v>2908</v>
      </c>
      <c r="G789" s="1" t="s">
        <v>2909</v>
      </c>
      <c r="H789" s="1" t="s">
        <v>13</v>
      </c>
    </row>
    <row r="790">
      <c r="A790" s="1">
        <v>788.0</v>
      </c>
      <c r="B790" s="1" t="s">
        <v>2625</v>
      </c>
      <c r="C790" s="1" t="s">
        <v>2910</v>
      </c>
      <c r="D790" s="1" t="s">
        <v>2911</v>
      </c>
      <c r="E790" s="2" t="str">
        <f>IFERROR(__xludf.DUMMYFUNCTION("GOOGLETRANSLATE(C790, ""en"", ""th"")"),"Marvel Comics ตีพิมพ์ฮีโร่หญิงกี่เปอร์เซ็นต์")</f>
        <v>Marvel Comics ตีพิมพ์ฮีโร่หญิงกี่เปอร์เซ็นต์</v>
      </c>
      <c r="F790" s="1" t="s">
        <v>2912</v>
      </c>
      <c r="G790" s="1" t="s">
        <v>2913</v>
      </c>
      <c r="H790" s="1" t="s">
        <v>101</v>
      </c>
    </row>
    <row r="791">
      <c r="A791" s="1">
        <v>789.0</v>
      </c>
      <c r="B791" s="1" t="s">
        <v>2625</v>
      </c>
      <c r="C791" s="1" t="s">
        <v>2914</v>
      </c>
      <c r="D791" s="1" t="s">
        <v>2915</v>
      </c>
      <c r="E791" s="2" t="str">
        <f>IFERROR(__xludf.DUMMYFUNCTION("GOOGLETRANSLATE(C791, ""en"", ""th"")"),"ค้นหาน้ำหนักเฉลี่ยของฮีโร่ที่เป็นเอเลี่ยน")</f>
        <v>ค้นหาน้ำหนักเฉลี่ยของฮีโร่ที่เป็นเอเลี่ยน</v>
      </c>
      <c r="F791" s="1" t="s">
        <v>2916</v>
      </c>
      <c r="G791" s="1" t="s">
        <v>2917</v>
      </c>
      <c r="H791" s="1" t="s">
        <v>13</v>
      </c>
    </row>
    <row r="792">
      <c r="A792" s="1">
        <v>790.0</v>
      </c>
      <c r="B792" s="1" t="s">
        <v>2625</v>
      </c>
      <c r="C792" s="1" t="s">
        <v>2918</v>
      </c>
      <c r="D792" s="1" t="s">
        <v>2919</v>
      </c>
      <c r="E792" s="2" t="str">
        <f>IFERROR(__xludf.DUMMYFUNCTION("GOOGLETRANSLATE(C792, ""en"", ""th"")"),"คำนวณความแตกต่างระหว่างน้ำหนักของเอมิล บลอนสกีและน้ำหนักของชาร์ลส แชนด์เลอร์")</f>
        <v>คำนวณความแตกต่างระหว่างน้ำหนักของเอมิล บลอนสกีและน้ำหนักของชาร์ลส แชนด์เลอร์</v>
      </c>
      <c r="F792" s="1" t="s">
        <v>2920</v>
      </c>
      <c r="G792" s="1" t="s">
        <v>2921</v>
      </c>
      <c r="H792" s="1" t="s">
        <v>18</v>
      </c>
    </row>
    <row r="793">
      <c r="A793" s="1">
        <v>791.0</v>
      </c>
      <c r="B793" s="1" t="s">
        <v>2625</v>
      </c>
      <c r="C793" s="1" t="s">
        <v>2922</v>
      </c>
      <c r="D793" s="1" t="s">
        <v>2923</v>
      </c>
      <c r="E793" s="2" t="str">
        <f>IFERROR(__xludf.DUMMYFUNCTION("GOOGLETRANSLATE(C793, ""en"", ""th"")"),"คำนวณความสูงเฉลี่ยของซูเปอร์ฮีโร่แต่ละคน")</f>
        <v>คำนวณความสูงเฉลี่ยของซูเปอร์ฮีโร่แต่ละคน</v>
      </c>
      <c r="F793" s="1" t="s">
        <v>2924</v>
      </c>
      <c r="G793" s="1" t="s">
        <v>2925</v>
      </c>
      <c r="H793" s="1" t="s">
        <v>13</v>
      </c>
    </row>
    <row r="794">
      <c r="A794" s="1">
        <v>792.0</v>
      </c>
      <c r="B794" s="1" t="s">
        <v>2625</v>
      </c>
      <c r="C794" s="1" t="s">
        <v>2926</v>
      </c>
      <c r="D794" s="1" t="s">
        <v>2927</v>
      </c>
      <c r="E794" s="2" t="str">
        <f>IFERROR(__xludf.DUMMYFUNCTION("GOOGLETRANSLATE(C794, ""en"", ""th"")"),"มหาอำนาจของ Abomination คืออะไร?")</f>
        <v>มหาอำนาจของ Abomination คืออะไร?</v>
      </c>
      <c r="F794" s="1" t="s">
        <v>2928</v>
      </c>
      <c r="G794" s="1" t="s">
        <v>2929</v>
      </c>
      <c r="H794" s="1" t="s">
        <v>13</v>
      </c>
    </row>
    <row r="795">
      <c r="A795" s="1">
        <v>793.0</v>
      </c>
      <c r="B795" s="1" t="s">
        <v>2625</v>
      </c>
      <c r="C795" s="1" t="s">
        <v>2930</v>
      </c>
      <c r="D795" s="1" t="s">
        <v>2931</v>
      </c>
      <c r="E795" s="2" t="str">
        <f>IFERROR(__xludf.DUMMYFUNCTION("GOOGLETRANSLATE(C795, ""en"", ""th"")"),"ในบรรดาฮีโร่ที่เป็นเผ่าพันธุ์เทพ/นิรันดร์ มีกี่ตัวที่เป็นผู้ชาย")</f>
        <v>ในบรรดาฮีโร่ที่เป็นเผ่าพันธุ์เทพ/นิรันดร์ มีกี่ตัวที่เป็นผู้ชาย</v>
      </c>
      <c r="F795" s="1" t="s">
        <v>2932</v>
      </c>
      <c r="G795" s="1" t="s">
        <v>2933</v>
      </c>
      <c r="H795" s="1" t="s">
        <v>13</v>
      </c>
    </row>
    <row r="796">
      <c r="A796" s="1">
        <v>794.0</v>
      </c>
      <c r="B796" s="1" t="s">
        <v>2625</v>
      </c>
      <c r="C796" s="1" t="s">
        <v>2934</v>
      </c>
      <c r="D796" s="1" t="s">
        <v>2935</v>
      </c>
      <c r="E796" s="2" t="str">
        <f>IFERROR(__xludf.DUMMYFUNCTION("GOOGLETRANSLATE(C796, ""en"", ""th"")"),"ฮีโร่คนไหนเร็วที่สุด?")</f>
        <v>ฮีโร่คนไหนเร็วที่สุด?</v>
      </c>
      <c r="F796" s="1" t="s">
        <v>2936</v>
      </c>
      <c r="G796" s="1" t="s">
        <v>2937</v>
      </c>
      <c r="H796" s="1" t="s">
        <v>18</v>
      </c>
    </row>
    <row r="797">
      <c r="A797" s="1">
        <v>795.0</v>
      </c>
      <c r="B797" s="1" t="s">
        <v>2625</v>
      </c>
      <c r="C797" s="1" t="s">
        <v>2938</v>
      </c>
      <c r="D797" s="1" t="s">
        <v>2939</v>
      </c>
      <c r="E797" s="2" t="str">
        <f>IFERROR(__xludf.DUMMYFUNCTION("GOOGLETRANSLATE(C797, ""en"", ""th"")"),"มีฮีโร่กี่คนที่อยู่ในแนวที่เป็นกลาง?")</f>
        <v>มีฮีโร่กี่คนที่อยู่ในแนวที่เป็นกลาง?</v>
      </c>
      <c r="F797" s="1" t="s">
        <v>2940</v>
      </c>
      <c r="G797" s="1" t="s">
        <v>2941</v>
      </c>
      <c r="H797" s="1" t="s">
        <v>13</v>
      </c>
    </row>
    <row r="798">
      <c r="A798" s="1">
        <v>796.0</v>
      </c>
      <c r="B798" s="1" t="s">
        <v>2625</v>
      </c>
      <c r="C798" s="1" t="s">
        <v>2942</v>
      </c>
      <c r="D798" s="1" t="s">
        <v>2943</v>
      </c>
      <c r="E798" s="2" t="str">
        <f>IFERROR(__xludf.DUMMYFUNCTION("GOOGLETRANSLATE(C798, ""en"", ""th"")"),"ระบุคุณลักษณะของ 3-D Man ทั้งหมดพร้อมกับค่านิยมของพวกเขา")</f>
        <v>ระบุคุณลักษณะของ 3-D Man ทั้งหมดพร้อมกับค่านิยมของพวกเขา</v>
      </c>
      <c r="F798" s="1" t="s">
        <v>2944</v>
      </c>
      <c r="G798" s="1" t="s">
        <v>2945</v>
      </c>
      <c r="H798" s="1" t="s">
        <v>18</v>
      </c>
    </row>
    <row r="799">
      <c r="A799" s="1">
        <v>797.0</v>
      </c>
      <c r="B799" s="1" t="s">
        <v>2625</v>
      </c>
      <c r="C799" s="1" t="s">
        <v>2946</v>
      </c>
      <c r="D799" s="1" t="s">
        <v>2947</v>
      </c>
      <c r="E799" s="2" t="str">
        <f>IFERROR(__xludf.DUMMYFUNCTION("GOOGLETRANSLATE(C799, ""en"", ""th"")"),"ฮีโร่คนไหนมีตาสีฟ้าผมสีน้ำตาล?")</f>
        <v>ฮีโร่คนไหนมีตาสีฟ้าผมสีน้ำตาล?</v>
      </c>
      <c r="F799" s="1" t="s">
        <v>2948</v>
      </c>
      <c r="G799" s="1" t="s">
        <v>2949</v>
      </c>
      <c r="H799" s="1" t="s">
        <v>18</v>
      </c>
    </row>
    <row r="800">
      <c r="A800" s="1">
        <v>798.0</v>
      </c>
      <c r="B800" s="1" t="s">
        <v>2625</v>
      </c>
      <c r="C800" s="1" t="s">
        <v>2950</v>
      </c>
      <c r="D800" s="1" t="s">
        <v>2951</v>
      </c>
      <c r="E800" s="2" t="str">
        <f>IFERROR(__xludf.DUMMYFUNCTION("GOOGLETRANSLATE(C800, ""en"", ""th"")"),"ผู้จัดพิมพ์ Hawkman, Karate Kid และ Speedy คืออะไร")</f>
        <v>ผู้จัดพิมพ์ Hawkman, Karate Kid และ Speedy คืออะไร</v>
      </c>
      <c r="F800" s="1" t="s">
        <v>2952</v>
      </c>
      <c r="G800" s="1" t="s">
        <v>2953</v>
      </c>
      <c r="H800" s="1" t="s">
        <v>18</v>
      </c>
    </row>
    <row r="801">
      <c r="A801" s="1">
        <v>799.0</v>
      </c>
      <c r="B801" s="1" t="s">
        <v>2625</v>
      </c>
      <c r="C801" s="1" t="s">
        <v>2954</v>
      </c>
      <c r="D801" s="1" t="s">
        <v>2955</v>
      </c>
      <c r="E801" s="2" t="str">
        <f>IFERROR(__xludf.DUMMYFUNCTION("GOOGLETRANSLATE(C801, ""en"", ""th"")"),"มีฮีโร่กี่คนที่ไม่มีสำนักพิมพ์เลย?")</f>
        <v>มีฮีโร่กี่คนที่ไม่มีสำนักพิมพ์เลย?</v>
      </c>
      <c r="F801" s="1" t="s">
        <v>2956</v>
      </c>
      <c r="G801" s="1" t="s">
        <v>2957</v>
      </c>
      <c r="H801" s="1" t="s">
        <v>13</v>
      </c>
    </row>
    <row r="802">
      <c r="A802" s="1">
        <v>800.0</v>
      </c>
      <c r="B802" s="1" t="s">
        <v>2625</v>
      </c>
      <c r="C802" s="1" t="s">
        <v>2958</v>
      </c>
      <c r="D802" s="1" t="s">
        <v>2959</v>
      </c>
      <c r="E802" s="2" t="str">
        <f>IFERROR(__xludf.DUMMYFUNCTION("GOOGLETRANSLATE(C802, ""en"", ""th"")"),"คำนวณเปอร์เซ็นต์ของฮีโร่ที่มีตาสีฟ้า")</f>
        <v>คำนวณเปอร์เซ็นต์ของฮีโร่ที่มีตาสีฟ้า</v>
      </c>
      <c r="F802" s="1" t="s">
        <v>2960</v>
      </c>
      <c r="G802" s="1" t="s">
        <v>2961</v>
      </c>
      <c r="H802" s="1" t="s">
        <v>18</v>
      </c>
    </row>
    <row r="803">
      <c r="A803" s="1">
        <v>801.0</v>
      </c>
      <c r="B803" s="1" t="s">
        <v>2625</v>
      </c>
      <c r="C803" s="1" t="s">
        <v>2962</v>
      </c>
      <c r="D803" s="1" t="s">
        <v>2963</v>
      </c>
      <c r="E803" s="2" t="str">
        <f>IFERROR(__xludf.DUMMYFUNCTION("GOOGLETRANSLATE(C803, ""en"", ""th"")"),"ค้นหาอัตราส่วนระหว่างฮีโร่ชายและฮีโร่หญิง")</f>
        <v>ค้นหาอัตราส่วนระหว่างฮีโร่ชายและฮีโร่หญิง</v>
      </c>
      <c r="F803" s="1" t="s">
        <v>2964</v>
      </c>
      <c r="G803" s="1" t="s">
        <v>2965</v>
      </c>
      <c r="H803" s="1" t="s">
        <v>18</v>
      </c>
    </row>
    <row r="804">
      <c r="A804" s="1">
        <v>802.0</v>
      </c>
      <c r="B804" s="1" t="s">
        <v>2625</v>
      </c>
      <c r="C804" s="1" t="s">
        <v>2966</v>
      </c>
      <c r="D804" s="1" t="s">
        <v>2967</v>
      </c>
      <c r="E804" s="2" t="str">
        <f>IFERROR(__xludf.DUMMYFUNCTION("GOOGLETRANSLATE(C804, ""en"", ""th"")"),"ซูเปอร์ฮีโร่ที่สูงที่สุดคือใคร?")</f>
        <v>ซูเปอร์ฮีโร่ที่สูงที่สุดคือใคร?</v>
      </c>
      <c r="F804" s="1" t="s">
        <v>2968</v>
      </c>
      <c r="G804" s="1" t="s">
        <v>2969</v>
      </c>
      <c r="H804" s="1" t="s">
        <v>13</v>
      </c>
    </row>
    <row r="805">
      <c r="A805" s="1">
        <v>803.0</v>
      </c>
      <c r="B805" s="1" t="s">
        <v>2625</v>
      </c>
      <c r="C805" s="1" t="s">
        <v>2970</v>
      </c>
      <c r="D805" s="1" t="s">
        <v>2971</v>
      </c>
      <c r="E805" s="2" t="str">
        <f>IFERROR(__xludf.DUMMYFUNCTION("GOOGLETRANSLATE(C805, ""en"", ""th"")"),"รหัสพลังของไครโอไคเนซิสคืออะไร?")</f>
        <v>รหัสพลังของไครโอไคเนซิสคืออะไร?</v>
      </c>
      <c r="F805" s="1" t="s">
        <v>2972</v>
      </c>
      <c r="G805" s="1" t="s">
        <v>2973</v>
      </c>
      <c r="H805" s="1" t="s">
        <v>13</v>
      </c>
    </row>
    <row r="806">
      <c r="A806" s="1">
        <v>804.0</v>
      </c>
      <c r="B806" s="1" t="s">
        <v>2625</v>
      </c>
      <c r="C806" s="1" t="s">
        <v>2974</v>
      </c>
      <c r="D806" s="1" t="s">
        <v>2975</v>
      </c>
      <c r="E806" s="2" t="str">
        <f>IFERROR(__xludf.DUMMYFUNCTION("GOOGLETRANSLATE(C806, ""en"", ""th"")"),"ระบุชื่อซูเปอร์ฮีโร่ด้วยรหัสซูเปอร์ฮีโร่ 294")</f>
        <v>ระบุชื่อซูเปอร์ฮีโร่ด้วยรหัสซูเปอร์ฮีโร่ 294</v>
      </c>
      <c r="F806" s="1" t="s">
        <v>2976</v>
      </c>
      <c r="G806" s="1" t="s">
        <v>2977</v>
      </c>
      <c r="H806" s="1" t="s">
        <v>13</v>
      </c>
    </row>
    <row r="807">
      <c r="A807" s="1">
        <v>805.0</v>
      </c>
      <c r="B807" s="1" t="s">
        <v>2625</v>
      </c>
      <c r="C807" s="1" t="s">
        <v>2978</v>
      </c>
      <c r="D807" s="1" t="s">
        <v>2979</v>
      </c>
      <c r="E807" s="2" t="str">
        <f>IFERROR(__xludf.DUMMYFUNCTION("GOOGLETRANSLATE(C807, ""en"", ""th"")"),"รายชื่อฮีโร่ที่มีน้ำหนักไม่ครบ")</f>
        <v>รายชื่อฮีโร่ที่มีน้ำหนักไม่ครบ</v>
      </c>
      <c r="F807" s="1" t="s">
        <v>2980</v>
      </c>
      <c r="G807" s="1" t="s">
        <v>2981</v>
      </c>
      <c r="H807" s="1" t="s">
        <v>13</v>
      </c>
    </row>
    <row r="808">
      <c r="A808" s="1">
        <v>806.0</v>
      </c>
      <c r="B808" s="1" t="s">
        <v>2625</v>
      </c>
      <c r="C808" s="1" t="s">
        <v>2982</v>
      </c>
      <c r="D808" s="1" t="s">
        <v>2983</v>
      </c>
      <c r="E808" s="2" t="str">
        <f>IFERROR(__xludf.DUMMYFUNCTION("GOOGLETRANSLATE(C808, ""en"", ""th"")"),"ระบุสีตาของซูเปอร์ฮีโร่ที่มีชื่อเต็มว่า คาเรน บีเชอร์-ดันแคน")</f>
        <v>ระบุสีตาของซูเปอร์ฮีโร่ที่มีชื่อเต็มว่า คาเรน บีเชอร์-ดันแคน</v>
      </c>
      <c r="F808" s="1" t="s">
        <v>2984</v>
      </c>
      <c r="G808" s="1" t="s">
        <v>2985</v>
      </c>
      <c r="H808" s="1" t="s">
        <v>13</v>
      </c>
    </row>
    <row r="809">
      <c r="A809" s="1">
        <v>807.0</v>
      </c>
      <c r="B809" s="1" t="s">
        <v>2625</v>
      </c>
      <c r="C809" s="1" t="s">
        <v>2986</v>
      </c>
      <c r="D809" s="1" t="s">
        <v>2987</v>
      </c>
      <c r="E809" s="2" t="str">
        <f>IFERROR(__xludf.DUMMYFUNCTION("GOOGLETRANSLATE(C809, ""en"", ""th"")"),"พลังพิเศษของซูเปอร์ฮีโร่คืออะไรที่มีชื่อเต็มว่า Helen Parr?")</f>
        <v>พลังพิเศษของซูเปอร์ฮีโร่คืออะไรที่มีชื่อเต็มว่า Helen Parr?</v>
      </c>
      <c r="F809" s="1" t="s">
        <v>2988</v>
      </c>
      <c r="G809" s="1" t="s">
        <v>2989</v>
      </c>
      <c r="H809" s="1" t="s">
        <v>13</v>
      </c>
    </row>
    <row r="810">
      <c r="A810" s="1">
        <v>808.0</v>
      </c>
      <c r="B810" s="1" t="s">
        <v>2625</v>
      </c>
      <c r="C810" s="1" t="s">
        <v>2990</v>
      </c>
      <c r="D810" s="1" t="s">
        <v>2991</v>
      </c>
      <c r="E810" s="2" t="str">
        <f>IFERROR(__xludf.DUMMYFUNCTION("GOOGLETRANSLATE(C810, ""en"", ""th"")"),"ค้นหาเผ่าพันธุ์ของซูเปอร์ฮีโร่ที่มีน้ำหนัก 108 กก. และสูง 188 ซม.")</f>
        <v>ค้นหาเผ่าพันธุ์ของซูเปอร์ฮีโร่ที่มีน้ำหนัก 108 กก. และสูง 188 ซม.</v>
      </c>
      <c r="F810" s="1" t="s">
        <v>2992</v>
      </c>
      <c r="G810" s="1" t="s">
        <v>2993</v>
      </c>
      <c r="H810" s="1" t="s">
        <v>13</v>
      </c>
    </row>
    <row r="811">
      <c r="A811" s="1">
        <v>809.0</v>
      </c>
      <c r="B811" s="1" t="s">
        <v>2625</v>
      </c>
      <c r="C811" s="1" t="s">
        <v>2994</v>
      </c>
      <c r="D811" s="1" t="s">
        <v>2995</v>
      </c>
      <c r="E811" s="2" t="str">
        <f>IFERROR(__xludf.DUMMYFUNCTION("GOOGLETRANSLATE(C811, ""en"", ""th"")"),"ชื่อผู้จัดพิมพ์ของซูเปอร์ฮีโร่ ID 38 คืออะไร?")</f>
        <v>ชื่อผู้จัดพิมพ์ของซูเปอร์ฮีโร่ ID 38 คืออะไร?</v>
      </c>
      <c r="F811" s="1" t="s">
        <v>2996</v>
      </c>
      <c r="G811" s="1" t="s">
        <v>2997</v>
      </c>
      <c r="H811" s="1" t="s">
        <v>13</v>
      </c>
    </row>
    <row r="812">
      <c r="A812" s="1">
        <v>810.0</v>
      </c>
      <c r="B812" s="1" t="s">
        <v>2625</v>
      </c>
      <c r="C812" s="1" t="s">
        <v>2998</v>
      </c>
      <c r="D812" s="1" t="s">
        <v>2999</v>
      </c>
      <c r="E812" s="2" t="str">
        <f>IFERROR(__xludf.DUMMYFUNCTION("GOOGLETRANSLATE(C812, ""en"", ""th"")"),"เผ่าพันธุ์ของซูเปอร์ฮีโร่ที่มีค่าแอตทริบิวต์สูงสุดคืออะไร?")</f>
        <v>เผ่าพันธุ์ของซูเปอร์ฮีโร่ที่มีค่าแอตทริบิวต์สูงสุดคืออะไร?</v>
      </c>
      <c r="F812" s="1" t="s">
        <v>3000</v>
      </c>
      <c r="G812" s="1" t="s">
        <v>3001</v>
      </c>
      <c r="H812" s="1" t="s">
        <v>13</v>
      </c>
    </row>
    <row r="813">
      <c r="A813" s="1">
        <v>811.0</v>
      </c>
      <c r="B813" s="1" t="s">
        <v>2625</v>
      </c>
      <c r="C813" s="1" t="s">
        <v>3002</v>
      </c>
      <c r="D813" s="1" t="s">
        <v>3003</v>
      </c>
      <c r="E813" s="2" t="str">
        <f>IFERROR(__xludf.DUMMYFUNCTION("GOOGLETRANSLATE(C813, ""en"", ""th"")"),"มอบการจัดตำแหน่งและพลังพิเศษของซูเปอร์ฮีโร่ชื่อ Atom IV")</f>
        <v>มอบการจัดตำแหน่งและพลังพิเศษของซูเปอร์ฮีโร่ชื่อ Atom IV</v>
      </c>
      <c r="F813" s="1" t="s">
        <v>3004</v>
      </c>
      <c r="G813" s="1" t="s">
        <v>3005</v>
      </c>
      <c r="H813" s="1" t="s">
        <v>13</v>
      </c>
    </row>
    <row r="814">
      <c r="A814" s="1">
        <v>812.0</v>
      </c>
      <c r="B814" s="1" t="s">
        <v>2625</v>
      </c>
      <c r="C814" s="1" t="s">
        <v>3006</v>
      </c>
      <c r="D814" s="1" t="s">
        <v>3007</v>
      </c>
      <c r="E814" s="2" t="str">
        <f>IFERROR(__xludf.DUMMYFUNCTION("GOOGLETRANSLATE(C814, ""en"", ""th"")"),"รายชื่อฮีโร่ที่มีดวงตาสีฟ้าอย่างน้อยห้าชื่อ")</f>
        <v>รายชื่อฮีโร่ที่มีดวงตาสีฟ้าอย่างน้อยห้าชื่อ</v>
      </c>
      <c r="F814" s="1" t="s">
        <v>3008</v>
      </c>
      <c r="G814" s="1" t="s">
        <v>3009</v>
      </c>
      <c r="H814" s="1" t="s">
        <v>13</v>
      </c>
    </row>
    <row r="815">
      <c r="A815" s="1">
        <v>813.0</v>
      </c>
      <c r="B815" s="1" t="s">
        <v>2625</v>
      </c>
      <c r="C815" s="1" t="s">
        <v>3010</v>
      </c>
      <c r="D815" s="1" t="s">
        <v>3011</v>
      </c>
      <c r="E815" s="2" t="str">
        <f>IFERROR(__xludf.DUMMYFUNCTION("GOOGLETRANSLATE(C815, ""en"", ""th"")"),"คำนวณค่าแอตทริบิวต์เฉลี่ยของฮีโร่ที่เป็นกลางทั้งหมด")</f>
        <v>คำนวณค่าแอตทริบิวต์เฉลี่ยของฮีโร่ที่เป็นกลางทั้งหมด</v>
      </c>
      <c r="F815" s="1" t="s">
        <v>3012</v>
      </c>
      <c r="G815" s="1" t="s">
        <v>3013</v>
      </c>
      <c r="H815" s="1" t="s">
        <v>13</v>
      </c>
    </row>
    <row r="816">
      <c r="A816" s="1">
        <v>814.0</v>
      </c>
      <c r="B816" s="1" t="s">
        <v>2625</v>
      </c>
      <c r="C816" s="1" t="s">
        <v>3014</v>
      </c>
      <c r="D816" s="1" t="s">
        <v>3015</v>
      </c>
      <c r="E816" s="2" t="str">
        <f>IFERROR(__xludf.DUMMYFUNCTION("GOOGLETRANSLATE(C816, ""en"", ""th"")"),"ระบุสีผิวของฮีโร่ที่มีค่าแอตทริบิวต์ 100")</f>
        <v>ระบุสีผิวของฮีโร่ที่มีค่าแอตทริบิวต์ 100</v>
      </c>
      <c r="F816" s="1" t="s">
        <v>3016</v>
      </c>
      <c r="G816" s="1" t="s">
        <v>3017</v>
      </c>
      <c r="H816" s="1" t="s">
        <v>18</v>
      </c>
    </row>
    <row r="817">
      <c r="A817" s="1">
        <v>815.0</v>
      </c>
      <c r="B817" s="1" t="s">
        <v>2625</v>
      </c>
      <c r="C817" s="1" t="s">
        <v>3018</v>
      </c>
      <c r="D817" s="1" t="s">
        <v>3019</v>
      </c>
      <c r="E817" s="2" t="str">
        <f>IFERROR(__xludf.DUMMYFUNCTION("GOOGLETRANSLATE(C817, ""en"", ""th"")"),"นับฮีโร่หญิงที่ดี")</f>
        <v>นับฮีโร่หญิงที่ดี</v>
      </c>
      <c r="F817" s="1" t="s">
        <v>3020</v>
      </c>
      <c r="G817" s="1" t="s">
        <v>3021</v>
      </c>
      <c r="H817" s="1" t="s">
        <v>13</v>
      </c>
    </row>
    <row r="818">
      <c r="A818" s="1">
        <v>816.0</v>
      </c>
      <c r="B818" s="1" t="s">
        <v>2625</v>
      </c>
      <c r="C818" s="1" t="s">
        <v>3022</v>
      </c>
      <c r="D818" s="1" t="s">
        <v>3023</v>
      </c>
      <c r="E818" s="2" t="str">
        <f>IFERROR(__xludf.DUMMYFUNCTION("GOOGLETRANSLATE(C818, ""en"", ""th"")"),"ระบุชื่อฮีโร่ที่มีค่าแอตทริบิวต์ระหว่าง 75 ถึง 80")</f>
        <v>ระบุชื่อฮีโร่ที่มีค่าแอตทริบิวต์ระหว่าง 75 ถึง 80</v>
      </c>
      <c r="F818" s="1" t="s">
        <v>3024</v>
      </c>
      <c r="G818" s="1" t="s">
        <v>3025</v>
      </c>
      <c r="H818" s="1" t="s">
        <v>13</v>
      </c>
    </row>
    <row r="819">
      <c r="A819" s="1">
        <v>817.0</v>
      </c>
      <c r="B819" s="1" t="s">
        <v>2625</v>
      </c>
      <c r="C819" s="1" t="s">
        <v>3026</v>
      </c>
      <c r="D819" s="1" t="s">
        <v>3027</v>
      </c>
      <c r="E819" s="2" t="str">
        <f>IFERROR(__xludf.DUMMYFUNCTION("GOOGLETRANSLATE(C819, ""en"", ""th"")"),"ให้การแข่งขันของซูเปอร์ฮีโร่ชายผมสีฟ้า")</f>
        <v>ให้การแข่งขันของซูเปอร์ฮีโร่ชายผมสีฟ้า</v>
      </c>
      <c r="F819" s="1" t="s">
        <v>3028</v>
      </c>
      <c r="G819" s="1" t="s">
        <v>3029</v>
      </c>
      <c r="H819" s="1" t="s">
        <v>18</v>
      </c>
    </row>
    <row r="820">
      <c r="A820" s="1">
        <v>818.0</v>
      </c>
      <c r="B820" s="1" t="s">
        <v>2625</v>
      </c>
      <c r="C820" s="1" t="s">
        <v>3030</v>
      </c>
      <c r="D820" s="1" t="s">
        <v>3031</v>
      </c>
      <c r="E820" s="2" t="str">
        <f>IFERROR(__xludf.DUMMYFUNCTION("GOOGLETRANSLATE(C820, ""en"", ""th"")"),"ในบรรดาฮีโร่ตัวร้าย ฮีโร่หญิงมีกี่เปอร์เซ็นต์?")</f>
        <v>ในบรรดาฮีโร่ตัวร้าย ฮีโร่หญิงมีกี่เปอร์เซ็นต์?</v>
      </c>
      <c r="F820" s="1" t="s">
        <v>3032</v>
      </c>
      <c r="G820" s="1" t="s">
        <v>3033</v>
      </c>
      <c r="H820" s="1" t="s">
        <v>101</v>
      </c>
    </row>
    <row r="821">
      <c r="A821" s="1">
        <v>819.0</v>
      </c>
      <c r="B821" s="1" t="s">
        <v>2625</v>
      </c>
      <c r="C821" s="1" t="s">
        <v>3034</v>
      </c>
      <c r="D821" s="1" t="s">
        <v>3035</v>
      </c>
      <c r="E821" s="2" t="str">
        <f>IFERROR(__xludf.DUMMYFUNCTION("GOOGLETRANSLATE(C821, ""en"", ""th"")"),"ในฮีโร่ที่ไม่มีข้อมูลน้ำหนัก ให้คำนวณความแตกต่างระหว่างจำนวนฮีโร่ที่มีตาสีฟ้าและไม่มีสีตา")</f>
        <v>ในฮีโร่ที่ไม่มีข้อมูลน้ำหนัก ให้คำนวณความแตกต่างระหว่างจำนวนฮีโร่ที่มีตาสีฟ้าและไม่มีสีตา</v>
      </c>
      <c r="F821" s="1" t="s">
        <v>3036</v>
      </c>
      <c r="G821" s="1" t="s">
        <v>3037</v>
      </c>
      <c r="H821" s="1" t="s">
        <v>101</v>
      </c>
    </row>
    <row r="822">
      <c r="A822" s="1">
        <v>820.0</v>
      </c>
      <c r="B822" s="1" t="s">
        <v>2625</v>
      </c>
      <c r="C822" s="1" t="s">
        <v>3038</v>
      </c>
      <c r="D822" s="1" t="s">
        <v>3039</v>
      </c>
      <c r="E822" s="2" t="str">
        <f>IFERROR(__xludf.DUMMYFUNCTION("GOOGLETRANSLATE(C822, ""en"", ""th"")"),"ฮัลค์แข็งแกร่งแค่ไหน?")</f>
        <v>ฮัลค์แข็งแกร่งแค่ไหน?</v>
      </c>
      <c r="F822" s="1" t="s">
        <v>3040</v>
      </c>
      <c r="G822" s="1" t="s">
        <v>3041</v>
      </c>
      <c r="H822" s="1" t="s">
        <v>18</v>
      </c>
    </row>
    <row r="823">
      <c r="A823" s="1">
        <v>821.0</v>
      </c>
      <c r="B823" s="1" t="s">
        <v>2625</v>
      </c>
      <c r="C823" s="1" t="s">
        <v>3042</v>
      </c>
      <c r="D823" s="1" t="s">
        <v>3043</v>
      </c>
      <c r="E823" s="2" t="str">
        <f>IFERROR(__xludf.DUMMYFUNCTION("GOOGLETRANSLATE(C823, ""en"", ""th"")"),"รายชื่อมหาอำนาจของอาแจ็กซ์")</f>
        <v>รายชื่อมหาอำนาจของอาแจ็กซ์</v>
      </c>
      <c r="F823" s="1" t="s">
        <v>3044</v>
      </c>
      <c r="G823" s="1" t="s">
        <v>3045</v>
      </c>
      <c r="H823" s="1" t="s">
        <v>13</v>
      </c>
    </row>
    <row r="824">
      <c r="A824" s="1">
        <v>822.0</v>
      </c>
      <c r="B824" s="1" t="s">
        <v>2625</v>
      </c>
      <c r="C824" s="1" t="s">
        <v>3046</v>
      </c>
      <c r="D824" s="1" t="s">
        <v>3047</v>
      </c>
      <c r="E824" s="2" t="str">
        <f>IFERROR(__xludf.DUMMYFUNCTION("GOOGLETRANSLATE(C824, ""en"", ""th"")"),"ในจักรวาลซูเปอร์ฮีโร่มีคนร้ายผิวเขียวกี่คน?")</f>
        <v>ในจักรวาลซูเปอร์ฮีโร่มีคนร้ายผิวเขียวกี่คน?</v>
      </c>
      <c r="F824" s="1" t="s">
        <v>3048</v>
      </c>
      <c r="G824" s="1" t="s">
        <v>3049</v>
      </c>
      <c r="H824" s="1" t="s">
        <v>18</v>
      </c>
    </row>
    <row r="825">
      <c r="A825" s="1">
        <v>823.0</v>
      </c>
      <c r="B825" s="1" t="s">
        <v>2625</v>
      </c>
      <c r="C825" s="1" t="s">
        <v>3050</v>
      </c>
      <c r="D825" s="1" t="s">
        <v>3051</v>
      </c>
      <c r="E825" s="2" t="str">
        <f>IFERROR(__xludf.DUMMYFUNCTION("GOOGLETRANSLATE(C825, ""en"", ""th"")"),"Marvel Comics มีฮีโร่หญิงกี่คน?")</f>
        <v>Marvel Comics มีฮีโร่หญิงกี่คน?</v>
      </c>
      <c r="F825" s="1" t="s">
        <v>3052</v>
      </c>
      <c r="G825" s="1" t="s">
        <v>3053</v>
      </c>
      <c r="H825" s="1" t="s">
        <v>18</v>
      </c>
    </row>
    <row r="826">
      <c r="A826" s="1">
        <v>824.0</v>
      </c>
      <c r="B826" s="1" t="s">
        <v>2625</v>
      </c>
      <c r="C826" s="1" t="s">
        <v>3054</v>
      </c>
      <c r="D826" s="1" t="s">
        <v>3055</v>
      </c>
      <c r="E826" s="2" t="str">
        <f>IFERROR(__xludf.DUMMYFUNCTION("GOOGLETRANSLATE(C826, ""en"", ""th"")"),"ระบุฮีโร่ที่สามารถควบคุมลมและรายชื่อตามลำดับตัวอักษร")</f>
        <v>ระบุฮีโร่ที่สามารถควบคุมลมและรายชื่อตามลำดับตัวอักษร</v>
      </c>
      <c r="F826" s="1" t="s">
        <v>3056</v>
      </c>
      <c r="G826" s="1" t="s">
        <v>3057</v>
      </c>
      <c r="H826" s="1" t="s">
        <v>18</v>
      </c>
    </row>
    <row r="827">
      <c r="A827" s="1">
        <v>825.0</v>
      </c>
      <c r="B827" s="1" t="s">
        <v>2625</v>
      </c>
      <c r="C827" s="1" t="s">
        <v>3058</v>
      </c>
      <c r="D827" s="1" t="s">
        <v>3059</v>
      </c>
      <c r="E827" s="2" t="str">
        <f>IFERROR(__xludf.DUMMYFUNCTION("GOOGLETRANSLATE(C827, ""en"", ""th"")"),"ระบุเพศของซูเปอร์ฮีโร่ที่มีความสามารถระดับ Phoenix Force")</f>
        <v>ระบุเพศของซูเปอร์ฮีโร่ที่มีความสามารถระดับ Phoenix Force</v>
      </c>
      <c r="F827" s="1" t="s">
        <v>3060</v>
      </c>
      <c r="G827" s="1" t="s">
        <v>3061</v>
      </c>
      <c r="H827" s="1" t="s">
        <v>18</v>
      </c>
    </row>
    <row r="828">
      <c r="A828" s="1">
        <v>826.0</v>
      </c>
      <c r="B828" s="1" t="s">
        <v>2625</v>
      </c>
      <c r="C828" s="1" t="s">
        <v>3062</v>
      </c>
      <c r="D828" s="1" t="s">
        <v>3063</v>
      </c>
      <c r="E828" s="2" t="str">
        <f>IFERROR(__xludf.DUMMYFUNCTION("GOOGLETRANSLATE(C828, ""en"", ""th"")"),"ระบุซูเปอร์ฮีโร่ที่หนักที่สุดใน DC Comics")</f>
        <v>ระบุซูเปอร์ฮีโร่ที่หนักที่สุดใน DC Comics</v>
      </c>
      <c r="F828" s="1" t="s">
        <v>3064</v>
      </c>
      <c r="G828" s="1" t="s">
        <v>3065</v>
      </c>
      <c r="H828" s="1" t="s">
        <v>13</v>
      </c>
    </row>
    <row r="829">
      <c r="A829" s="1">
        <v>827.0</v>
      </c>
      <c r="B829" s="1" t="s">
        <v>2625</v>
      </c>
      <c r="C829" s="1" t="s">
        <v>3066</v>
      </c>
      <c r="D829" s="1" t="s">
        <v>3067</v>
      </c>
      <c r="E829" s="2" t="str">
        <f>IFERROR(__xludf.DUMMYFUNCTION("GOOGLETRANSLATE(C829, ""en"", ""th"")"),"ความสูงเฉลี่ยของซูเปอร์ฮีโร่ที่ไม่ใช่มนุษย์ใน Dark Horse Comics คือเท่าไร?")</f>
        <v>ความสูงเฉลี่ยของซูเปอร์ฮีโร่ที่ไม่ใช่มนุษย์ใน Dark Horse Comics คือเท่าไร?</v>
      </c>
      <c r="F829" s="1" t="s">
        <v>3068</v>
      </c>
      <c r="G829" s="1" t="s">
        <v>3069</v>
      </c>
      <c r="H829" s="1" t="s">
        <v>18</v>
      </c>
    </row>
    <row r="830">
      <c r="A830" s="1">
        <v>828.0</v>
      </c>
      <c r="B830" s="1" t="s">
        <v>2625</v>
      </c>
      <c r="C830" s="1" t="s">
        <v>3070</v>
      </c>
      <c r="D830" s="1" t="s">
        <v>3071</v>
      </c>
      <c r="E830" s="2" t="str">
        <f>IFERROR(__xludf.DUMMYFUNCTION("GOOGLETRANSLATE(C830, ""en"", ""th"")"),"นับฮีโร่ที่เร็วที่สุด")</f>
        <v>นับฮีโร่ที่เร็วที่สุด</v>
      </c>
      <c r="F830" s="1" t="s">
        <v>3072</v>
      </c>
      <c r="G830" s="1" t="s">
        <v>3073</v>
      </c>
      <c r="H830" s="1" t="s">
        <v>13</v>
      </c>
    </row>
    <row r="831">
      <c r="A831" s="1">
        <v>829.0</v>
      </c>
      <c r="B831" s="1" t="s">
        <v>2625</v>
      </c>
      <c r="C831" s="1" t="s">
        <v>3074</v>
      </c>
      <c r="D831" s="1" t="s">
        <v>3075</v>
      </c>
      <c r="E831" s="2" t="str">
        <f>IFERROR(__xludf.DUMMYFUNCTION("GOOGLETRANSLATE(C831, ""en"", ""th"")"),"ผู้จัดพิมพ์รายใดที่สร้างฮีโร่มากกว่ากัน: DC หรือ Marvel Comics ค้นหาความแตกต่างของจำนวนฮีโร่")</f>
        <v>ผู้จัดพิมพ์รายใดที่สร้างฮีโร่มากกว่ากัน: DC หรือ Marvel Comics ค้นหาความแตกต่างของจำนวนฮีโร่</v>
      </c>
      <c r="F831" s="1" t="s">
        <v>3076</v>
      </c>
      <c r="G831" s="1" t="s">
        <v>3077</v>
      </c>
      <c r="H831" s="1" t="s">
        <v>101</v>
      </c>
    </row>
    <row r="832">
      <c r="A832" s="1">
        <v>830.0</v>
      </c>
      <c r="B832" s="1" t="s">
        <v>2625</v>
      </c>
      <c r="C832" s="1" t="s">
        <v>3078</v>
      </c>
      <c r="D832" s="1" t="s">
        <v>3079</v>
      </c>
      <c r="E832" s="2" t="str">
        <f>IFERROR(__xludf.DUMMYFUNCTION("GOOGLETRANSLATE(C832, ""en"", ""th"")"),"ระบุคุณลักษณะที่อ่อนแอที่สุดของเสือดำ")</f>
        <v>ระบุคุณลักษณะที่อ่อนแอที่สุดของเสือดำ</v>
      </c>
      <c r="F832" s="1" t="s">
        <v>3080</v>
      </c>
      <c r="G832" s="1" t="s">
        <v>3081</v>
      </c>
      <c r="H832" s="1" t="s">
        <v>18</v>
      </c>
    </row>
    <row r="833">
      <c r="A833" s="1">
        <v>831.0</v>
      </c>
      <c r="B833" s="1" t="s">
        <v>2625</v>
      </c>
      <c r="C833" s="1" t="s">
        <v>3082</v>
      </c>
      <c r="D833" s="1" t="s">
        <v>3083</v>
      </c>
      <c r="E833" s="2" t="str">
        <f>IFERROR(__xludf.DUMMYFUNCTION("GOOGLETRANSLATE(C833, ""en"", ""th"")"),"ดวงตาของ Abomination คืออะไร?")</f>
        <v>ดวงตาของ Abomination คืออะไร?</v>
      </c>
      <c r="F833" s="1" t="s">
        <v>3084</v>
      </c>
      <c r="G833" s="1" t="s">
        <v>3085</v>
      </c>
      <c r="H833" s="1" t="s">
        <v>13</v>
      </c>
    </row>
    <row r="834">
      <c r="A834" s="1">
        <v>832.0</v>
      </c>
      <c r="B834" s="1" t="s">
        <v>2625</v>
      </c>
      <c r="C834" s="1" t="s">
        <v>3086</v>
      </c>
      <c r="D834" s="1" t="s">
        <v>3087</v>
      </c>
      <c r="E834" s="2" t="str">
        <f>IFERROR(__xludf.DUMMYFUNCTION("GOOGLETRANSLATE(C834, ""en"", ""th"")"),"ตั้งชื่อซูเปอร์ฮีโร่ที่สูงที่สุด")</f>
        <v>ตั้งชื่อซูเปอร์ฮีโร่ที่สูงที่สุด</v>
      </c>
      <c r="F834" s="1" t="s">
        <v>3088</v>
      </c>
      <c r="G834" s="1" t="s">
        <v>2969</v>
      </c>
      <c r="H834" s="1" t="s">
        <v>13</v>
      </c>
    </row>
    <row r="835">
      <c r="A835" s="1">
        <v>833.0</v>
      </c>
      <c r="B835" s="1" t="s">
        <v>2625</v>
      </c>
      <c r="C835" s="1" t="s">
        <v>3089</v>
      </c>
      <c r="D835" s="1" t="s">
        <v>3090</v>
      </c>
      <c r="E835" s="2" t="str">
        <f>IFERROR(__xludf.DUMMYFUNCTION("GOOGLETRANSLATE(C835, ""en"", ""th"")"),"ตั้งชื่อซูเปอร์ฮีโร่หรือที่รู้จักกันในชื่อ Charles Chandler")</f>
        <v>ตั้งชื่อซูเปอร์ฮีโร่หรือที่รู้จักกันในชื่อ Charles Chandler</v>
      </c>
      <c r="F835" s="1" t="s">
        <v>3091</v>
      </c>
      <c r="G835" s="1" t="s">
        <v>3092</v>
      </c>
      <c r="H835" s="1" t="s">
        <v>13</v>
      </c>
    </row>
    <row r="836">
      <c r="A836" s="1">
        <v>834.0</v>
      </c>
      <c r="B836" s="1" t="s">
        <v>2625</v>
      </c>
      <c r="C836" s="1" t="s">
        <v>3093</v>
      </c>
      <c r="D836" s="1" t="s">
        <v>3094</v>
      </c>
      <c r="E836" s="2" t="str">
        <f>IFERROR(__xludf.DUMMYFUNCTION("GOOGLETRANSLATE(C836, ""en"", ""th"")"),"ในบรรดาฮีโร่ทั้งหมดที่สร้างโดยจอร์จ ลูคัส ให้ระบุเปอร์เซ็นต์ของฮีโร่หญิง")</f>
        <v>ในบรรดาฮีโร่ทั้งหมดที่สร้างโดยจอร์จ ลูคัส ให้ระบุเปอร์เซ็นต์ของฮีโร่หญิง</v>
      </c>
      <c r="F836" s="1" t="s">
        <v>3095</v>
      </c>
      <c r="G836" s="1" t="s">
        <v>3096</v>
      </c>
      <c r="H836" s="1" t="s">
        <v>101</v>
      </c>
    </row>
    <row r="837">
      <c r="A837" s="1">
        <v>835.0</v>
      </c>
      <c r="B837" s="1" t="s">
        <v>2625</v>
      </c>
      <c r="C837" s="1" t="s">
        <v>3097</v>
      </c>
      <c r="D837" s="1" t="s">
        <v>3098</v>
      </c>
      <c r="E837" s="2" t="str">
        <f>IFERROR(__xludf.DUMMYFUNCTION("GOOGLETRANSLATE(C837, ""en"", ""th"")"),"ในบรรดาฮีโร่ทั้งหมดใน Marvel Comics ให้ระบุเปอร์เซ็นต์ของฮีโร่ที่ 'ดี'")</f>
        <v>ในบรรดาฮีโร่ทั้งหมดใน Marvel Comics ให้ระบุเปอร์เซ็นต์ของฮีโร่ที่ 'ดี'</v>
      </c>
      <c r="F837" s="1" t="s">
        <v>3099</v>
      </c>
      <c r="G837" s="1" t="s">
        <v>3100</v>
      </c>
      <c r="H837" s="1" t="s">
        <v>101</v>
      </c>
    </row>
    <row r="838">
      <c r="A838" s="1">
        <v>836.0</v>
      </c>
      <c r="B838" s="1" t="s">
        <v>2625</v>
      </c>
      <c r="C838" s="1" t="s">
        <v>3101</v>
      </c>
      <c r="D838" s="1" t="s">
        <v>3102</v>
      </c>
      <c r="E838" s="2" t="str">
        <f>IFERROR(__xludf.DUMMYFUNCTION("GOOGLETRANSLATE(C838, ""en"", ""th"")"),"จำนวนฮีโร่ทั้งหมดที่มีจอห์นเป็นชื่อคือเท่าไร?")</f>
        <v>จำนวนฮีโร่ทั้งหมดที่มีจอห์นเป็นชื่อคือเท่าไร?</v>
      </c>
      <c r="F838" s="1" t="s">
        <v>3103</v>
      </c>
      <c r="G838" s="1" t="s">
        <v>3104</v>
      </c>
      <c r="H838" s="1" t="s">
        <v>13</v>
      </c>
    </row>
    <row r="839">
      <c r="A839" s="1">
        <v>837.0</v>
      </c>
      <c r="B839" s="1" t="s">
        <v>2625</v>
      </c>
      <c r="C839" s="1" t="s">
        <v>3105</v>
      </c>
      <c r="D839" s="1" t="s">
        <v>3106</v>
      </c>
      <c r="E839" s="2" t="str">
        <f>IFERROR(__xludf.DUMMYFUNCTION("GOOGLETRANSLATE(C839, ""en"", ""th"")"),"ให้ ID ฮีโร่ของซูเปอร์ฮีโร่ที่มีค่าแอตทริบิวต์ต่ำที่สุด")</f>
        <v>ให้ ID ฮีโร่ของซูเปอร์ฮีโร่ที่มีค่าแอตทริบิวต์ต่ำที่สุด</v>
      </c>
      <c r="F839" s="1" t="s">
        <v>3107</v>
      </c>
      <c r="G839" s="1" t="s">
        <v>3108</v>
      </c>
      <c r="H839" s="1" t="s">
        <v>13</v>
      </c>
    </row>
    <row r="840">
      <c r="A840" s="1">
        <v>838.0</v>
      </c>
      <c r="B840" s="1" t="s">
        <v>2625</v>
      </c>
      <c r="C840" s="1" t="s">
        <v>3109</v>
      </c>
      <c r="E840" s="2" t="str">
        <f>IFERROR(__xludf.DUMMYFUNCTION("GOOGLETRANSLATE(C840, ""en"", ""th"")"),"ระบุชื่อเต็มของซูเปอร์ฮีโร่ชื่อเอเลี่ยน")</f>
        <v>ระบุชื่อเต็มของซูเปอร์ฮีโร่ชื่อเอเลี่ยน</v>
      </c>
      <c r="G840" s="1" t="s">
        <v>3110</v>
      </c>
      <c r="H840" s="1" t="s">
        <v>13</v>
      </c>
    </row>
    <row r="841">
      <c r="A841" s="1">
        <v>839.0</v>
      </c>
      <c r="B841" s="1" t="s">
        <v>2625</v>
      </c>
      <c r="C841" s="1" t="s">
        <v>3111</v>
      </c>
      <c r="D841" s="1" t="s">
        <v>3112</v>
      </c>
      <c r="E841" s="2" t="str">
        <f>IFERROR(__xludf.DUMMYFUNCTION("GOOGLETRANSLATE(C841, ""en"", ""th"")"),"ในฮีโร่ที่มีน้ำหนักน้อยกว่า 100 ให้ระบุชื่อเต็มของฮีโร่ที่มีตาสีน้ำตาล")</f>
        <v>ในฮีโร่ที่มีน้ำหนักน้อยกว่า 100 ให้ระบุชื่อเต็มของฮีโร่ที่มีตาสีน้ำตาล</v>
      </c>
      <c r="F841" s="1" t="s">
        <v>3113</v>
      </c>
      <c r="G841" s="1" t="s">
        <v>3114</v>
      </c>
      <c r="H841" s="1" t="s">
        <v>13</v>
      </c>
    </row>
    <row r="842">
      <c r="A842" s="1">
        <v>840.0</v>
      </c>
      <c r="B842" s="1" t="s">
        <v>2625</v>
      </c>
      <c r="C842" s="1" t="s">
        <v>3115</v>
      </c>
      <c r="E842" s="2" t="str">
        <f>IFERROR(__xludf.DUMMYFUNCTION("GOOGLETRANSLATE(C842, ""en"", ""th"")"),"ระบุค่าแอตทริบิวต์ของซูเปอร์ฮีโร่ชื่อ Aquababy")</f>
        <v>ระบุค่าแอตทริบิวต์ของซูเปอร์ฮีโร่ชื่อ Aquababy</v>
      </c>
      <c r="G842" s="1" t="s">
        <v>3116</v>
      </c>
      <c r="H842" s="1" t="s">
        <v>13</v>
      </c>
    </row>
    <row r="843">
      <c r="A843" s="1">
        <v>841.0</v>
      </c>
      <c r="B843" s="1" t="s">
        <v>2625</v>
      </c>
      <c r="C843" s="1" t="s">
        <v>3117</v>
      </c>
      <c r="D843" s="1" t="s">
        <v>3118</v>
      </c>
      <c r="E843" s="2" t="str">
        <f>IFERROR(__xludf.DUMMYFUNCTION("GOOGLETRANSLATE(C843, ""en"", ""th"")"),"ระบุน้ำหนักและเชื้อชาติของซูเปอร์ฮีโร่ด้วยซูเปอร์ฮีโร่ ID 40")</f>
        <v>ระบุน้ำหนักและเชื้อชาติของซูเปอร์ฮีโร่ด้วยซูเปอร์ฮีโร่ ID 40</v>
      </c>
      <c r="F843" s="1" t="s">
        <v>3119</v>
      </c>
      <c r="G843" s="1" t="s">
        <v>3120</v>
      </c>
      <c r="H843" s="1" t="s">
        <v>13</v>
      </c>
    </row>
    <row r="844">
      <c r="A844" s="1">
        <v>842.0</v>
      </c>
      <c r="B844" s="1" t="s">
        <v>2625</v>
      </c>
      <c r="C844" s="1" t="s">
        <v>3121</v>
      </c>
      <c r="E844" s="2" t="str">
        <f>IFERROR(__xludf.DUMMYFUNCTION("GOOGLETRANSLATE(C844, ""en"", ""th"")"),"คำนวณความสูงเฉลี่ยของฮีโร่ที่เป็นกลางทั้งหมด")</f>
        <v>คำนวณความสูงเฉลี่ยของฮีโร่ที่เป็นกลางทั้งหมด</v>
      </c>
      <c r="G844" s="1" t="s">
        <v>3122</v>
      </c>
      <c r="H844" s="1" t="s">
        <v>13</v>
      </c>
    </row>
    <row r="845">
      <c r="A845" s="1">
        <v>843.0</v>
      </c>
      <c r="B845" s="1" t="s">
        <v>2625</v>
      </c>
      <c r="C845" s="1" t="s">
        <v>3123</v>
      </c>
      <c r="D845" s="1" t="s">
        <v>3124</v>
      </c>
      <c r="E845" s="2" t="str">
        <f>IFERROR(__xludf.DUMMYFUNCTION("GOOGLETRANSLATE(C845, ""en"", ""th"")"),"ระบุ ID ฮีโร่ของฮีโร่ที่มีความฉลาดเป็นพลัง")</f>
        <v>ระบุ ID ฮีโร่ของฮีโร่ที่มีความฉลาดเป็นพลัง</v>
      </c>
      <c r="F845" s="1" t="s">
        <v>3125</v>
      </c>
      <c r="G845" s="1" t="s">
        <v>3126</v>
      </c>
      <c r="H845" s="1" t="s">
        <v>13</v>
      </c>
    </row>
    <row r="846">
      <c r="A846" s="1">
        <v>844.0</v>
      </c>
      <c r="B846" s="1" t="s">
        <v>2625</v>
      </c>
      <c r="C846" s="1" t="s">
        <v>3127</v>
      </c>
      <c r="D846" s="1" t="s">
        <v>3128</v>
      </c>
      <c r="E846" s="2" t="str">
        <f>IFERROR(__xludf.DUMMYFUNCTION("GOOGLETRANSLATE(C846, ""en"", ""th"")"),"ให้สีตาของแบล็ควูล์ฟ")</f>
        <v>ให้สีตาของแบล็ควูล์ฟ</v>
      </c>
      <c r="F846" s="1" t="s">
        <v>3129</v>
      </c>
      <c r="G846" s="1" t="s">
        <v>3130</v>
      </c>
      <c r="H846" s="1" t="s">
        <v>13</v>
      </c>
    </row>
    <row r="847">
      <c r="A847" s="1">
        <v>845.0</v>
      </c>
      <c r="B847" s="1" t="s">
        <v>2625</v>
      </c>
      <c r="C847" s="1" t="s">
        <v>3131</v>
      </c>
      <c r="D847" s="1" t="s">
        <v>3132</v>
      </c>
      <c r="E847" s="2" t="str">
        <f>IFERROR(__xludf.DUMMYFUNCTION("GOOGLETRANSLATE(C847, ""en"", ""th"")"),"ระบุพลังของฮีโร่ที่มีความสูงมากกว่า 80% ของความสูงเฉลี่ยของฮีโร่ทั้งหมด")</f>
        <v>ระบุพลังของฮีโร่ที่มีความสูงมากกว่า 80% ของความสูงเฉลี่ยของฮีโร่ทั้งหมด</v>
      </c>
      <c r="F847" s="1" t="s">
        <v>3133</v>
      </c>
      <c r="G847" s="1" t="s">
        <v>3134</v>
      </c>
      <c r="H847" s="1" t="s">
        <v>18</v>
      </c>
    </row>
    <row r="848">
      <c r="A848" s="1">
        <v>846.0</v>
      </c>
      <c r="B848" s="1" t="s">
        <v>3135</v>
      </c>
      <c r="C848" s="1" t="s">
        <v>3136</v>
      </c>
      <c r="D848" s="1" t="s">
        <v>3137</v>
      </c>
      <c r="E848" s="2" t="str">
        <f>IFERROR(__xludf.DUMMYFUNCTION("GOOGLETRANSLATE(C848, ""en"", ""th"")"),"โปรดระบุชื่ออ้างอิงของนักแข่งที่ถูกคัดออกในช่วงแรกในการแข่งขันหมายเลข 20")</f>
        <v>โปรดระบุชื่ออ้างอิงของนักแข่งที่ถูกคัดออกในช่วงแรกในการแข่งขันหมายเลข 20</v>
      </c>
      <c r="F848" s="1" t="s">
        <v>3138</v>
      </c>
      <c r="G848" s="1" t="s">
        <v>3139</v>
      </c>
      <c r="H848" s="1" t="s">
        <v>18</v>
      </c>
    </row>
    <row r="849">
      <c r="A849" s="1">
        <v>847.0</v>
      </c>
      <c r="B849" s="1" t="s">
        <v>3135</v>
      </c>
      <c r="C849" s="1" t="s">
        <v>3140</v>
      </c>
      <c r="D849" s="1" t="s">
        <v>3141</v>
      </c>
      <c r="E849" s="2" t="str">
        <f>IFERROR(__xludf.DUMMYFUNCTION("GOOGLETRANSLATE(C849, ""en"", ""th"")"),"นักแข่งที่ทำเวลารอบดีที่สุดในการแข่งขันหมายเลข 19 ในรอบคัดเลือกรอบสองมีนามสกุลอะไร?")</f>
        <v>นักแข่งที่ทำเวลารอบดีที่สุดในการแข่งขันหมายเลข 19 ในรอบคัดเลือกรอบสองมีนามสกุลอะไร?</v>
      </c>
      <c r="F849" s="1" t="s">
        <v>3142</v>
      </c>
      <c r="G849" s="1" t="s">
        <v>3143</v>
      </c>
      <c r="H849" s="1" t="s">
        <v>13</v>
      </c>
    </row>
    <row r="850">
      <c r="A850" s="1">
        <v>848.0</v>
      </c>
      <c r="B850" s="1" t="s">
        <v>3135</v>
      </c>
      <c r="C850" s="1" t="s">
        <v>3144</v>
      </c>
      <c r="D850" s="1" t="s">
        <v>3145</v>
      </c>
      <c r="E850" s="2" t="str">
        <f>IFERROR(__xludf.DUMMYFUNCTION("GOOGLETRANSLATE(C850, ""en"", ""th"")"),"โปรดระบุปีที่มีการแข่งขันในสนามแข่งในเซี่ยงไฮ้")</f>
        <v>โปรดระบุปีที่มีการแข่งขันในสนามแข่งในเซี่ยงไฮ้</v>
      </c>
      <c r="F850" s="1" t="s">
        <v>3146</v>
      </c>
      <c r="G850" s="1" t="s">
        <v>3147</v>
      </c>
      <c r="H850" s="1" t="s">
        <v>13</v>
      </c>
    </row>
    <row r="851">
      <c r="A851" s="1">
        <v>849.0</v>
      </c>
      <c r="B851" s="1" t="s">
        <v>3135</v>
      </c>
      <c r="C851" s="1" t="s">
        <v>3148</v>
      </c>
      <c r="D851" s="1" t="s">
        <v>3149</v>
      </c>
      <c r="E851" s="2" t="str">
        <f>IFERROR(__xludf.DUMMYFUNCTION("GOOGLETRANSLATE(C851, ""en"", ""th"")"),"สามารถดูการแนะนำการแข่งขันที่จัดขึ้นบน Circuit de Barcelona-Catalunya ได้ที่ไหน?")</f>
        <v>สามารถดูการแนะนำการแข่งขันที่จัดขึ้นบน Circuit de Barcelona-Catalunya ได้ที่ไหน?</v>
      </c>
      <c r="F851" s="1" t="s">
        <v>3150</v>
      </c>
      <c r="G851" s="1" t="s">
        <v>3151</v>
      </c>
      <c r="H851" s="1" t="s">
        <v>13</v>
      </c>
    </row>
    <row r="852">
      <c r="A852" s="1">
        <v>850.0</v>
      </c>
      <c r="B852" s="1" t="s">
        <v>3135</v>
      </c>
      <c r="C852" s="1" t="s">
        <v>3152</v>
      </c>
      <c r="D852" s="1" t="s">
        <v>3153</v>
      </c>
      <c r="E852" s="2" t="str">
        <f>IFERROR(__xludf.DUMMYFUNCTION("GOOGLETRANSLATE(C852, ""en"", ""th"")"),"กรุณาระบุชื่อการแข่งขันที่จัดขึ้นในสนามแข่งในประเทศเยอรมนี")</f>
        <v>กรุณาระบุชื่อการแข่งขันที่จัดขึ้นในสนามแข่งในประเทศเยอรมนี</v>
      </c>
      <c r="F852" s="1" t="s">
        <v>3154</v>
      </c>
      <c r="G852" s="1" t="s">
        <v>3155</v>
      </c>
      <c r="H852" s="1" t="s">
        <v>13</v>
      </c>
    </row>
    <row r="853">
      <c r="A853" s="1">
        <v>851.0</v>
      </c>
      <c r="B853" s="1" t="s">
        <v>3135</v>
      </c>
      <c r="C853" s="1" t="s">
        <v>3156</v>
      </c>
      <c r="D853" s="1" t="s">
        <v>3157</v>
      </c>
      <c r="E853" s="2" t="str">
        <f>IFERROR(__xludf.DUMMYFUNCTION("GOOGLETRANSLATE(C853, ""en"", ""th"")"),"โปรดระบุตำแหน่งของวงจรที่สร้างโดยคอนสตรัคเตอร์เรโนลต์")</f>
        <v>โปรดระบุตำแหน่งของวงจรที่สร้างโดยคอนสตรัคเตอร์เรโนลต์</v>
      </c>
      <c r="F853" s="1" t="s">
        <v>3158</v>
      </c>
      <c r="G853" s="1" t="s">
        <v>3159</v>
      </c>
      <c r="H853" s="1" t="s">
        <v>13</v>
      </c>
    </row>
    <row r="854">
      <c r="A854" s="1">
        <v>852.0</v>
      </c>
      <c r="B854" s="1" t="s">
        <v>3135</v>
      </c>
      <c r="C854" s="1" t="s">
        <v>3160</v>
      </c>
      <c r="E854" s="2" t="str">
        <f>IFERROR(__xludf.DUMMYFUNCTION("GOOGLETRANSLATE(C854, ""en"", ""th"")"),"ในปี 2010 มีการแข่งขันกรังด์ปรีซ์นอกเอเชียและยุโรปกี่รายการ?")</f>
        <v>ในปี 2010 มีการแข่งขันกรังด์ปรีซ์นอกเอเชียและยุโรปกี่รายการ?</v>
      </c>
      <c r="G854" s="1" t="s">
        <v>3161</v>
      </c>
      <c r="H854" s="1" t="s">
        <v>18</v>
      </c>
    </row>
    <row r="855">
      <c r="A855" s="1">
        <v>853.0</v>
      </c>
      <c r="B855" s="1" t="s">
        <v>3135</v>
      </c>
      <c r="C855" s="1" t="s">
        <v>3162</v>
      </c>
      <c r="D855" s="1" t="s">
        <v>3163</v>
      </c>
      <c r="E855" s="2" t="str">
        <f>IFERROR(__xludf.DUMMYFUNCTION("GOOGLETRANSLATE(C855, ""en"", ""th"")"),"กรุณาแจ้งชื่อการแข่งขันที่จัดขึ้นในสนามแข่งในประเทศสเปน")</f>
        <v>กรุณาแจ้งชื่อการแข่งขันที่จัดขึ้นในสนามแข่งในประเทศสเปน</v>
      </c>
      <c r="F855" s="1" t="s">
        <v>3164</v>
      </c>
      <c r="G855" s="1" t="s">
        <v>3165</v>
      </c>
      <c r="H855" s="1" t="s">
        <v>13</v>
      </c>
    </row>
    <row r="856">
      <c r="A856" s="1">
        <v>854.0</v>
      </c>
      <c r="B856" s="1" t="s">
        <v>3135</v>
      </c>
      <c r="C856" s="1" t="s">
        <v>3166</v>
      </c>
      <c r="D856" s="1" t="s">
        <v>3167</v>
      </c>
      <c r="E856" s="2" t="str">
        <f>IFERROR(__xludf.DUMMYFUNCTION("GOOGLETRANSLATE(C856, ""en"", ""th"")"),"ตำแหน่งพิกัดของสนามแข่ง Australian Grand Prix คืออะไร?")</f>
        <v>ตำแหน่งพิกัดของสนามแข่ง Australian Grand Prix คืออะไร?</v>
      </c>
      <c r="F856" s="1" t="s">
        <v>3168</v>
      </c>
      <c r="G856" s="1" t="s">
        <v>3169</v>
      </c>
      <c r="H856" s="1" t="s">
        <v>13</v>
      </c>
    </row>
    <row r="857">
      <c r="A857" s="1">
        <v>855.0</v>
      </c>
      <c r="B857" s="1" t="s">
        <v>3135</v>
      </c>
      <c r="C857" s="1" t="s">
        <v>3170</v>
      </c>
      <c r="D857" s="1" t="s">
        <v>3171</v>
      </c>
      <c r="E857" s="2" t="str">
        <f>IFERROR(__xludf.DUMMYFUNCTION("GOOGLETRANSLATE(C857, ""en"", ""th"")"),"ฉันจะหาข้อมูลเกี่ยวกับการแข่งขันที่จัดขึ้นที่สนามแข่งรถเซปังอินเตอร์เนชั่นแนลเซอร์กิตได้จากที่ไหน?")</f>
        <v>ฉันจะหาข้อมูลเกี่ยวกับการแข่งขันที่จัดขึ้นที่สนามแข่งรถเซปังอินเตอร์เนชั่นแนลเซอร์กิตได้จากที่ไหน?</v>
      </c>
      <c r="F857" s="1" t="s">
        <v>3172</v>
      </c>
      <c r="G857" s="1" t="s">
        <v>3173</v>
      </c>
      <c r="H857" s="1" t="s">
        <v>13</v>
      </c>
    </row>
    <row r="858">
      <c r="A858" s="1">
        <v>856.0</v>
      </c>
      <c r="B858" s="1" t="s">
        <v>3135</v>
      </c>
      <c r="C858" s="1" t="s">
        <v>3174</v>
      </c>
      <c r="E858" s="2" t="str">
        <f>IFERROR(__xludf.DUMMYFUNCTION("GOOGLETRANSLATE(C858, ""en"", ""th"")"),"โปรดระบุเวลาการแข่งขันที่จัดขึ้นที่สนามแข่งรถเซปังอินเตอร์เนชั่นแนลเซอร์กิต")</f>
        <v>โปรดระบุเวลาการแข่งขันที่จัดขึ้นที่สนามแข่งรถเซปังอินเตอร์เนชั่นแนลเซอร์กิต</v>
      </c>
      <c r="G858" s="1" t="s">
        <v>3175</v>
      </c>
      <c r="H858" s="1" t="s">
        <v>13</v>
      </c>
    </row>
    <row r="859">
      <c r="A859" s="1">
        <v>857.0</v>
      </c>
      <c r="B859" s="1" t="s">
        <v>3135</v>
      </c>
      <c r="C859" s="1" t="s">
        <v>3176</v>
      </c>
      <c r="D859" s="1" t="s">
        <v>3177</v>
      </c>
      <c r="E859" s="2" t="str">
        <f>IFERROR(__xludf.DUMMYFUNCTION("GOOGLETRANSLATE(C859, ""en"", ""th"")"),"มอบตำแหน่งพิกัดอาบูดาบีกรังด์ปรีซ์")</f>
        <v>มอบตำแหน่งพิกัดอาบูดาบีกรังด์ปรีซ์</v>
      </c>
      <c r="F859" s="1" t="s">
        <v>3178</v>
      </c>
      <c r="G859" s="1" t="s">
        <v>3179</v>
      </c>
      <c r="H859" s="1" t="s">
        <v>13</v>
      </c>
    </row>
    <row r="860">
      <c r="A860" s="1">
        <v>858.0</v>
      </c>
      <c r="B860" s="1" t="s">
        <v>3135</v>
      </c>
      <c r="C860" s="1" t="s">
        <v>3180</v>
      </c>
      <c r="D860" s="1" t="s">
        <v>3181</v>
      </c>
      <c r="E860" s="2" t="str">
        <f>IFERROR(__xludf.DUMMYFUNCTION("GOOGLETRANSLATE(C860, ""en"", ""th"")"),"คอนสตรัคเตอร์ที่ได้ 1 แต้มในการแข่งขันหมายเลข 24 มาจากประเทศใด?")</f>
        <v>คอนสตรัคเตอร์ที่ได้ 1 แต้มในการแข่งขันหมายเลข 24 มาจากประเทศใด?</v>
      </c>
      <c r="F860" s="1" t="s">
        <v>3182</v>
      </c>
      <c r="G860" s="1" t="s">
        <v>3183</v>
      </c>
      <c r="H860" s="1" t="s">
        <v>13</v>
      </c>
    </row>
    <row r="861">
      <c r="A861" s="1">
        <v>859.0</v>
      </c>
      <c r="B861" s="1" t="s">
        <v>3135</v>
      </c>
      <c r="C861" s="1" t="s">
        <v>3184</v>
      </c>
      <c r="D861" s="1" t="s">
        <v>3185</v>
      </c>
      <c r="E861" s="2" t="str">
        <f>IFERROR(__xludf.DUMMYFUNCTION("GOOGLETRANSLATE(C861, ""en"", ""th"")"),"ผลการแข่งขัน Q1 ของ Bruno Senna ในการแข่งขันรอบคัดเลือกหมายเลข 354 คืออะไร?")</f>
        <v>ผลการแข่งขัน Q1 ของ Bruno Senna ในการแข่งขันรอบคัดเลือกหมายเลข 354 คืออะไร?</v>
      </c>
      <c r="F861" s="1" t="s">
        <v>3186</v>
      </c>
      <c r="G861" s="1" t="s">
        <v>3187</v>
      </c>
      <c r="H861" s="1" t="s">
        <v>13</v>
      </c>
    </row>
    <row r="862">
      <c r="A862" s="1">
        <v>860.0</v>
      </c>
      <c r="B862" s="1" t="s">
        <v>3135</v>
      </c>
      <c r="C862" s="1" t="s">
        <v>3188</v>
      </c>
      <c r="D862" s="1" t="s">
        <v>3181</v>
      </c>
      <c r="E862" s="2" t="str">
        <f>IFERROR(__xludf.DUMMYFUNCTION("GOOGLETRANSLATE(C862, ""en"", ""th"")"),"สำหรับนักแข่งที่มีเวลา Q2 เท่ากับ 0:01:40 ในการแข่งขันรอบคัดเลือกหมายเลข 355 เขามีสัญชาติอะไร?")</f>
        <v>สำหรับนักแข่งที่มีเวลา Q2 เท่ากับ 0:01:40 ในการแข่งขันรอบคัดเลือกหมายเลข 355 เขามีสัญชาติอะไร?</v>
      </c>
      <c r="F862" s="1" t="s">
        <v>3182</v>
      </c>
      <c r="G862" s="1" t="s">
        <v>3189</v>
      </c>
      <c r="H862" s="1" t="s">
        <v>13</v>
      </c>
    </row>
    <row r="863">
      <c r="A863" s="1">
        <v>861.0</v>
      </c>
      <c r="B863" s="1" t="s">
        <v>3135</v>
      </c>
      <c r="C863" s="1" t="s">
        <v>3190</v>
      </c>
      <c r="D863" s="1" t="s">
        <v>3191</v>
      </c>
      <c r="E863" s="2" t="str">
        <f>IFERROR(__xludf.DUMMYFUNCTION("GOOGLETRANSLATE(C863, ""en"", ""th"")"),"นักแข่งของเขาที่เข้าเส้นชัยด้วยเวลา 0:01:54 ในไตรมาสที่ 3 ของการแข่งขันรอบคัดเลือกหมายเลข 903 คือหมายเลขอะไร")</f>
        <v>นักแข่งของเขาที่เข้าเส้นชัยด้วยเวลา 0:01:54 ในไตรมาสที่ 3 ของการแข่งขันรอบคัดเลือกหมายเลข 903 คือหมายเลขอะไร</v>
      </c>
      <c r="F863" s="1" t="s">
        <v>3192</v>
      </c>
      <c r="G863" s="1" t="s">
        <v>3193</v>
      </c>
      <c r="H863" s="1" t="s">
        <v>13</v>
      </c>
    </row>
    <row r="864">
      <c r="A864" s="1">
        <v>862.0</v>
      </c>
      <c r="B864" s="1" t="s">
        <v>3135</v>
      </c>
      <c r="C864" s="1" t="s">
        <v>3194</v>
      </c>
      <c r="D864" s="1" t="s">
        <v>3195</v>
      </c>
      <c r="E864" s="2" t="str">
        <f>IFERROR(__xludf.DUMMYFUNCTION("GOOGLETRANSLATE(C864, ""en"", ""th"")"),"สำหรับการแข่งขัน Bahrain Grand Prix ในปี 2550 มีนักแข่งกี่คนที่ยังเล่นเกมไม่จบ?")</f>
        <v>สำหรับการแข่งขัน Bahrain Grand Prix ในปี 2550 มีนักแข่งกี่คนที่ยังเล่นเกมไม่จบ?</v>
      </c>
      <c r="F864" s="1" t="s">
        <v>3196</v>
      </c>
      <c r="G864" s="1" t="s">
        <v>3197</v>
      </c>
      <c r="H864" s="1" t="s">
        <v>13</v>
      </c>
    </row>
    <row r="865">
      <c r="A865" s="1">
        <v>863.0</v>
      </c>
      <c r="B865" s="1" t="s">
        <v>3135</v>
      </c>
      <c r="C865" s="1" t="s">
        <v>3198</v>
      </c>
      <c r="D865" s="1" t="s">
        <v>3181</v>
      </c>
      <c r="E865" s="2" t="str">
        <f>IFERROR(__xludf.DUMMYFUNCTION("GOOGLETRANSLATE(C865, ""en"", ""th"")"),"แสดงหน้าฤดูกาลของปีที่มีการแข่งหมายเลข 901 ให้ฉันดู")</f>
        <v>แสดงหน้าฤดูกาลของปีที่มีการแข่งหมายเลข 901 ให้ฉันดู</v>
      </c>
      <c r="F865" s="1" t="s">
        <v>3182</v>
      </c>
      <c r="G865" s="1" t="s">
        <v>3199</v>
      </c>
      <c r="H865" s="1" t="s">
        <v>13</v>
      </c>
    </row>
    <row r="866">
      <c r="A866" s="1">
        <v>864.0</v>
      </c>
      <c r="B866" s="1" t="s">
        <v>3135</v>
      </c>
      <c r="C866" s="1" t="s">
        <v>3200</v>
      </c>
      <c r="D866" s="1" t="s">
        <v>3201</v>
      </c>
      <c r="E866" s="2" t="str">
        <f>IFERROR(__xludf.DUMMYFUNCTION("GOOGLETRANSLATE(C866, ""en"", ""th"")"),"สำหรับการแข่งขันที่เกิดขึ้นในวันที่ 29/11/2558 มีนักแข่งกี่คนที่จบเกม?")</f>
        <v>สำหรับการแข่งขันที่เกิดขึ้นในวันที่ 29/11/2558 มีนักแข่งกี่คนที่จบเกม?</v>
      </c>
      <c r="F866" s="1" t="s">
        <v>3202</v>
      </c>
      <c r="G866" s="1" t="s">
        <v>3203</v>
      </c>
      <c r="H866" s="1" t="s">
        <v>13</v>
      </c>
    </row>
    <row r="867">
      <c r="A867" s="1">
        <v>865.0</v>
      </c>
      <c r="B867" s="1" t="s">
        <v>3135</v>
      </c>
      <c r="C867" s="1" t="s">
        <v>3204</v>
      </c>
      <c r="D867" s="1" t="s">
        <v>3205</v>
      </c>
      <c r="E867" s="2" t="str">
        <f>IFERROR(__xludf.DUMMYFUNCTION("GOOGLETRANSLATE(C867, ""en"", ""th"")"),"สำหรับนักแข่งทุกคนที่จบเกมในการแข่งขันหมายเลข 592 ใครอายุมากที่สุด?")</f>
        <v>สำหรับนักแข่งทุกคนที่จบเกมในการแข่งขันหมายเลข 592 ใครอายุมากที่สุด?</v>
      </c>
      <c r="F867" s="1" t="s">
        <v>3206</v>
      </c>
      <c r="G867" s="1" t="s">
        <v>3207</v>
      </c>
      <c r="H867" s="1" t="s">
        <v>18</v>
      </c>
    </row>
    <row r="868">
      <c r="A868" s="1">
        <v>866.0</v>
      </c>
      <c r="B868" s="1" t="s">
        <v>3135</v>
      </c>
      <c r="C868" s="1" t="s">
        <v>3208</v>
      </c>
      <c r="D868" s="1" t="s">
        <v>3209</v>
      </c>
      <c r="E868" s="2" t="str">
        <f>IFERROR(__xludf.DUMMYFUNCTION("GOOGLETRANSLATE(C868, ""en"", ""th"")"),"ใครคือผู้เล่นที่ทำเวลาต่อรอบได้ 0:01:27 ในการแข่งขันหมายเลข 161 แสดงเว็บไซต์แนะนำของเขา")</f>
        <v>ใครคือผู้เล่นที่ทำเวลาต่อรอบได้ 0:01:27 ในการแข่งขันหมายเลข 161 แสดงเว็บไซต์แนะนำของเขา</v>
      </c>
      <c r="F868" s="1" t="s">
        <v>3210</v>
      </c>
      <c r="G868" s="1" t="s">
        <v>3211</v>
      </c>
      <c r="H868" s="1" t="s">
        <v>18</v>
      </c>
    </row>
    <row r="869">
      <c r="A869" s="1">
        <v>867.0</v>
      </c>
      <c r="B869" s="1" t="s">
        <v>3135</v>
      </c>
      <c r="C869" s="1" t="s">
        <v>3212</v>
      </c>
      <c r="D869" s="1" t="s">
        <v>3213</v>
      </c>
      <c r="E869" s="2" t="str">
        <f>IFERROR(__xludf.DUMMYFUNCTION("GOOGLETRANSLATE(C869, ""en"", ""th"")"),"สำหรับนักแข่งที่ทำความเร็วต่อรอบได้เร็วที่สุดในการแข่งขันหมายเลข 933 เขามาจากไหน?")</f>
        <v>สำหรับนักแข่งที่ทำความเร็วต่อรอบได้เร็วที่สุดในการแข่งขันหมายเลข 933 เขามาจากไหน?</v>
      </c>
      <c r="F869" s="1" t="s">
        <v>3214</v>
      </c>
      <c r="G869" s="1" t="s">
        <v>3215</v>
      </c>
      <c r="H869" s="1" t="s">
        <v>13</v>
      </c>
    </row>
    <row r="870">
      <c r="A870" s="1">
        <v>868.0</v>
      </c>
      <c r="B870" s="1" t="s">
        <v>3135</v>
      </c>
      <c r="C870" s="1" t="s">
        <v>3216</v>
      </c>
      <c r="D870" s="1" t="s">
        <v>3217</v>
      </c>
      <c r="E870" s="2" t="str">
        <f>IFERROR(__xludf.DUMMYFUNCTION("GOOGLETRANSLATE(C870, ""en"", ""th"")"),"Malaysian Grand Prix จัดขึ้นที่ไหน? แจ้งพิกัดสถานที่.")</f>
        <v>Malaysian Grand Prix จัดขึ้นที่ไหน? แจ้งพิกัดสถานที่.</v>
      </c>
      <c r="F870" s="1" t="s">
        <v>3218</v>
      </c>
      <c r="G870" s="1" t="s">
        <v>3219</v>
      </c>
      <c r="H870" s="1" t="s">
        <v>13</v>
      </c>
    </row>
    <row r="871">
      <c r="A871" s="1">
        <v>869.0</v>
      </c>
      <c r="B871" s="1" t="s">
        <v>3135</v>
      </c>
      <c r="C871" s="1" t="s">
        <v>3220</v>
      </c>
      <c r="D871" s="1" t="s">
        <v>3221</v>
      </c>
      <c r="E871" s="2" t="str">
        <f>IFERROR(__xludf.DUMMYFUNCTION("GOOGLETRANSLATE(C871, ""en"", ""th"")"),"สำหรับคอนสตรัคเตอร์ที่ได้คะแนนสูงสุดในการแข่งขันหมายเลข 9 เว็บไซต์แนะนำคืออะไร?")</f>
        <v>สำหรับคอนสตรัคเตอร์ที่ได้คะแนนสูงสุดในการแข่งขันหมายเลข 9 เว็บไซต์แนะนำคืออะไร?</v>
      </c>
      <c r="F871" s="1" t="s">
        <v>3222</v>
      </c>
      <c r="G871" s="1" t="s">
        <v>3223</v>
      </c>
      <c r="H871" s="1" t="s">
        <v>18</v>
      </c>
    </row>
    <row r="872">
      <c r="A872" s="1">
        <v>870.0</v>
      </c>
      <c r="B872" s="1" t="s">
        <v>3135</v>
      </c>
      <c r="C872" s="1" t="s">
        <v>3224</v>
      </c>
      <c r="D872" s="1" t="s">
        <v>3181</v>
      </c>
      <c r="E872" s="2" t="str">
        <f>IFERROR(__xludf.DUMMYFUNCTION("GOOGLETRANSLATE(C872, ""en"", ""th"")"),"ผลการแข่งขัน Q1 ของ Lucas di Grassi คืออะไรในการแข่งขันหมายเลข 345")</f>
        <v>ผลการแข่งขัน Q1 ของ Lucas di Grassi คืออะไรในการแข่งขันหมายเลข 345</v>
      </c>
      <c r="F872" s="1" t="s">
        <v>3182</v>
      </c>
      <c r="G872" s="1" t="s">
        <v>3225</v>
      </c>
      <c r="H872" s="1" t="s">
        <v>13</v>
      </c>
    </row>
    <row r="873">
      <c r="A873" s="1">
        <v>871.0</v>
      </c>
      <c r="B873" s="1" t="s">
        <v>3135</v>
      </c>
      <c r="C873" s="1" t="s">
        <v>3226</v>
      </c>
      <c r="D873" s="1" t="s">
        <v>3181</v>
      </c>
      <c r="E873" s="2" t="str">
        <f>IFERROR(__xludf.DUMMYFUNCTION("GOOGLETRANSLATE(C873, ""en"", ""th"")"),"สำหรับนักแข่งที่มีเวลา Q2 เท่ากับ 0:01:15 ในการแข่งขันหมายเลข 347 เขามาจากไหน?")</f>
        <v>สำหรับนักแข่งที่มีเวลา Q2 เท่ากับ 0:01:15 ในการแข่งขันหมายเลข 347 เขามาจากไหน?</v>
      </c>
      <c r="F873" s="1" t="s">
        <v>3182</v>
      </c>
      <c r="G873" s="1" t="s">
        <v>3227</v>
      </c>
      <c r="H873" s="1" t="s">
        <v>13</v>
      </c>
    </row>
    <row r="874">
      <c r="A874" s="1">
        <v>872.0</v>
      </c>
      <c r="B874" s="1" t="s">
        <v>3135</v>
      </c>
      <c r="C874" s="1" t="s">
        <v>3228</v>
      </c>
      <c r="D874" s="1" t="s">
        <v>3229</v>
      </c>
      <c r="E874" s="2" t="str">
        <f>IFERROR(__xludf.DUMMYFUNCTION("GOOGLETRANSLATE(C874, ""en"", ""th"")"),"ในการแข่งขันหมายเลข 45 นักแข่งที่ได้เวลา Q3 เป็น 0:01:33 รหัสตัวย่อของเขาคืออะไร?")</f>
        <v>ในการแข่งขันหมายเลข 45 นักแข่งที่ได้เวลา Q3 เป็น 0:01:33 รหัสตัวย่อของเขาคืออะไร?</v>
      </c>
      <c r="F874" s="1" t="s">
        <v>3230</v>
      </c>
      <c r="G874" s="1" t="s">
        <v>3231</v>
      </c>
      <c r="H874" s="1" t="s">
        <v>13</v>
      </c>
    </row>
    <row r="875">
      <c r="A875" s="1">
        <v>873.0</v>
      </c>
      <c r="B875" s="1" t="s">
        <v>3135</v>
      </c>
      <c r="C875" s="1" t="s">
        <v>3232</v>
      </c>
      <c r="D875" s="1" t="s">
        <v>3181</v>
      </c>
      <c r="E875" s="2" t="str">
        <f>IFERROR(__xludf.DUMMYFUNCTION("GOOGLETRANSLATE(C875, ""en"", ""th"")"),"เวลาสิ้นสุดที่แท้จริงของ Bruce McLaren ในการแข่งขันหมายเลข 743 คืออะไร?")</f>
        <v>เวลาสิ้นสุดที่แท้จริงของ Bruce McLaren ในการแข่งขันหมายเลข 743 คืออะไร?</v>
      </c>
      <c r="F875" s="1" t="s">
        <v>3182</v>
      </c>
      <c r="G875" s="1" t="s">
        <v>3233</v>
      </c>
      <c r="H875" s="1" t="s">
        <v>13</v>
      </c>
    </row>
    <row r="876">
      <c r="A876" s="1">
        <v>874.0</v>
      </c>
      <c r="B876" s="1" t="s">
        <v>3135</v>
      </c>
      <c r="C876" s="1" t="s">
        <v>3234</v>
      </c>
      <c r="D876" s="1" t="s">
        <v>3235</v>
      </c>
      <c r="E876" s="2" t="str">
        <f>IFERROR(__xludf.DUMMYFUNCTION("GOOGLETRANSLATE(C876, ""en"", ""th"")"),"ใครได้อันดับสองในการแข่งขัน San Marino Grand Prix ในปี 2549")</f>
        <v>ใครได้อันดับสองในการแข่งขัน San Marino Grand Prix ในปี 2549</v>
      </c>
      <c r="F876" s="1" t="s">
        <v>3236</v>
      </c>
      <c r="G876" s="1" t="s">
        <v>3237</v>
      </c>
      <c r="H876" s="1" t="s">
        <v>13</v>
      </c>
    </row>
    <row r="877">
      <c r="A877" s="1">
        <v>875.0</v>
      </c>
      <c r="B877" s="1" t="s">
        <v>3135</v>
      </c>
      <c r="C877" s="1" t="s">
        <v>3198</v>
      </c>
      <c r="D877" s="1" t="s">
        <v>3238</v>
      </c>
      <c r="E877" s="2" t="str">
        <f>IFERROR(__xludf.DUMMYFUNCTION("GOOGLETRANSLATE(C877, ""en"", ""th"")"),"แสดงหน้าฤดูกาลของปีที่มีการแข่งหมายเลข 901 ให้ฉันดู")</f>
        <v>แสดงหน้าฤดูกาลของปีที่มีการแข่งหมายเลข 901 ให้ฉันดู</v>
      </c>
      <c r="F877" s="1" t="s">
        <v>3239</v>
      </c>
      <c r="G877" s="1" t="s">
        <v>3199</v>
      </c>
      <c r="H877" s="1" t="s">
        <v>13</v>
      </c>
    </row>
    <row r="878">
      <c r="A878" s="1">
        <v>876.0</v>
      </c>
      <c r="B878" s="1" t="s">
        <v>3135</v>
      </c>
      <c r="C878" s="1" t="s">
        <v>3240</v>
      </c>
      <c r="D878" s="1" t="s">
        <v>3241</v>
      </c>
      <c r="E878" s="2" t="str">
        <f>IFERROR(__xludf.DUMMYFUNCTION("GOOGLETRANSLATE(C878, ""en"", ""th"")"),"สำหรับการแข่งขันที่เกิดขึ้นในปี 2558/11/29 มีนักแข่งกี่คนที่ไม่จบเกม?")</f>
        <v>สำหรับการแข่งขันที่เกิดขึ้นในปี 2558/11/29 มีนักแข่งกี่คนที่ไม่จบเกม?</v>
      </c>
      <c r="F878" s="1" t="s">
        <v>3242</v>
      </c>
      <c r="G878" s="1" t="s">
        <v>3243</v>
      </c>
      <c r="H878" s="1" t="s">
        <v>13</v>
      </c>
    </row>
    <row r="879">
      <c r="A879" s="1">
        <v>877.0</v>
      </c>
      <c r="B879" s="1" t="s">
        <v>3135</v>
      </c>
      <c r="C879" s="1" t="s">
        <v>3244</v>
      </c>
      <c r="D879" s="1" t="s">
        <v>3245</v>
      </c>
      <c r="E879" s="2" t="str">
        <f>IFERROR(__xludf.DUMMYFUNCTION("GOOGLETRANSLATE(C879, ""en"", ""th"")"),"สำหรับนักแข่งทุกคนที่จบเกมในการแข่งขันหมายเลข 872 ใครอายุน้อยที่สุด?")</f>
        <v>สำหรับนักแข่งทุกคนที่จบเกมในการแข่งขันหมายเลข 872 ใครอายุน้อยที่สุด?</v>
      </c>
      <c r="F879" s="1" t="s">
        <v>3246</v>
      </c>
      <c r="G879" s="1" t="s">
        <v>3247</v>
      </c>
      <c r="H879" s="1" t="s">
        <v>18</v>
      </c>
    </row>
    <row r="880">
      <c r="A880" s="1">
        <v>878.0</v>
      </c>
      <c r="B880" s="1" t="s">
        <v>3135</v>
      </c>
      <c r="C880" s="1" t="s">
        <v>3248</v>
      </c>
      <c r="D880" s="1" t="s">
        <v>3249</v>
      </c>
      <c r="E880" s="2" t="str">
        <f>IFERROR(__xludf.DUMMYFUNCTION("GOOGLETRANSLATE(C880, ""en"", ""th"")"),"ใครคือนักแข่งที่ทำเวลาต่อรอบได้ดีที่สุดในการแข่งขันหมายเลข 348? บอกชื่อเต็มของเขา.")</f>
        <v>ใครคือนักแข่งที่ทำเวลาต่อรอบได้ดีที่สุดในการแข่งขันหมายเลข 348? บอกชื่อเต็มของเขา.</v>
      </c>
      <c r="F880" s="1" t="s">
        <v>3250</v>
      </c>
      <c r="G880" s="1" t="s">
        <v>3251</v>
      </c>
      <c r="H880" s="1" t="s">
        <v>13</v>
      </c>
    </row>
    <row r="881">
      <c r="A881" s="1">
        <v>879.0</v>
      </c>
      <c r="B881" s="1" t="s">
        <v>3135</v>
      </c>
      <c r="C881" s="1" t="s">
        <v>3252</v>
      </c>
      <c r="D881" s="1" t="s">
        <v>3253</v>
      </c>
      <c r="E881" s="2" t="str">
        <f>IFERROR(__xludf.DUMMYFUNCTION("GOOGLETRANSLATE(C881, ""en"", ""th"")"),"สำหรับนักแข่งที่ตั้งความเร็วรอบได้เร็วที่สุด สัญชาติอะไร?")</f>
        <v>สำหรับนักแข่งที่ตั้งความเร็วรอบได้เร็วที่สุด สัญชาติอะไร?</v>
      </c>
      <c r="F881" s="1" t="s">
        <v>3254</v>
      </c>
      <c r="G881" s="1" t="s">
        <v>3255</v>
      </c>
      <c r="H881" s="1" t="s">
        <v>18</v>
      </c>
    </row>
    <row r="882">
      <c r="A882" s="1">
        <v>880.0</v>
      </c>
      <c r="B882" s="1" t="s">
        <v>3135</v>
      </c>
      <c r="C882" s="1" t="s">
        <v>3256</v>
      </c>
      <c r="D882" s="1" t="s">
        <v>3257</v>
      </c>
      <c r="E882" s="2" t="str">
        <f>IFERROR(__xludf.DUMMYFUNCTION("GOOGLETRANSLATE(C882, ""en"", ""th"")"),"Paul di Resta อยู่ในการแข่งขันหมายเลข 853 เขาจบการแข่งขันในการแข่งขันครั้งที่ 853 ได้เร็วกว่ากี่เปอร์เซ็นต์เมื่อเทียบกับการแข่งขันครั้งถัดไปเพื่อให้ได้ความเร็วรอบที่เร็วที่สุด?")</f>
        <v>Paul di Resta อยู่ในการแข่งขันหมายเลข 853 เขาจบการแข่งขันในการแข่งขันครั้งที่ 853 ได้เร็วกว่ากี่เปอร์เซ็นต์เมื่อเทียบกับการแข่งขันครั้งถัดไปเพื่อให้ได้ความเร็วรอบที่เร็วที่สุด?</v>
      </c>
      <c r="F882" s="1" t="s">
        <v>3258</v>
      </c>
      <c r="G882" s="1" t="s">
        <v>3259</v>
      </c>
      <c r="H882" s="1" t="s">
        <v>101</v>
      </c>
    </row>
    <row r="883">
      <c r="A883" s="1">
        <v>881.0</v>
      </c>
      <c r="B883" s="1" t="s">
        <v>3135</v>
      </c>
      <c r="C883" s="1" t="s">
        <v>3260</v>
      </c>
      <c r="D883" s="1" t="s">
        <v>3261</v>
      </c>
      <c r="E883" s="2" t="str">
        <f>IFERROR(__xludf.DUMMYFUNCTION("GOOGLETRANSLATE(C883, ""en"", ""th"")"),"สำหรับนักแข่งที่เข้าร่วมการแข่งขันในปี 1983/7/59 อัตราการสำเร็จการแข่งขันของพวกเขาคือเท่าใด")</f>
        <v>สำหรับนักแข่งที่เข้าร่วมการแข่งขันในปี 1983/7/59 อัตราการสำเร็จการแข่งขันของพวกเขาคือเท่าใด</v>
      </c>
      <c r="F883" s="1" t="s">
        <v>3262</v>
      </c>
      <c r="G883" s="1" t="s">
        <v>3263</v>
      </c>
      <c r="H883" s="1" t="s">
        <v>18</v>
      </c>
    </row>
    <row r="884">
      <c r="A884" s="1">
        <v>882.0</v>
      </c>
      <c r="B884" s="1" t="s">
        <v>3135</v>
      </c>
      <c r="C884" s="1" t="s">
        <v>3264</v>
      </c>
      <c r="D884" s="1" t="s">
        <v>3265</v>
      </c>
      <c r="E884" s="2" t="str">
        <f>IFERROR(__xludf.DUMMYFUNCTION("GOOGLETRANSLATE(C884, ""en"", ""th"")"),"Singapore Grand Prix ครั้งแรกคือปีไหน?")</f>
        <v>Singapore Grand Prix ครั้งแรกคือปีไหน?</v>
      </c>
      <c r="F884" s="1" t="s">
        <v>3266</v>
      </c>
      <c r="G884" s="1" t="s">
        <v>3267</v>
      </c>
      <c r="H884" s="1" t="s">
        <v>13</v>
      </c>
    </row>
    <row r="885">
      <c r="A885" s="1">
        <v>883.0</v>
      </c>
      <c r="B885" s="1" t="s">
        <v>3135</v>
      </c>
      <c r="C885" s="1" t="s">
        <v>3268</v>
      </c>
      <c r="E885" s="2" t="str">
        <f>IFERROR(__xludf.DUMMYFUNCTION("GOOGLETRANSLATE(C885, ""en"", ""th"")"),"ในปี 2548 มีการแข่งขันทั้งหมดกี่รายการ? ตั้งชื่อเผ่าพันธุ์ทั้งหมดตามลำดับจากมากไปน้อย")</f>
        <v>ในปี 2548 มีการแข่งขันทั้งหมดกี่รายการ? ตั้งชื่อเผ่าพันธุ์ทั้งหมดตามลำดับจากมากไปน้อย</v>
      </c>
      <c r="G885" s="1" t="s">
        <v>3269</v>
      </c>
      <c r="H885" s="1" t="s">
        <v>13</v>
      </c>
    </row>
    <row r="886">
      <c r="A886" s="1">
        <v>884.0</v>
      </c>
      <c r="B886" s="1" t="s">
        <v>3135</v>
      </c>
      <c r="C886" s="1" t="s">
        <v>3270</v>
      </c>
      <c r="D886" s="1" t="s">
        <v>3271</v>
      </c>
      <c r="E886" s="2" t="str">
        <f>IFERROR(__xludf.DUMMYFUNCTION("GOOGLETRANSLATE(C886, ""en"", ""th"")"),"รายชื่อการแข่งขันทั้งหมดที่เกิดขึ้นในปีและเดือนแรกสุดที่บันทึกไว้")</f>
        <v>รายชื่อการแข่งขันทั้งหมดที่เกิดขึ้นในปีและเดือนแรกสุดที่บันทึกไว้</v>
      </c>
      <c r="F886" s="1" t="s">
        <v>3272</v>
      </c>
      <c r="G886" s="1" t="s">
        <v>3273</v>
      </c>
      <c r="H886" s="1" t="s">
        <v>18</v>
      </c>
    </row>
    <row r="887">
      <c r="A887" s="1">
        <v>885.0</v>
      </c>
      <c r="B887" s="1" t="s">
        <v>3135</v>
      </c>
      <c r="C887" s="1" t="s">
        <v>3274</v>
      </c>
      <c r="D887" s="1" t="s">
        <v>3275</v>
      </c>
      <c r="E887" s="2" t="str">
        <f>IFERROR(__xludf.DUMMYFUNCTION("GOOGLETRANSLATE(C887, ""en"", ""th"")"),"ระบุชื่อและวันที่จัดการแข่งขันรอบสุดท้ายในปี 2542")</f>
        <v>ระบุชื่อและวันที่จัดการแข่งขันรอบสุดท้ายในปี 2542</v>
      </c>
      <c r="F887" s="1" t="s">
        <v>3276</v>
      </c>
      <c r="G887" s="1" t="s">
        <v>3277</v>
      </c>
      <c r="H887" s="1" t="s">
        <v>13</v>
      </c>
    </row>
    <row r="888">
      <c r="A888" s="1">
        <v>886.0</v>
      </c>
      <c r="B888" s="1" t="s">
        <v>3135</v>
      </c>
      <c r="C888" s="1" t="s">
        <v>3278</v>
      </c>
      <c r="D888" s="1" t="s">
        <v>3279</v>
      </c>
      <c r="E888" s="2" t="str">
        <f>IFERROR(__xludf.DUMMYFUNCTION("GOOGLETRANSLATE(C888, ""en"", ""th"")"),"ปีใดมีจำนวนการแข่งขันมากที่สุด?")</f>
        <v>ปีใดมีจำนวนการแข่งขันมากที่สุด?</v>
      </c>
      <c r="F888" s="1" t="s">
        <v>3280</v>
      </c>
      <c r="G888" s="1" t="s">
        <v>3281</v>
      </c>
      <c r="H888" s="1" t="s">
        <v>13</v>
      </c>
    </row>
    <row r="889">
      <c r="A889" s="1">
        <v>887.0</v>
      </c>
      <c r="B889" s="1" t="s">
        <v>3135</v>
      </c>
      <c r="C889" s="1" t="s">
        <v>3282</v>
      </c>
      <c r="D889" s="1" t="s">
        <v>3283</v>
      </c>
      <c r="E889" s="2" t="str">
        <f>IFERROR(__xludf.DUMMYFUNCTION("GOOGLETRANSLATE(C889, ""en"", ""th"")"),"ตั้งชื่อการแข่งขันในปี 2017 ที่ไม่ได้เป็นเจ้าภาพในปี 2000")</f>
        <v>ตั้งชื่อการแข่งขันในปี 2017 ที่ไม่ได้เป็นเจ้าภาพในปี 2000</v>
      </c>
      <c r="F889" s="1" t="s">
        <v>3284</v>
      </c>
      <c r="G889" s="1" t="s">
        <v>3285</v>
      </c>
      <c r="H889" s="1" t="s">
        <v>13</v>
      </c>
    </row>
    <row r="890">
      <c r="A890" s="1">
        <v>888.0</v>
      </c>
      <c r="B890" s="1" t="s">
        <v>3135</v>
      </c>
      <c r="C890" s="1" t="s">
        <v>3286</v>
      </c>
      <c r="D890" s="1" t="s">
        <v>3287</v>
      </c>
      <c r="E890" s="2" t="str">
        <f>IFERROR(__xludf.DUMMYFUNCTION("GOOGLETRANSLATE(C890, ""en"", ""th"")"),"European Grand Prix ครั้งแรกจัดขึ้นในประเทศใด? ตั้งชื่อวงจรและตำแหน่ง")</f>
        <v>European Grand Prix ครั้งแรกจัดขึ้นในประเทศใด? ตั้งชื่อวงจรและตำแหน่ง</v>
      </c>
      <c r="F890" s="1" t="s">
        <v>3288</v>
      </c>
      <c r="G890" s="1" t="s">
        <v>3289</v>
      </c>
      <c r="H890" s="1" t="s">
        <v>13</v>
      </c>
    </row>
    <row r="891">
      <c r="A891" s="1">
        <v>889.0</v>
      </c>
      <c r="B891" s="1" t="s">
        <v>3135</v>
      </c>
      <c r="C891" s="1" t="s">
        <v>3290</v>
      </c>
      <c r="D891" s="1" t="s">
        <v>3291</v>
      </c>
      <c r="E891" s="2" t="str">
        <f>IFERROR(__xludf.DUMMYFUNCTION("GOOGLETRANSLATE(C891, ""en"", ""th"")"),"ฤดูกาล F1 สุดท้ายที่ Brands Hatch เป็นเจ้าภาพจัดการแข่งขัน British Grand Prix คือเมื่อใด")</f>
        <v>ฤดูกาล F1 สุดท้ายที่ Brands Hatch เป็นเจ้าภาพจัดการแข่งขัน British Grand Prix คือเมื่อใด</v>
      </c>
      <c r="F891" s="1" t="s">
        <v>3292</v>
      </c>
      <c r="G891" s="1" t="s">
        <v>3293</v>
      </c>
      <c r="H891" s="1" t="s">
        <v>13</v>
      </c>
    </row>
    <row r="892">
      <c r="A892" s="1">
        <v>890.0</v>
      </c>
      <c r="B892" s="1" t="s">
        <v>3135</v>
      </c>
      <c r="C892" s="1" t="s">
        <v>3294</v>
      </c>
      <c r="D892" s="1" t="s">
        <v>3295</v>
      </c>
      <c r="E892" s="2" t="str">
        <f>IFERROR(__xludf.DUMMYFUNCTION("GOOGLETRANSLATE(C892, ""en"", ""th"")"),"สนามแข่งรถ Silverstone Circuit เป็นเจ้าภาพจัดการแข่งขัน United Kindom Grand Prix กี่ฤดูกาล?")</f>
        <v>สนามแข่งรถ Silverstone Circuit เป็นเจ้าภาพจัดการแข่งขัน United Kindom Grand Prix กี่ฤดูกาล?</v>
      </c>
      <c r="F892" s="1" t="s">
        <v>3296</v>
      </c>
      <c r="G892" s="1" t="s">
        <v>3297</v>
      </c>
      <c r="H892" s="1" t="s">
        <v>13</v>
      </c>
    </row>
    <row r="893">
      <c r="A893" s="1">
        <v>891.0</v>
      </c>
      <c r="B893" s="1" t="s">
        <v>3135</v>
      </c>
      <c r="C893" s="1" t="s">
        <v>3298</v>
      </c>
      <c r="E893" s="2" t="str">
        <f>IFERROR(__xludf.DUMMYFUNCTION("GOOGLETRANSLATE(C893, ""en"", ""th"")"),"ตั้งชื่อนักแข่งทุกคนในรายการ Singapore Grand Prix ปี 2010 ตามจุดยืนของพวกเขา")</f>
        <v>ตั้งชื่อนักแข่งทุกคนในรายการ Singapore Grand Prix ปี 2010 ตามจุดยืนของพวกเขา</v>
      </c>
      <c r="G893" s="1" t="s">
        <v>3299</v>
      </c>
      <c r="H893" s="1" t="s">
        <v>13</v>
      </c>
    </row>
    <row r="894">
      <c r="A894" s="1">
        <v>892.0</v>
      </c>
      <c r="B894" s="1" t="s">
        <v>3135</v>
      </c>
      <c r="C894" s="1" t="s">
        <v>3300</v>
      </c>
      <c r="D894" s="1" t="s">
        <v>3301</v>
      </c>
      <c r="E894" s="2" t="str">
        <f>IFERROR(__xludf.DUMMYFUNCTION("GOOGLETRANSLATE(C894, ""en"", ""th"")"),"ระบุผู้ขับขี่ที่มีคะแนนมากที่สุด ค้นหาชื่อเต็มของเขาด้วยคะแนนนั้น")</f>
        <v>ระบุผู้ขับขี่ที่มีคะแนนมากที่สุด ค้นหาชื่อเต็มของเขาด้วยคะแนนนั้น</v>
      </c>
      <c r="F894" s="1" t="s">
        <v>3302</v>
      </c>
      <c r="G894" s="1" t="s">
        <v>3303</v>
      </c>
      <c r="H894" s="1" t="s">
        <v>18</v>
      </c>
    </row>
    <row r="895">
      <c r="A895" s="1">
        <v>893.0</v>
      </c>
      <c r="B895" s="1" t="s">
        <v>3135</v>
      </c>
      <c r="C895" s="1" t="s">
        <v>3304</v>
      </c>
      <c r="E895" s="2" t="str">
        <f>IFERROR(__xludf.DUMMYFUNCTION("GOOGLETRANSLATE(C895, ""en"", ""th"")"),"ตั้งชื่อนักแข่ง 3 อันดับแรกและคะแนนที่พวกเขาทำได้ใน Chinese Grand Prix ปี 2017")</f>
        <v>ตั้งชื่อนักแข่ง 3 อันดับแรกและคะแนนที่พวกเขาทำได้ใน Chinese Grand Prix ปี 2017</v>
      </c>
      <c r="G895" s="1" t="s">
        <v>3305</v>
      </c>
      <c r="H895" s="1" t="s">
        <v>13</v>
      </c>
    </row>
    <row r="896">
      <c r="A896" s="1">
        <v>894.0</v>
      </c>
      <c r="B896" s="1" t="s">
        <v>3135</v>
      </c>
      <c r="C896" s="1" t="s">
        <v>3306</v>
      </c>
      <c r="D896" s="1" t="s">
        <v>3307</v>
      </c>
      <c r="E896" s="2" t="str">
        <f>IFERROR(__xludf.DUMMYFUNCTION("GOOGLETRANSLATE(C896, ""en"", ""th"")"),"เวลารอบที่ดีที่สุดที่บันทึกไว้คืออะไร? รายชื่อนักแข่งและการแข่งขันพร้อมเวลารอบที่บันทึกไว้ดังกล่าว")</f>
        <v>เวลารอบที่ดีที่สุดที่บันทึกไว้คืออะไร? รายชื่อนักแข่งและการแข่งขันพร้อมเวลารอบที่บันทึกไว้ดังกล่าว</v>
      </c>
      <c r="F896" s="1" t="s">
        <v>3308</v>
      </c>
      <c r="G896" s="1" t="s">
        <v>3309</v>
      </c>
      <c r="H896" s="1" t="s">
        <v>18</v>
      </c>
    </row>
    <row r="897">
      <c r="A897" s="1">
        <v>895.0</v>
      </c>
      <c r="B897" s="1" t="s">
        <v>3135</v>
      </c>
      <c r="C897" s="1" t="s">
        <v>3310</v>
      </c>
      <c r="D897" s="1" t="s">
        <v>3311</v>
      </c>
      <c r="E897" s="2" t="str">
        <f>IFERROR(__xludf.DUMMYFUNCTION("GOOGLETRANSLATE(C897, ""en"", ""th"")"),"เวลารอบเฉลี่ยของ Lewis Hamilton ในปี 2009 Malaysian Grand Prix คือเท่าใด")</f>
        <v>เวลารอบเฉลี่ยของ Lewis Hamilton ในปี 2009 Malaysian Grand Prix คือเท่าใด</v>
      </c>
      <c r="F897" s="1" t="s">
        <v>3312</v>
      </c>
      <c r="G897" s="1" t="s">
        <v>3313</v>
      </c>
      <c r="H897" s="1" t="s">
        <v>18</v>
      </c>
    </row>
    <row r="898">
      <c r="A898" s="1">
        <v>896.0</v>
      </c>
      <c r="B898" s="1" t="s">
        <v>3135</v>
      </c>
      <c r="C898" s="1" t="s">
        <v>3314</v>
      </c>
      <c r="D898" s="1" t="s">
        <v>3315</v>
      </c>
      <c r="E898" s="2" t="str">
        <f>IFERROR(__xludf.DUMMYFUNCTION("GOOGLETRANSLATE(C898, ""en"", ""th"")"),"คำนวณเปอร์เซ็นต์ที่แฮมิลตันไม่ได้อยู่ที่สนามแรกของสนามแข่ง f1 ตั้งแต่ปี 2010")</f>
        <v>คำนวณเปอร์เซ็นต์ที่แฮมิลตันไม่ได้อยู่ที่สนามแรกของสนามแข่ง f1 ตั้งแต่ปี 2010</v>
      </c>
      <c r="F898" s="1" t="s">
        <v>3316</v>
      </c>
      <c r="G898" s="1" t="s">
        <v>3317</v>
      </c>
      <c r="H898" s="1" t="s">
        <v>101</v>
      </c>
    </row>
    <row r="899">
      <c r="A899" s="1">
        <v>897.0</v>
      </c>
      <c r="B899" s="1" t="s">
        <v>3135</v>
      </c>
      <c r="C899" s="1" t="s">
        <v>3318</v>
      </c>
      <c r="D899" s="1" t="s">
        <v>3319</v>
      </c>
      <c r="E899" s="2" t="str">
        <f>IFERROR(__xludf.DUMMYFUNCTION("GOOGLETRANSLATE(C899, ""en"", ""th"")"),"ตั้งชื่อนักแข่งที่ชนะมากที่สุด ระบุสัญชาติของเขาและคะแนนสูงสุดของเขาคือเท่าใด")</f>
        <v>ตั้งชื่อนักแข่งที่ชนะมากที่สุด ระบุสัญชาติของเขาและคะแนนสูงสุดของเขาคือเท่าใด</v>
      </c>
      <c r="F899" s="1" t="s">
        <v>3320</v>
      </c>
      <c r="G899" s="1" t="s">
        <v>3321</v>
      </c>
      <c r="H899" s="1" t="s">
        <v>18</v>
      </c>
    </row>
    <row r="900">
      <c r="A900" s="1">
        <v>898.0</v>
      </c>
      <c r="B900" s="1" t="s">
        <v>3135</v>
      </c>
      <c r="C900" s="1" t="s">
        <v>3322</v>
      </c>
      <c r="D900" s="1" t="s">
        <v>3323</v>
      </c>
      <c r="E900" s="2" t="str">
        <f>IFERROR(__xludf.DUMMYFUNCTION("GOOGLETRANSLATE(C900, ""en"", ""th"")"),"นักแข่งชาวญี่ปุ่นอายุน้อยที่สุดอายุเท่าไหร่? เขาชื่ออะไร?")</f>
        <v>นักแข่งชาวญี่ปุ่นอายุน้อยที่สุดอายุเท่าไหร่? เขาชื่ออะไร?</v>
      </c>
      <c r="F900" s="1" t="s">
        <v>3324</v>
      </c>
      <c r="G900" s="1" t="s">
        <v>3325</v>
      </c>
      <c r="H900" s="1" t="s">
        <v>13</v>
      </c>
    </row>
    <row r="901">
      <c r="A901" s="1">
        <v>899.0</v>
      </c>
      <c r="B901" s="1" t="s">
        <v>3135</v>
      </c>
      <c r="C901" s="1" t="s">
        <v>3326</v>
      </c>
      <c r="D901" s="1" t="s">
        <v>3327</v>
      </c>
      <c r="E901" s="2" t="str">
        <f>IFERROR(__xludf.DUMMYFUNCTION("GOOGLETRANSLATE(C901, ""en"", ""th"")"),"รายชื่อวงจรที่จัดการแข่งขัน F1 4 รายการตั้งแต่ปี 1990 ถึง 2000")</f>
        <v>รายชื่อวงจรที่จัดการแข่งขัน F1 4 รายการตั้งแต่ปี 1990 ถึง 2000</v>
      </c>
      <c r="F901" s="1" t="s">
        <v>3328</v>
      </c>
      <c r="G901" s="1" t="s">
        <v>3329</v>
      </c>
      <c r="H901" s="1" t="s">
        <v>18</v>
      </c>
    </row>
    <row r="902">
      <c r="A902" s="1">
        <v>900.0</v>
      </c>
      <c r="B902" s="1" t="s">
        <v>3135</v>
      </c>
      <c r="C902" s="1" t="s">
        <v>3330</v>
      </c>
      <c r="E902" s="2" t="str">
        <f>IFERROR(__xludf.DUMMYFUNCTION("GOOGLETRANSLATE(C902, ""en"", ""th"")"),"รายชื่อสนามแข่งในสหรัฐอเมริกาซึ่งเป็นเจ้าภาพการแข่งขัน F1 ในปี 2549 ระบุชื่อและที่ตั้งของสนามแข่ง และชื่อของการแข่งขันที่เป็นเจ้าภาพ")</f>
        <v>รายชื่อสนามแข่งในสหรัฐอเมริกาซึ่งเป็นเจ้าภาพการแข่งขัน F1 ในปี 2549 ระบุชื่อและที่ตั้งของสนามแข่ง และชื่อของการแข่งขันที่เป็นเจ้าภาพ</v>
      </c>
      <c r="G902" s="1" t="s">
        <v>3331</v>
      </c>
      <c r="H902" s="1" t="s">
        <v>13</v>
      </c>
    </row>
    <row r="903">
      <c r="A903" s="1">
        <v>901.0</v>
      </c>
      <c r="B903" s="1" t="s">
        <v>3135</v>
      </c>
      <c r="C903" s="1" t="s">
        <v>3332</v>
      </c>
      <c r="D903" s="1" t="s">
        <v>3333</v>
      </c>
      <c r="E903" s="2" t="str">
        <f>IFERROR(__xludf.DUMMYFUNCTION("GOOGLETRANSLATE(C903, ""en"", ""th"")"),"ตั้งชื่อการแข่งขันพร้อมกับชื่อสนามและสถานที่สำหรับการแข่งขัน F1 ที่จัดขึ้นในเดือนกันยายน พ.ศ. 2548")</f>
        <v>ตั้งชื่อการแข่งขันพร้อมกับชื่อสนามและสถานที่สำหรับการแข่งขัน F1 ที่จัดขึ้นในเดือนกันยายน พ.ศ. 2548</v>
      </c>
      <c r="F903" s="1" t="s">
        <v>3334</v>
      </c>
      <c r="G903" s="1" t="s">
        <v>3335</v>
      </c>
      <c r="H903" s="1" t="s">
        <v>13</v>
      </c>
    </row>
    <row r="904">
      <c r="A904" s="1">
        <v>902.0</v>
      </c>
      <c r="B904" s="1" t="s">
        <v>3135</v>
      </c>
      <c r="C904" s="1" t="s">
        <v>3336</v>
      </c>
      <c r="D904" s="1" t="s">
        <v>3337</v>
      </c>
      <c r="E904" s="2" t="str">
        <f>IFERROR(__xludf.DUMMYFUNCTION("GOOGLETRANSLATE(C904, ""en"", ""th"")"),"Alex Yoong อยู่ในการแข่งขันใดเมื่อเขาอยู่ในหมายเลขแทร็กน้อยกว่า 20")</f>
        <v>Alex Yoong อยู่ในการแข่งขันใดเมื่อเขาอยู่ในหมายเลขแทร็กน้อยกว่า 20</v>
      </c>
      <c r="F904" s="1" t="s">
        <v>3338</v>
      </c>
      <c r="G904" s="1" t="s">
        <v>3339</v>
      </c>
      <c r="H904" s="1" t="s">
        <v>13</v>
      </c>
    </row>
    <row r="905">
      <c r="A905" s="1">
        <v>903.0</v>
      </c>
      <c r="B905" s="1" t="s">
        <v>3135</v>
      </c>
      <c r="C905" s="1" t="s">
        <v>3340</v>
      </c>
      <c r="D905" s="1" t="s">
        <v>3341</v>
      </c>
      <c r="E905" s="2" t="str">
        <f>IFERROR(__xludf.DUMMYFUNCTION("GOOGLETRANSLATE(C905, ""en"", ""th"")"),"Michael Schumacher ชนะการแข่งขันที่สนาม Sepang International Circuit กี่ครั้ง?")</f>
        <v>Michael Schumacher ชนะการแข่งขันที่สนาม Sepang International Circuit กี่ครั้ง?</v>
      </c>
      <c r="F905" s="1" t="s">
        <v>3342</v>
      </c>
      <c r="G905" s="1" t="s">
        <v>3343</v>
      </c>
      <c r="H905" s="1" t="s">
        <v>18</v>
      </c>
    </row>
    <row r="906">
      <c r="A906" s="1">
        <v>904.0</v>
      </c>
      <c r="B906" s="1" t="s">
        <v>3135</v>
      </c>
      <c r="C906" s="1" t="s">
        <v>3344</v>
      </c>
      <c r="D906" s="1" t="s">
        <v>3345</v>
      </c>
      <c r="E906" s="2" t="str">
        <f>IFERROR(__xludf.DUMMYFUNCTION("GOOGLETRANSLATE(C906, ""en"", ""th"")"),"ระบุการแข่งขันและปีการแข่งขันที่ Michael Schumacher ทำรอบได้เร็วที่สุด")</f>
        <v>ระบุการแข่งขันและปีการแข่งขันที่ Michael Schumacher ทำรอบได้เร็วที่สุด</v>
      </c>
      <c r="F906" s="1" t="s">
        <v>3346</v>
      </c>
      <c r="G906" s="1" t="s">
        <v>3347</v>
      </c>
      <c r="H906" s="1" t="s">
        <v>18</v>
      </c>
    </row>
    <row r="907">
      <c r="A907" s="1">
        <v>905.0</v>
      </c>
      <c r="B907" s="1" t="s">
        <v>3135</v>
      </c>
      <c r="C907" s="1" t="s">
        <v>3348</v>
      </c>
      <c r="D907" s="1" t="s">
        <v>3349</v>
      </c>
      <c r="E907" s="2" t="str">
        <f>IFERROR(__xludf.DUMMYFUNCTION("GOOGLETRANSLATE(C907, ""en"", ""th"")"),"คะแนนเฉลี่ยของ Eddie Irvine ในปี 2000 เป็นเท่าใด")</f>
        <v>คะแนนเฉลี่ยของ Eddie Irvine ในปี 2000 เป็นเท่าใด</v>
      </c>
      <c r="F907" s="1" t="s">
        <v>3350</v>
      </c>
      <c r="G907" s="1" t="s">
        <v>3351</v>
      </c>
      <c r="H907" s="1" t="s">
        <v>13</v>
      </c>
    </row>
    <row r="908">
      <c r="A908" s="1">
        <v>906.0</v>
      </c>
      <c r="B908" s="1" t="s">
        <v>3135</v>
      </c>
      <c r="C908" s="1" t="s">
        <v>3352</v>
      </c>
      <c r="D908" s="1" t="s">
        <v>3353</v>
      </c>
      <c r="E908" s="2" t="str">
        <f>IFERROR(__xludf.DUMMYFUNCTION("GOOGLETRANSLATE(C908, ""en"", ""th"")"),"การแข่งขันครั้งแรกของ Lewis Hamilton คืออะไร คะแนนของเขาบันทึกไว้สำหรับการแข่งขันครั้งแรกของเขาคืออะไร?")</f>
        <v>การแข่งขันครั้งแรกของ Lewis Hamilton คืออะไร คะแนนของเขาบันทึกไว้สำหรับการแข่งขันครั้งแรกของเขาคืออะไร?</v>
      </c>
      <c r="F908" s="1" t="s">
        <v>3354</v>
      </c>
      <c r="G908" s="1" t="s">
        <v>3355</v>
      </c>
      <c r="H908" s="1" t="s">
        <v>18</v>
      </c>
    </row>
    <row r="909">
      <c r="A909" s="1">
        <v>907.0</v>
      </c>
      <c r="B909" s="1" t="s">
        <v>3135</v>
      </c>
      <c r="C909" s="1" t="s">
        <v>3356</v>
      </c>
      <c r="E909" s="2" t="str">
        <f>IFERROR(__xludf.DUMMYFUNCTION("GOOGLETRANSLATE(C909, ""en"", ""th"")"),"รายชื่อการแข่งขันทั้งหมดในปี 2017 และลำดับประเทศเจ้าภาพตามวันที่จัดการแข่งขัน")</f>
        <v>รายชื่อการแข่งขันทั้งหมดในปี 2017 และลำดับประเทศเจ้าภาพตามวันที่จัดการแข่งขัน</v>
      </c>
      <c r="G909" s="1" t="s">
        <v>3357</v>
      </c>
      <c r="H909" s="1" t="s">
        <v>13</v>
      </c>
    </row>
    <row r="910">
      <c r="A910" s="1">
        <v>908.0</v>
      </c>
      <c r="B910" s="1" t="s">
        <v>3135</v>
      </c>
      <c r="C910" s="1" t="s">
        <v>3358</v>
      </c>
      <c r="E910" s="2" t="str">
        <f>IFERROR(__xludf.DUMMYFUNCTION("GOOGLETRANSLATE(C910, ""en"", ""th"")"),"การแข่งขัน F1 มีรอบมากที่สุดคือเท่าไร? ตั้งชื่อการแข่งขัน ปี และสถานที่ในสนามที่จัดการแข่งขันที่มีรอบมากที่สุด")</f>
        <v>การแข่งขัน F1 มีรอบมากที่สุดคือเท่าไร? ตั้งชื่อการแข่งขัน ปี และสถานที่ในสนามที่จัดการแข่งขันที่มีรอบมากที่สุด</v>
      </c>
      <c r="G910" s="1" t="s">
        <v>3359</v>
      </c>
      <c r="H910" s="1" t="s">
        <v>13</v>
      </c>
    </row>
    <row r="911">
      <c r="A911" s="1">
        <v>909.0</v>
      </c>
      <c r="B911" s="1" t="s">
        <v>3135</v>
      </c>
      <c r="C911" s="1" t="s">
        <v>3360</v>
      </c>
      <c r="D911" s="1" t="s">
        <v>3361</v>
      </c>
      <c r="E911" s="2" t="str">
        <f>IFERROR(__xludf.DUMMYFUNCTION("GOOGLETRANSLATE(C911, ""en"", ""th"")"),"ในบรรดาการแข่งขัน European Grand Prix ทั้งหมด มีเปอร์เซ็นต์ของการแข่งขันที่จัดขึ้นในเยอรมนีเป็นเท่าใด")</f>
        <v>ในบรรดาการแข่งขัน European Grand Prix ทั้งหมด มีเปอร์เซ็นต์ของการแข่งขันที่จัดขึ้นในเยอรมนีเป็นเท่าใด</v>
      </c>
      <c r="F911" s="1" t="s">
        <v>3362</v>
      </c>
      <c r="G911" s="1" t="s">
        <v>3363</v>
      </c>
      <c r="H911" s="1" t="s">
        <v>18</v>
      </c>
    </row>
    <row r="912">
      <c r="A912" s="1">
        <v>910.0</v>
      </c>
      <c r="B912" s="1" t="s">
        <v>3135</v>
      </c>
      <c r="C912" s="1" t="s">
        <v>3364</v>
      </c>
      <c r="D912" s="1" t="s">
        <v>3365</v>
      </c>
      <c r="E912" s="2" t="str">
        <f>IFERROR(__xludf.DUMMYFUNCTION("GOOGLETRANSLATE(C912, ""en"", ""th"")"),"พิกัดของ Silverstone Circuit คืออะไร?")</f>
        <v>พิกัดของ Silverstone Circuit คืออะไร?</v>
      </c>
      <c r="F912" s="1" t="s">
        <v>3366</v>
      </c>
      <c r="G912" s="1" t="s">
        <v>3367</v>
      </c>
      <c r="H912" s="1" t="s">
        <v>13</v>
      </c>
    </row>
    <row r="913">
      <c r="A913" s="1">
        <v>911.0</v>
      </c>
      <c r="B913" s="1" t="s">
        <v>3135</v>
      </c>
      <c r="C913" s="1" t="s">
        <v>3368</v>
      </c>
      <c r="D913" s="1" t="s">
        <v>3369</v>
      </c>
      <c r="E913" s="2" t="str">
        <f>IFERROR(__xludf.DUMMYFUNCTION("GOOGLETRANSLATE(C913, ""en"", ""th"")"),"วงจรใดต่อไปนี้ตั้งอยู่ที่ละติจูดที่สูงกว่า Silverstone Circuit, Hockenheimring หรือ Hungaroring")</f>
        <v>วงจรใดต่อไปนี้ตั้งอยู่ที่ละติจูดที่สูงกว่า Silverstone Circuit, Hockenheimring หรือ Hungaroring</v>
      </c>
      <c r="F913" s="1" t="s">
        <v>3370</v>
      </c>
      <c r="G913" s="1" t="s">
        <v>3371</v>
      </c>
      <c r="H913" s="1" t="s">
        <v>13</v>
      </c>
    </row>
    <row r="914">
      <c r="A914" s="1">
        <v>912.0</v>
      </c>
      <c r="B914" s="1" t="s">
        <v>3135</v>
      </c>
      <c r="C914" s="1" t="s">
        <v>3372</v>
      </c>
      <c r="D914" s="1" t="s">
        <v>3373</v>
      </c>
      <c r="E914" s="2" t="str">
        <f>IFERROR(__xludf.DUMMYFUNCTION("GOOGLETRANSLATE(C914, ""en"", ""th"")"),"ชื่ออ้างอิงของ Marina Bay Street Circuit คืออะไร")</f>
        <v>ชื่ออ้างอิงของ Marina Bay Street Circuit คืออะไร</v>
      </c>
      <c r="F914" s="1" t="s">
        <v>3374</v>
      </c>
      <c r="G914" s="1" t="s">
        <v>3375</v>
      </c>
      <c r="H914" s="1" t="s">
        <v>13</v>
      </c>
    </row>
    <row r="915">
      <c r="A915" s="1">
        <v>913.0</v>
      </c>
      <c r="B915" s="1" t="s">
        <v>3135</v>
      </c>
      <c r="C915" s="1" t="s">
        <v>3376</v>
      </c>
      <c r="D915" s="1" t="s">
        <v>3377</v>
      </c>
      <c r="E915" s="2" t="str">
        <f>IFERROR(__xludf.DUMMYFUNCTION("GOOGLETRANSLATE(C915, ""en"", ""th"")"),"ฉันสามารถหาสนามแข่งที่มีระดับความสูงสูงสุดได้ในประเทศใด?")</f>
        <v>ฉันสามารถหาสนามแข่งที่มีระดับความสูงสูงสุดได้ในประเทศใด?</v>
      </c>
      <c r="F915" s="1" t="s">
        <v>3378</v>
      </c>
      <c r="G915" s="1" t="s">
        <v>3379</v>
      </c>
      <c r="H915" s="1" t="s">
        <v>13</v>
      </c>
    </row>
    <row r="916">
      <c r="A916" s="1">
        <v>914.0</v>
      </c>
      <c r="B916" s="1" t="s">
        <v>3135</v>
      </c>
      <c r="C916" s="1" t="s">
        <v>3380</v>
      </c>
      <c r="D916" s="1" t="s">
        <v>3381</v>
      </c>
      <c r="E916" s="2" t="str">
        <f>IFERROR(__xludf.DUMMYFUNCTION("GOOGLETRANSLATE(C916, ""en"", ""th"")"),"มีไดรเวอร์กี่ตัวที่ไม่มีรหัส?")</f>
        <v>มีไดรเวอร์กี่ตัวที่ไม่มีรหัส?</v>
      </c>
      <c r="F916" s="1" t="s">
        <v>3382</v>
      </c>
      <c r="G916" s="1" t="s">
        <v>3383</v>
      </c>
      <c r="H916" s="1" t="s">
        <v>13</v>
      </c>
    </row>
    <row r="917">
      <c r="A917" s="1">
        <v>915.0</v>
      </c>
      <c r="B917" s="1" t="s">
        <v>3135</v>
      </c>
      <c r="C917" s="1" t="s">
        <v>3384</v>
      </c>
      <c r="D917" s="1" t="s">
        <v>3385</v>
      </c>
      <c r="E917" s="2" t="str">
        <f>IFERROR(__xludf.DUMMYFUNCTION("GOOGLETRANSLATE(C917, ""en"", ""th"")"),"คนขับอายุมากที่สุดจากประเทศใด?")</f>
        <v>คนขับอายุมากที่สุดจากประเทศใด?</v>
      </c>
      <c r="F917" s="1" t="s">
        <v>3386</v>
      </c>
      <c r="G917" s="1" t="s">
        <v>3387</v>
      </c>
      <c r="H917" s="1" t="s">
        <v>13</v>
      </c>
    </row>
    <row r="918">
      <c r="A918" s="1">
        <v>916.0</v>
      </c>
      <c r="B918" s="1" t="s">
        <v>3135</v>
      </c>
      <c r="C918" s="1" t="s">
        <v>3388</v>
      </c>
      <c r="D918" s="1" t="s">
        <v>3389</v>
      </c>
      <c r="E918" s="2" t="str">
        <f>IFERROR(__xludf.DUMMYFUNCTION("GOOGLETRANSLATE(C918, ""en"", ""th"")"),"โปรดระบุนามสกุลของผู้ขับขี่ชาวอิตาลีทั้งหมด")</f>
        <v>โปรดระบุนามสกุลของผู้ขับขี่ชาวอิตาลีทั้งหมด</v>
      </c>
      <c r="F918" s="1" t="s">
        <v>3390</v>
      </c>
      <c r="G918" s="1" t="s">
        <v>3391</v>
      </c>
      <c r="H918" s="1" t="s">
        <v>13</v>
      </c>
    </row>
    <row r="919">
      <c r="A919" s="1">
        <v>917.0</v>
      </c>
      <c r="B919" s="1" t="s">
        <v>3135</v>
      </c>
      <c r="C919" s="1" t="s">
        <v>3392</v>
      </c>
      <c r="D919" s="1" t="s">
        <v>3393</v>
      </c>
      <c r="E919" s="2" t="str">
        <f>IFERROR(__xludf.DUMMYFUNCTION("GOOGLETRANSLATE(C919, ""en"", ""th"")"),"ฉันควรไปที่เว็บไซต์ใดหากต้องการทราบข้อมูลเพิ่มเติมเกี่ยวกับ Anthony Davidson")</f>
        <v>ฉันควรไปที่เว็บไซต์ใดหากต้องการทราบข้อมูลเพิ่มเติมเกี่ยวกับ Anthony Davidson</v>
      </c>
      <c r="F919" s="1" t="s">
        <v>3394</v>
      </c>
      <c r="G919" s="1" t="s">
        <v>3395</v>
      </c>
      <c r="H919" s="1" t="s">
        <v>13</v>
      </c>
    </row>
    <row r="920">
      <c r="A920" s="1">
        <v>918.0</v>
      </c>
      <c r="B920" s="1" t="s">
        <v>3135</v>
      </c>
      <c r="C920" s="1" t="s">
        <v>3396</v>
      </c>
      <c r="D920" s="1" t="s">
        <v>3397</v>
      </c>
      <c r="E920" s="2" t="str">
        <f>IFERROR(__xludf.DUMMYFUNCTION("GOOGLETRANSLATE(C920, ""en"", ""th"")"),"ชื่ออ้างอิงของ Lewis Hamilton คืออะไร")</f>
        <v>ชื่ออ้างอิงของ Lewis Hamilton คืออะไร</v>
      </c>
      <c r="F920" s="1" t="s">
        <v>3398</v>
      </c>
      <c r="G920" s="1" t="s">
        <v>3399</v>
      </c>
      <c r="H920" s="1" t="s">
        <v>13</v>
      </c>
    </row>
    <row r="921">
      <c r="A921" s="1">
        <v>919.0</v>
      </c>
      <c r="B921" s="1" t="s">
        <v>3135</v>
      </c>
      <c r="C921" s="1" t="s">
        <v>3400</v>
      </c>
      <c r="E921" s="2" t="str">
        <f>IFERROR(__xludf.DUMMYFUNCTION("GOOGLETRANSLATE(C921, ""en"", ""th"")"),"Spanish Grand Prix ปี 2009 ใช้สนามใด")</f>
        <v>Spanish Grand Prix ปี 2009 ใช้สนามใด</v>
      </c>
      <c r="G921" s="1" t="s">
        <v>3401</v>
      </c>
      <c r="H921" s="1" t="s">
        <v>13</v>
      </c>
    </row>
    <row r="922">
      <c r="A922" s="1">
        <v>920.0</v>
      </c>
      <c r="B922" s="1" t="s">
        <v>3135</v>
      </c>
      <c r="C922" s="1" t="s">
        <v>3402</v>
      </c>
      <c r="E922" s="2" t="str">
        <f>IFERROR(__xludf.DUMMYFUNCTION("GOOGLETRANSLATE(C922, ""en"", ""th"")"),"โปรดระบุปีทั้งหมดที่ใช้สนามแข่งรถ Silverstone Circuit ในการแข่งขัน Formula_1")</f>
        <v>โปรดระบุปีทั้งหมดที่ใช้สนามแข่งรถ Silverstone Circuit ในการแข่งขัน Formula_1</v>
      </c>
      <c r="G922" s="1" t="s">
        <v>3403</v>
      </c>
      <c r="H922" s="1" t="s">
        <v>13</v>
      </c>
    </row>
    <row r="923">
      <c r="A923" s="1">
        <v>921.0</v>
      </c>
      <c r="B923" s="1" t="s">
        <v>3135</v>
      </c>
      <c r="C923" s="1" t="s">
        <v>3404</v>
      </c>
      <c r="D923" s="1" t="s">
        <v>3405</v>
      </c>
      <c r="E923" s="2" t="str">
        <f>IFERROR(__xludf.DUMMYFUNCTION("GOOGLETRANSLATE(C923, ""en"", ""th"")"),"โปรดให้ข้อมูลเพิ่มเติมเกี่ยวกับการแข่งขัน Formula_1 ที่ใช้สนาม Silverstone Circuit")</f>
        <v>โปรดให้ข้อมูลเพิ่มเติมเกี่ยวกับการแข่งขัน Formula_1 ที่ใช้สนาม Silverstone Circuit</v>
      </c>
      <c r="F923" s="1" t="s">
        <v>3406</v>
      </c>
      <c r="G923" s="1" t="s">
        <v>3407</v>
      </c>
      <c r="H923" s="1" t="s">
        <v>13</v>
      </c>
    </row>
    <row r="924">
      <c r="A924" s="1">
        <v>922.0</v>
      </c>
      <c r="B924" s="1" t="s">
        <v>3135</v>
      </c>
      <c r="C924" s="1" t="s">
        <v>3408</v>
      </c>
      <c r="E924" s="2" t="str">
        <f>IFERROR(__xludf.DUMMYFUNCTION("GOOGLETRANSLATE(C924, ""en"", ""th"")"),"การแข่งขัน Formula_1 ประจำปี 2010 จัดขึ้นที่อาบูดาบีเซอร์กิตเมื่อใด")</f>
        <v>การแข่งขัน Formula_1 ประจำปี 2010 จัดขึ้นที่อาบูดาบีเซอร์กิตเมื่อใด</v>
      </c>
      <c r="G924" s="1" t="s">
        <v>3409</v>
      </c>
      <c r="H924" s="1" t="s">
        <v>13</v>
      </c>
    </row>
    <row r="925">
      <c r="A925" s="1">
        <v>923.0</v>
      </c>
      <c r="B925" s="1" t="s">
        <v>3135</v>
      </c>
      <c r="C925" s="1" t="s">
        <v>3410</v>
      </c>
      <c r="E925" s="2" t="str">
        <f>IFERROR(__xludf.DUMMYFUNCTION("GOOGLETRANSLATE(C925, ""en"", ""th"")"),"มีการแข่งขัน Formula_1 กี่ครั้งในสนามแข่งในอิตาลี")</f>
        <v>มีการแข่งขัน Formula_1 กี่ครั้งในสนามแข่งในอิตาลี</v>
      </c>
      <c r="G925" s="1" t="s">
        <v>3411</v>
      </c>
      <c r="H925" s="1" t="s">
        <v>13</v>
      </c>
    </row>
    <row r="926">
      <c r="A926" s="1">
        <v>924.0</v>
      </c>
      <c r="B926" s="1" t="s">
        <v>3135</v>
      </c>
      <c r="C926" s="1" t="s">
        <v>3412</v>
      </c>
      <c r="E926" s="2" t="str">
        <f>IFERROR(__xludf.DUMMYFUNCTION("GOOGLETRANSLATE(C926, ""en"", ""th"")"),"โปรดระบุวันที่ที่แน่นอนที่มีการแข่งขัน Formula_1 ในสนามบาร์เซโลนา-กาตาลุญญา")</f>
        <v>โปรดระบุวันที่ที่แน่นอนที่มีการแข่งขัน Formula_1 ในสนามบาร์เซโลนา-กาตาลุญญา</v>
      </c>
      <c r="G926" s="1" t="s">
        <v>3413</v>
      </c>
      <c r="H926" s="1" t="s">
        <v>13</v>
      </c>
    </row>
    <row r="927">
      <c r="A927" s="1">
        <v>925.0</v>
      </c>
      <c r="B927" s="1" t="s">
        <v>3135</v>
      </c>
      <c r="C927" s="1" t="s">
        <v>3414</v>
      </c>
      <c r="D927" s="1" t="s">
        <v>3415</v>
      </c>
      <c r="E927" s="2" t="str">
        <f>IFERROR(__xludf.DUMMYFUNCTION("GOOGLETRANSLATE(C927, ""en"", ""th"")"),"โปรดให้ลิงก์ของเว็บไซต์ที่แสดงข้อมูลเพิ่มเติมเกี่ยวกับสนามแข่ง Spanish Grand Prix ที่ใช้ในปี 2009")</f>
        <v>โปรดให้ลิงก์ของเว็บไซต์ที่แสดงข้อมูลเพิ่มเติมเกี่ยวกับสนามแข่ง Spanish Grand Prix ที่ใช้ในปี 2009</v>
      </c>
      <c r="F927" s="1" t="s">
        <v>3416</v>
      </c>
      <c r="G927" s="1" t="s">
        <v>3417</v>
      </c>
      <c r="H927" s="1" t="s">
        <v>13</v>
      </c>
    </row>
    <row r="928">
      <c r="A928" s="1">
        <v>926.0</v>
      </c>
      <c r="B928" s="1" t="s">
        <v>3135</v>
      </c>
      <c r="C928" s="1" t="s">
        <v>3418</v>
      </c>
      <c r="D928" s="1" t="s">
        <v>3419</v>
      </c>
      <c r="E928" s="2" t="str">
        <f>IFERROR(__xludf.DUMMYFUNCTION("GOOGLETRANSLATE(C928, ""en"", ""th"")"),"เวลารอบที่เร็วที่สุดในการแข่งขันของ Lewis Hamilton คืออะไร?")</f>
        <v>เวลารอบที่เร็วที่สุดในการแข่งขันของ Lewis Hamilton คืออะไร?</v>
      </c>
      <c r="F928" s="1" t="s">
        <v>3420</v>
      </c>
      <c r="G928" s="1" t="s">
        <v>3421</v>
      </c>
      <c r="H928" s="1" t="s">
        <v>13</v>
      </c>
    </row>
    <row r="929">
      <c r="A929" s="1">
        <v>927.0</v>
      </c>
      <c r="B929" s="1" t="s">
        <v>3135</v>
      </c>
      <c r="C929" s="1" t="s">
        <v>3422</v>
      </c>
      <c r="E929" s="2" t="str">
        <f>IFERROR(__xludf.DUMMYFUNCTION("GOOGLETRANSLATE(C929, ""en"", ""th"")"),"นักแข่งคนไหนที่สร้างความเร็วรอบได้เร็วที่สุดในการแข่งขัน Formula_1 กรุณาให้ทั้งชื่อและนามสกุลของเขา")</f>
        <v>นักแข่งคนไหนที่สร้างความเร็วรอบได้เร็วที่สุดในการแข่งขัน Formula_1 กรุณาให้ทั้งชื่อและนามสกุลของเขา</v>
      </c>
      <c r="G929" s="1" t="s">
        <v>3423</v>
      </c>
      <c r="H929" s="1" t="s">
        <v>13</v>
      </c>
    </row>
    <row r="930">
      <c r="A930" s="1">
        <v>928.0</v>
      </c>
      <c r="B930" s="1" t="s">
        <v>3135</v>
      </c>
      <c r="C930" s="1" t="s">
        <v>3424</v>
      </c>
      <c r="D930" s="1" t="s">
        <v>3425</v>
      </c>
      <c r="E930" s="2" t="str">
        <f>IFERROR(__xludf.DUMMYFUNCTION("GOOGLETRANSLATE(C930, ""en"", ""th"")"),"นักแข่งคนไหนเป็นอันดับหนึ่งในการแข่งขัน Canadian Grand Prix ในปี 2550 กรุณาระบุชื่ออ้างอิงของเขา")</f>
        <v>นักแข่งคนไหนเป็นอันดับหนึ่งในการแข่งขัน Canadian Grand Prix ในปี 2550 กรุณาระบุชื่ออ้างอิงของเขา</v>
      </c>
      <c r="F930" s="1" t="s">
        <v>3426</v>
      </c>
      <c r="G930" s="1" t="s">
        <v>3427</v>
      </c>
      <c r="H930" s="1" t="s">
        <v>18</v>
      </c>
    </row>
    <row r="931">
      <c r="A931" s="1">
        <v>929.0</v>
      </c>
      <c r="B931" s="1" t="s">
        <v>3135</v>
      </c>
      <c r="C931" s="1" t="s">
        <v>3428</v>
      </c>
      <c r="E931" s="2" t="str">
        <f>IFERROR(__xludf.DUMMYFUNCTION("GOOGLETRANSLATE(C931, ""en"", ""th"")"),"โปรดระบุการแข่งขัน Formula_1 ที่ Lewis Hamilton เข้าร่วม")</f>
        <v>โปรดระบุการแข่งขัน Formula_1 ที่ Lewis Hamilton เข้าร่วม</v>
      </c>
      <c r="G931" s="1" t="s">
        <v>3429</v>
      </c>
      <c r="H931" s="1" t="s">
        <v>13</v>
      </c>
    </row>
    <row r="932">
      <c r="A932" s="1">
        <v>930.0</v>
      </c>
      <c r="B932" s="1" t="s">
        <v>3135</v>
      </c>
      <c r="C932" s="1" t="s">
        <v>3430</v>
      </c>
      <c r="D932" s="1" t="s">
        <v>3431</v>
      </c>
      <c r="E932" s="2" t="str">
        <f>IFERROR(__xludf.DUMMYFUNCTION("GOOGLETRANSLATE(C932, ""en"", ""th"")"),"Lewis Hamilton มีอันดับสูงสุดในการแข่งขัน Formula_1 รายการใด")</f>
        <v>Lewis Hamilton มีอันดับสูงสุดในการแข่งขัน Formula_1 รายการใด</v>
      </c>
      <c r="F932" s="1" t="s">
        <v>3432</v>
      </c>
      <c r="G932" s="1" t="s">
        <v>3433</v>
      </c>
      <c r="H932" s="1" t="s">
        <v>13</v>
      </c>
    </row>
    <row r="933">
      <c r="A933" s="1">
        <v>931.0</v>
      </c>
      <c r="B933" s="1" t="s">
        <v>3135</v>
      </c>
      <c r="C933" s="1" t="s">
        <v>3434</v>
      </c>
      <c r="D933" s="1" t="s">
        <v>3435</v>
      </c>
      <c r="E933" s="2" t="str">
        <f>IFERROR(__xludf.DUMMYFUNCTION("GOOGLETRANSLATE(C933, ""en"", ""th"")"),"ความเร็วรอบที่เร็วที่สุดในบรรดานักแข่งทุกคนใน Spanish Grand Prix ปี 2009 คืออะไร?")</f>
        <v>ความเร็วรอบที่เร็วที่สุดในบรรดานักแข่งทุกคนใน Spanish Grand Prix ปี 2009 คืออะไร?</v>
      </c>
      <c r="F933" s="1" t="s">
        <v>3436</v>
      </c>
      <c r="G933" s="1" t="s">
        <v>3437</v>
      </c>
      <c r="H933" s="1" t="s">
        <v>18</v>
      </c>
    </row>
    <row r="934">
      <c r="A934" s="1">
        <v>932.0</v>
      </c>
      <c r="B934" s="1" t="s">
        <v>3135</v>
      </c>
      <c r="C934" s="1" t="s">
        <v>3438</v>
      </c>
      <c r="E934" s="2" t="str">
        <f>IFERROR(__xludf.DUMMYFUNCTION("GOOGLETRANSLATE(C934, ""en"", ""th"")"),"Lewis Hamilton เข้าร่วมการแข่งขัน Formula_1 ในปีใด")</f>
        <v>Lewis Hamilton เข้าร่วมการแข่งขัน Formula_1 ในปีใด</v>
      </c>
      <c r="G934" s="1" t="s">
        <v>3439</v>
      </c>
      <c r="H934" s="1" t="s">
        <v>13</v>
      </c>
    </row>
    <row r="935">
      <c r="A935" s="1">
        <v>933.0</v>
      </c>
      <c r="B935" s="1" t="s">
        <v>3135</v>
      </c>
      <c r="C935" s="1" t="s">
        <v>3440</v>
      </c>
      <c r="D935" s="1" t="s">
        <v>3441</v>
      </c>
      <c r="E935" s="2" t="str">
        <f>IFERROR(__xludf.DUMMYFUNCTION("GOOGLETRANSLATE(C935, ""en"", ""th"")"),"อันดับสุดท้ายของ Lewis Hamilton ใน Chinese Grand Prix ปี 2008 คืออะไร?")</f>
        <v>อันดับสุดท้ายของ Lewis Hamilton ใน Chinese Grand Prix ปี 2008 คืออะไร?</v>
      </c>
      <c r="F935" s="1" t="s">
        <v>3442</v>
      </c>
      <c r="G935" s="1" t="s">
        <v>3443</v>
      </c>
      <c r="H935" s="1" t="s">
        <v>18</v>
      </c>
    </row>
    <row r="936">
      <c r="A936" s="1">
        <v>934.0</v>
      </c>
      <c r="B936" s="1" t="s">
        <v>3135</v>
      </c>
      <c r="C936" s="1" t="s">
        <v>3444</v>
      </c>
      <c r="D936" s="1" t="s">
        <v>3445</v>
      </c>
      <c r="E936" s="2" t="str">
        <f>IFERROR(__xludf.DUMMYFUNCTION("GOOGLETRANSLATE(C936, ""en"", ""th"")"),"คนขับคนไหนอยู่ในหมายเลข รูปแบบ 4 ตารางเมื่อเริ่มการแข่งขันใน Australian Grand Prix ปี 1989? กรุณาแจ้งชื่อและนามสกุลของเขา")</f>
        <v>คนขับคนไหนอยู่ในหมายเลข รูปแบบ 4 ตารางเมื่อเริ่มการแข่งขันใน Australian Grand Prix ปี 1989? กรุณาแจ้งชื่อและนามสกุลของเขา</v>
      </c>
      <c r="F936" s="1" t="s">
        <v>3446</v>
      </c>
      <c r="G936" s="1" t="s">
        <v>3447</v>
      </c>
      <c r="H936" s="1" t="s">
        <v>18</v>
      </c>
    </row>
    <row r="937">
      <c r="A937" s="1">
        <v>935.0</v>
      </c>
      <c r="B937" s="1" t="s">
        <v>3135</v>
      </c>
      <c r="C937" s="1" t="s">
        <v>3448</v>
      </c>
      <c r="D937" s="1" t="s">
        <v>3449</v>
      </c>
      <c r="E937" s="2" t="str">
        <f>IFERROR(__xludf.DUMMYFUNCTION("GOOGLETRANSLATE(C937, ""en"", ""th"")"),"มีนักแข่งกี่คนที่สามารถเข้าเส้นชัยในการแข่งขัน Australian Grand Prix ปี 2008 ได้?")</f>
        <v>มีนักแข่งกี่คนที่สามารถเข้าเส้นชัยในการแข่งขัน Australian Grand Prix ปี 2008 ได้?</v>
      </c>
      <c r="F937" s="1" t="s">
        <v>3450</v>
      </c>
      <c r="G937" s="1" t="s">
        <v>3451</v>
      </c>
      <c r="H937" s="1" t="s">
        <v>13</v>
      </c>
    </row>
    <row r="938">
      <c r="A938" s="1">
        <v>936.0</v>
      </c>
      <c r="B938" s="1" t="s">
        <v>3135</v>
      </c>
      <c r="C938" s="1" t="s">
        <v>3452</v>
      </c>
      <c r="E938" s="2" t="str">
        <f>IFERROR(__xludf.DUMMYFUNCTION("GOOGLETRANSLATE(C938, ""en"", ""th"")"),"รอบใดที่เร็วที่สุดสำหรับ Lewis Hamilton ใน Australian Grand Prix ปี 2008")</f>
        <v>รอบใดที่เร็วที่สุดสำหรับ Lewis Hamilton ใน Australian Grand Prix ปี 2008</v>
      </c>
      <c r="G938" s="1" t="s">
        <v>3453</v>
      </c>
      <c r="H938" s="1" t="s">
        <v>13</v>
      </c>
    </row>
    <row r="939">
      <c r="A939" s="1">
        <v>937.0</v>
      </c>
      <c r="B939" s="1" t="s">
        <v>3135</v>
      </c>
      <c r="C939" s="1" t="s">
        <v>3454</v>
      </c>
      <c r="D939" s="1" t="s">
        <v>3455</v>
      </c>
      <c r="E939" s="2" t="str">
        <f>IFERROR(__xludf.DUMMYFUNCTION("GOOGLETRANSLATE(C939, ""en"", ""th"")"),"นักแข่งที่ได้อันดับสองในการแข่งขัน AustChineseralian Grand Prix ประจำปี 2008 มีเวลาเข้าเส้นชัยเมื่อใด")</f>
        <v>นักแข่งที่ได้อันดับสองในการแข่งขัน AustChineseralian Grand Prix ประจำปี 2008 มีเวลาเข้าเส้นชัยเมื่อใด</v>
      </c>
      <c r="F939" s="1" t="s">
        <v>3456</v>
      </c>
      <c r="G939" s="1" t="s">
        <v>3457</v>
      </c>
      <c r="H939" s="1" t="s">
        <v>13</v>
      </c>
    </row>
    <row r="940">
      <c r="A940" s="1">
        <v>938.0</v>
      </c>
      <c r="B940" s="1" t="s">
        <v>3135</v>
      </c>
      <c r="C940" s="1" t="s">
        <v>3458</v>
      </c>
      <c r="D940" s="1" t="s">
        <v>3459</v>
      </c>
      <c r="E940" s="2" t="str">
        <f>IFERROR(__xludf.DUMMYFUNCTION("GOOGLETRANSLATE(C940, ""en"", ""th"")"),"ใครคือแชมป์รายการ Australian Grand Prix ปี 2008 และฉันจะรู้ข้อมูลเพิ่มเติมเกี่ยวกับเขาได้จากที่ไหน")</f>
        <v>ใครคือแชมป์รายการ Australian Grand Prix ปี 2008 และฉันจะรู้ข้อมูลเพิ่มเติมเกี่ยวกับเขาได้จากที่ไหน</v>
      </c>
      <c r="F940" s="1" t="s">
        <v>3460</v>
      </c>
      <c r="G940" s="1" t="s">
        <v>3461</v>
      </c>
      <c r="H940" s="1" t="s">
        <v>18</v>
      </c>
    </row>
    <row r="941">
      <c r="A941" s="1">
        <v>939.0</v>
      </c>
      <c r="B941" s="1" t="s">
        <v>3135</v>
      </c>
      <c r="C941" s="1" t="s">
        <v>3462</v>
      </c>
      <c r="D941" s="1" t="s">
        <v>3463</v>
      </c>
      <c r="E941" s="2" t="str">
        <f>IFERROR(__xludf.DUMMYFUNCTION("GOOGLETRANSLATE(C941, ""en"", ""th"")"),"มีนักแข่งจาก UN เข้าร่วมการแข่งขัน Australian Grand Prix ปี 2008 กี่คน")</f>
        <v>มีนักแข่งจาก UN เข้าร่วมการแข่งขัน Australian Grand Prix ปี 2008 กี่คน</v>
      </c>
      <c r="F941" s="1" t="s">
        <v>3464</v>
      </c>
      <c r="G941" s="1" t="s">
        <v>3465</v>
      </c>
      <c r="H941" s="1" t="s">
        <v>18</v>
      </c>
    </row>
    <row r="942">
      <c r="A942" s="1">
        <v>940.0</v>
      </c>
      <c r="B942" s="1" t="s">
        <v>3135</v>
      </c>
      <c r="C942" s="1" t="s">
        <v>3466</v>
      </c>
      <c r="D942" s="1" t="s">
        <v>3467</v>
      </c>
      <c r="E942" s="2" t="str">
        <f>IFERROR(__xludf.DUMMYFUNCTION("GOOGLETRANSLATE(C942, ""en"", ""th"")"),"ในบรรดานักแข่งที่เข้าเส้นชัยในการแข่งขัน Chinese Grand Prix ปี 2008 มีกี่คนที่เข้าร่วมการแข่งขัน Formula_1")</f>
        <v>ในบรรดานักแข่งที่เข้าเส้นชัยในการแข่งขัน Chinese Grand Prix ปี 2008 มีกี่คนที่เข้าร่วมการแข่งขัน Formula_1</v>
      </c>
      <c r="F942" s="1" t="s">
        <v>3468</v>
      </c>
      <c r="G942" s="1" t="s">
        <v>3469</v>
      </c>
      <c r="H942" s="1" t="s">
        <v>18</v>
      </c>
    </row>
    <row r="943">
      <c r="A943" s="1">
        <v>941.0</v>
      </c>
      <c r="B943" s="1" t="s">
        <v>3135</v>
      </c>
      <c r="C943" s="1" t="s">
        <v>3470</v>
      </c>
      <c r="E943" s="2" t="str">
        <f>IFERROR(__xludf.DUMMYFUNCTION("GOOGLETRANSLATE(C943, ""en"", ""th"")"),"Lewis Hamilton ได้คะแนนรวมเท่าไรในการแข่งขัน Formula_1 ทั้งหมดที่เขาเข้าร่วม")</f>
        <v>Lewis Hamilton ได้คะแนนรวมเท่าไรในการแข่งขัน Formula_1 ทั้งหมดที่เขาเข้าร่วม</v>
      </c>
      <c r="G943" s="1" t="s">
        <v>3471</v>
      </c>
      <c r="H943" s="1" t="s">
        <v>13</v>
      </c>
    </row>
    <row r="944">
      <c r="A944" s="1">
        <v>942.0</v>
      </c>
      <c r="B944" s="1" t="s">
        <v>3135</v>
      </c>
      <c r="C944" s="1" t="s">
        <v>3472</v>
      </c>
      <c r="D944" s="1" t="s">
        <v>3473</v>
      </c>
      <c r="E944" s="2" t="str">
        <f>IFERROR(__xludf.DUMMYFUNCTION("GOOGLETRANSLATE(C944, ""en"", ""th"")"),"เวลาเฉลี่ยที่เร็วที่สุดในหน่วยวินาทีของ Lewis Hamilton ในการแข่งขัน Formula_1 ทั้งหมดคือเท่าใด")</f>
        <v>เวลาเฉลี่ยที่เร็วที่สุดในหน่วยวินาทีของ Lewis Hamilton ในการแข่งขัน Formula_1 ทั้งหมดคือเท่าใด</v>
      </c>
      <c r="F944" s="1" t="s">
        <v>3474</v>
      </c>
      <c r="G944" s="1" t="s">
        <v>3475</v>
      </c>
      <c r="H944" s="1" t="s">
        <v>18</v>
      </c>
    </row>
    <row r="945">
      <c r="A945" s="1">
        <v>943.0</v>
      </c>
      <c r="B945" s="1" t="s">
        <v>3135</v>
      </c>
      <c r="C945" s="1" t="s">
        <v>3476</v>
      </c>
      <c r="D945" s="1" t="s">
        <v>3477</v>
      </c>
      <c r="E945" s="2" t="str">
        <f>IFERROR(__xludf.DUMMYFUNCTION("GOOGLETRANSLATE(C945, ""en"", ""th"")"),"อัตราของนักแข่งที่เข้ารอบทั้งหมดใน Australian Grand Prix ปี 2008 เป็นเท่าใด")</f>
        <v>อัตราของนักแข่งที่เข้ารอบทั้งหมดใน Australian Grand Prix ปี 2008 เป็นเท่าใด</v>
      </c>
      <c r="F945" s="1" t="s">
        <v>3478</v>
      </c>
      <c r="G945" s="1" t="s">
        <v>3479</v>
      </c>
      <c r="H945" s="1" t="s">
        <v>18</v>
      </c>
    </row>
    <row r="946">
      <c r="A946" s="1">
        <v>944.0</v>
      </c>
      <c r="B946" s="1" t="s">
        <v>3135</v>
      </c>
      <c r="C946" s="1" t="s">
        <v>3480</v>
      </c>
      <c r="D946" s="1" t="s">
        <v>3481</v>
      </c>
      <c r="E946" s="2" t="str">
        <f>IFERROR(__xludf.DUMMYFUNCTION("GOOGLETRANSLATE(C946, ""en"", ""th"")"),"แชมป์จะเร็วกว่านักแข่งที่จบการแข่งขันครั้งสุดท้ายใน Australian Grand Prix ปี 2008 กี่เปอร์เซ็นต์?")</f>
        <v>แชมป์จะเร็วกว่านักแข่งที่จบการแข่งขันครั้งสุดท้ายใน Australian Grand Prix ปี 2008 กี่เปอร์เซ็นต์?</v>
      </c>
      <c r="F946" s="1" t="s">
        <v>3482</v>
      </c>
      <c r="G946" s="1" t="s">
        <v>3483</v>
      </c>
      <c r="H946" s="1" t="s">
        <v>101</v>
      </c>
    </row>
    <row r="947">
      <c r="A947" s="1">
        <v>945.0</v>
      </c>
      <c r="B947" s="1" t="s">
        <v>3135</v>
      </c>
      <c r="C947" s="1" t="s">
        <v>3484</v>
      </c>
      <c r="D947" s="1" t="s">
        <v>3485</v>
      </c>
      <c r="E947" s="2" t="str">
        <f>IFERROR(__xludf.DUMMYFUNCTION("GOOGLETRANSLATE(C947, ""en"", ""th"")"),"แอดิเลด ประเทศออสเตรเลียมีวงจรทั้งหมดกี่วงจร")</f>
        <v>แอดิเลด ประเทศออสเตรเลียมีวงจรทั้งหมดกี่วงจร</v>
      </c>
      <c r="F947" s="1" t="s">
        <v>3486</v>
      </c>
      <c r="G947" s="1" t="s">
        <v>3487</v>
      </c>
      <c r="H947" s="1" t="s">
        <v>13</v>
      </c>
    </row>
    <row r="948">
      <c r="A948" s="1">
        <v>946.0</v>
      </c>
      <c r="B948" s="1" t="s">
        <v>3135</v>
      </c>
      <c r="C948" s="1" t="s">
        <v>3488</v>
      </c>
      <c r="D948" s="1" t="s">
        <v>3489</v>
      </c>
      <c r="E948" s="2" t="str">
        <f>IFERROR(__xludf.DUMMYFUNCTION("GOOGLETRANSLATE(C948, ""en"", ""th"")"),"โปรดระบุพิกัดตำแหน่งของวงจรสหรัฐฯ")</f>
        <v>โปรดระบุพิกัดตำแหน่งของวงจรสหรัฐฯ</v>
      </c>
      <c r="F948" s="1" t="s">
        <v>3490</v>
      </c>
      <c r="G948" s="1" t="s">
        <v>3491</v>
      </c>
      <c r="H948" s="1" t="s">
        <v>13</v>
      </c>
    </row>
    <row r="949">
      <c r="A949" s="1">
        <v>947.0</v>
      </c>
      <c r="B949" s="1" t="s">
        <v>3135</v>
      </c>
      <c r="C949" s="1" t="s">
        <v>3492</v>
      </c>
      <c r="D949" s="1" t="s">
        <v>3493</v>
      </c>
      <c r="E949" s="2" t="str">
        <f>IFERROR(__xludf.DUMMYFUNCTION("GOOGLETRANSLATE(C949, ""en"", ""th"")"),"นักแข่งชาวอังกฤษเกิดหลังปี 1980 กี่คน?")</f>
        <v>นักแข่งชาวอังกฤษเกิดหลังปี 1980 กี่คน?</v>
      </c>
      <c r="F949" s="1" t="s">
        <v>3494</v>
      </c>
      <c r="G949" s="1" t="s">
        <v>3495</v>
      </c>
      <c r="H949" s="1" t="s">
        <v>13</v>
      </c>
    </row>
    <row r="950">
      <c r="A950" s="1">
        <v>948.0</v>
      </c>
      <c r="B950" s="1" t="s">
        <v>3135</v>
      </c>
      <c r="C950" s="1" t="s">
        <v>3496</v>
      </c>
      <c r="D950" s="1" t="s">
        <v>3497</v>
      </c>
      <c r="E950" s="2" t="str">
        <f>IFERROR(__xludf.DUMMYFUNCTION("GOOGLETRANSLATE(C950, ""en"", ""th"")"),"คอนสตรัคเตอร์ชาวอังกฤษมีคะแนนสูงสุดคือเท่าไร?")</f>
        <v>คอนสตรัคเตอร์ชาวอังกฤษมีคะแนนสูงสุดคือเท่าไร?</v>
      </c>
      <c r="F950" s="1" t="s">
        <v>3498</v>
      </c>
      <c r="G950" s="1" t="s">
        <v>3499</v>
      </c>
      <c r="H950" s="1" t="s">
        <v>13</v>
      </c>
    </row>
    <row r="951">
      <c r="A951" s="1">
        <v>949.0</v>
      </c>
      <c r="B951" s="1" t="s">
        <v>3135</v>
      </c>
      <c r="C951" s="1" t="s">
        <v>3500</v>
      </c>
      <c r="E951" s="2" t="str">
        <f>IFERROR(__xludf.DUMMYFUNCTION("GOOGLETRANSLATE(C951, ""en"", ""th"")"),"คอนสตรัคเตอร์ใดมีจุดสูงสุด?")</f>
        <v>คอนสตรัคเตอร์ใดมีจุดสูงสุด?</v>
      </c>
      <c r="G951" s="1" t="s">
        <v>3501</v>
      </c>
      <c r="H951" s="1" t="s">
        <v>13</v>
      </c>
    </row>
    <row r="952">
      <c r="A952" s="1">
        <v>950.0</v>
      </c>
      <c r="B952" s="1" t="s">
        <v>3135</v>
      </c>
      <c r="C952" s="1" t="s">
        <v>3502</v>
      </c>
      <c r="D952" s="1" t="s">
        <v>3503</v>
      </c>
      <c r="E952" s="2" t="str">
        <f>IFERROR(__xludf.DUMMYFUNCTION("GOOGLETRANSLATE(C952, ""en"", ""th"")"),"โปรดระบุชื่อคอนสตรัคเตอร์ด้วย 0 คะแนนในการแข่งขัน 291")</f>
        <v>โปรดระบุชื่อคอนสตรัคเตอร์ด้วย 0 คะแนนในการแข่งขัน 291</v>
      </c>
      <c r="F952" s="1" t="s">
        <v>3504</v>
      </c>
      <c r="G952" s="1" t="s">
        <v>3505</v>
      </c>
      <c r="H952" s="1" t="s">
        <v>13</v>
      </c>
    </row>
    <row r="953">
      <c r="A953" s="1">
        <v>951.0</v>
      </c>
      <c r="B953" s="1" t="s">
        <v>3135</v>
      </c>
      <c r="C953" s="1" t="s">
        <v>3506</v>
      </c>
      <c r="D953" s="1" t="s">
        <v>3507</v>
      </c>
      <c r="E953" s="2" t="str">
        <f>IFERROR(__xludf.DUMMYFUNCTION("GOOGLETRANSLATE(C953, ""en"", ""th"")"),"คอนสตรัคเตอร์ชาวญี่ปุ่นมี 0 คะแนนใน 2 เรซกี่คน?")</f>
        <v>คอนสตรัคเตอร์ชาวญี่ปุ่นมี 0 คะแนนใน 2 เรซกี่คน?</v>
      </c>
      <c r="F953" s="1" t="s">
        <v>3508</v>
      </c>
      <c r="G953" s="1" t="s">
        <v>3509</v>
      </c>
      <c r="H953" s="1" t="s">
        <v>13</v>
      </c>
    </row>
    <row r="954">
      <c r="A954" s="1">
        <v>952.0</v>
      </c>
      <c r="B954" s="1" t="s">
        <v>3135</v>
      </c>
      <c r="C954" s="1" t="s">
        <v>3510</v>
      </c>
      <c r="E954" s="2" t="str">
        <f>IFERROR(__xludf.DUMMYFUNCTION("GOOGLETRANSLATE(C954, ""en"", ""th"")"),"คอนสตรัคเตอร์คนไหนได้รับการจัดอันดับที่ 1?")</f>
        <v>คอนสตรัคเตอร์คนไหนได้รับการจัดอันดับที่ 1?</v>
      </c>
      <c r="G954" s="1" t="s">
        <v>3511</v>
      </c>
      <c r="H954" s="1" t="s">
        <v>13</v>
      </c>
    </row>
    <row r="955">
      <c r="A955" s="1">
        <v>953.0</v>
      </c>
      <c r="B955" s="1" t="s">
        <v>3135</v>
      </c>
      <c r="C955" s="1" t="s">
        <v>3512</v>
      </c>
      <c r="D955" s="1" t="s">
        <v>3513</v>
      </c>
      <c r="E955" s="2" t="str">
        <f>IFERROR(__xludf.DUMMYFUNCTION("GOOGLETRANSLATE(C955, ""en"", ""th"")"),"มีคอนสตรัคเตอร์ชาวฝรั่งเศสกี่คนที่มีจำนวนรอบมากกว่า 50 คน?")</f>
        <v>มีคอนสตรัคเตอร์ชาวฝรั่งเศสกี่คนที่มีจำนวนรอบมากกว่า 50 คน?</v>
      </c>
      <c r="F955" s="1" t="s">
        <v>3514</v>
      </c>
      <c r="G955" s="1" t="s">
        <v>3515</v>
      </c>
      <c r="H955" s="1" t="s">
        <v>13</v>
      </c>
    </row>
    <row r="956">
      <c r="A956" s="1">
        <v>954.0</v>
      </c>
      <c r="B956" s="1" t="s">
        <v>3135</v>
      </c>
      <c r="C956" s="1" t="s">
        <v>3516</v>
      </c>
      <c r="D956" s="1" t="s">
        <v>3517</v>
      </c>
      <c r="E956" s="2" t="str">
        <f>IFERROR(__xludf.DUMMYFUNCTION("GOOGLETRANSLATE(C956, ""en"", ""th"")"),"โปรดคำนวณเปอร์เซ็นต์การจบการแข่งขันของนักแข่งชาวญี่ปุ่นตั้งแต่ปี 2550 ถึง 2552")</f>
        <v>โปรดคำนวณเปอร์เซ็นต์การจบการแข่งขันของนักแข่งชาวญี่ปุ่นตั้งแต่ปี 2550 ถึง 2552</v>
      </c>
      <c r="F956" s="1" t="s">
        <v>3518</v>
      </c>
      <c r="G956" s="1" t="s">
        <v>3519</v>
      </c>
      <c r="H956" s="1" t="s">
        <v>101</v>
      </c>
    </row>
    <row r="957">
      <c r="A957" s="1">
        <v>955.0</v>
      </c>
      <c r="B957" s="1" t="s">
        <v>3135</v>
      </c>
      <c r="C957" s="1" t="s">
        <v>3520</v>
      </c>
      <c r="D957" s="1" t="s">
        <v>3521</v>
      </c>
      <c r="E957" s="2" t="str">
        <f>IFERROR(__xludf.DUMMYFUNCTION("GOOGLETRANSLATE(C957, ""en"", ""th"")"),"เวลาเฉลี่ยเป็นวินาทีของแชมป์ในแต่ละปีก่อนปี 1975 คือเท่าใด?")</f>
        <v>เวลาเฉลี่ยเป็นวินาทีของแชมป์ในแต่ละปีก่อนปี 1975 คือเท่าใด?</v>
      </c>
      <c r="F957" s="1" t="s">
        <v>3522</v>
      </c>
      <c r="G957" s="1" t="s">
        <v>3523</v>
      </c>
      <c r="H957" s="1" t="s">
        <v>101</v>
      </c>
    </row>
    <row r="958">
      <c r="A958" s="1">
        <v>956.0</v>
      </c>
      <c r="B958" s="1" t="s">
        <v>3135</v>
      </c>
      <c r="C958" s="1" t="s">
        <v>3524</v>
      </c>
      <c r="D958" s="1" t="s">
        <v>3525</v>
      </c>
      <c r="E958" s="2" t="str">
        <f>IFERROR(__xludf.DUMMYFUNCTION("GOOGLETRANSLATE(C958, ""en"", ""th"")"),"นักแข่งคนไหนที่เกิดหลังปี 1975 อยู่ในอันดับที่ 2? กรุณาแจ้งชื่อและนามสกุลของพวกเขา")</f>
        <v>นักแข่งคนไหนที่เกิดหลังปี 1975 อยู่ในอันดับที่ 2? กรุณาแจ้งชื่อและนามสกุลของพวกเขา</v>
      </c>
      <c r="F958" s="1" t="s">
        <v>3526</v>
      </c>
      <c r="G958" s="1" t="s">
        <v>3527</v>
      </c>
      <c r="H958" s="1" t="s">
        <v>13</v>
      </c>
    </row>
    <row r="959">
      <c r="A959" s="1">
        <v>957.0</v>
      </c>
      <c r="B959" s="1" t="s">
        <v>3135</v>
      </c>
      <c r="C959" s="1" t="s">
        <v>3528</v>
      </c>
      <c r="D959" s="1" t="s">
        <v>3529</v>
      </c>
      <c r="E959" s="2" t="str">
        <f>IFERROR(__xludf.DUMMYFUNCTION("GOOGLETRANSLATE(C959, ""en"", ""th"")"),"มีนักแข่งชาวอิตาลีกี่คนที่ยังแข่งไม่จบ?")</f>
        <v>มีนักแข่งชาวอิตาลีกี่คนที่ยังแข่งไม่จบ?</v>
      </c>
      <c r="F959" s="1" t="s">
        <v>3530</v>
      </c>
      <c r="G959" s="1" t="s">
        <v>3531</v>
      </c>
      <c r="H959" s="1" t="s">
        <v>13</v>
      </c>
    </row>
    <row r="960">
      <c r="A960" s="1">
        <v>958.0</v>
      </c>
      <c r="B960" s="1" t="s">
        <v>3135</v>
      </c>
      <c r="C960" s="1" t="s">
        <v>3532</v>
      </c>
      <c r="E960" s="2" t="str">
        <f>IFERROR(__xludf.DUMMYFUNCTION("GOOGLETRANSLATE(C960, ""en"", ""th"")"),"นักแข่งคนไหนทำเวลาต่อรอบได้เร็วที่สุด? กรุณาแจ้งชื่อและนามสกุลของพวกเขา")</f>
        <v>นักแข่งคนไหนทำเวลาต่อรอบได้เร็วที่สุด? กรุณาแจ้งชื่อและนามสกุลของพวกเขา</v>
      </c>
      <c r="G960" s="1" t="s">
        <v>3533</v>
      </c>
      <c r="H960" s="1" t="s">
        <v>18</v>
      </c>
    </row>
    <row r="961">
      <c r="A961" s="1">
        <v>959.0</v>
      </c>
      <c r="B961" s="1" t="s">
        <v>3135</v>
      </c>
      <c r="C961" s="1" t="s">
        <v>3534</v>
      </c>
      <c r="D961" s="1" t="s">
        <v>3535</v>
      </c>
      <c r="E961" s="2" t="str">
        <f>IFERROR(__xludf.DUMMYFUNCTION("GOOGLETRANSLATE(C961, ""en"", ""th"")"),"หมายเลขรอบที่เร็วที่สุดของแชมป์ในปี 2009 คืออะไร?")</f>
        <v>หมายเลขรอบที่เร็วที่สุดของแชมป์ในปี 2009 คืออะไร?</v>
      </c>
      <c r="F961" s="1" t="s">
        <v>3536</v>
      </c>
      <c r="G961" s="1" t="s">
        <v>3537</v>
      </c>
      <c r="H961" s="1" t="s">
        <v>13</v>
      </c>
    </row>
    <row r="962">
      <c r="A962" s="1">
        <v>960.0</v>
      </c>
      <c r="B962" s="1" t="s">
        <v>3135</v>
      </c>
      <c r="C962" s="1" t="s">
        <v>3538</v>
      </c>
      <c r="D962" s="1" t="s">
        <v>3539</v>
      </c>
      <c r="E962" s="2" t="str">
        <f>IFERROR(__xludf.DUMMYFUNCTION("GOOGLETRANSLATE(C962, ""en"", ""th"")"),"ความเร็วรอบที่เร็วที่สุดโดยเฉลี่ยในการแข่งขัน Spanish Grand Prix ปี 2009 คือเท่าใด?")</f>
        <v>ความเร็วรอบที่เร็วที่สุดโดยเฉลี่ยในการแข่งขัน Spanish Grand Prix ปี 2009 คือเท่าใด?</v>
      </c>
      <c r="F962" s="1" t="s">
        <v>3540</v>
      </c>
      <c r="G962" s="1" t="s">
        <v>3541</v>
      </c>
      <c r="H962" s="1" t="s">
        <v>18</v>
      </c>
    </row>
    <row r="963">
      <c r="A963" s="1">
        <v>961.0</v>
      </c>
      <c r="B963" s="1" t="s">
        <v>3135</v>
      </c>
      <c r="C963" s="1" t="s">
        <v>3542</v>
      </c>
      <c r="D963" s="1" t="s">
        <v>3543</v>
      </c>
      <c r="E963" s="2" t="str">
        <f>IFERROR(__xludf.DUMMYFUNCTION("GOOGLETRANSLATE(C963, ""en"", ""th"")"),"การแข่งขันใดมีเวลาสิ้นสุดจริงสั้นที่สุด? กรุณาระบุชื่อและปี..")</f>
        <v>การแข่งขันใดมีเวลาสิ้นสุดจริงสั้นที่สุด? กรุณาระบุชื่อและปี..</v>
      </c>
      <c r="F963" s="1" t="s">
        <v>3544</v>
      </c>
      <c r="G963" s="1" t="s">
        <v>3545</v>
      </c>
      <c r="H963" s="1" t="s">
        <v>13</v>
      </c>
    </row>
    <row r="964">
      <c r="A964" s="1">
        <v>962.0</v>
      </c>
      <c r="B964" s="1" t="s">
        <v>3135</v>
      </c>
      <c r="C964" s="1" t="s">
        <v>3546</v>
      </c>
      <c r="D964" s="1" t="s">
        <v>3547</v>
      </c>
      <c r="E964" s="2" t="str">
        <f>IFERROR(__xludf.DUMMYFUNCTION("GOOGLETRANSLATE(C964, ""en"", ""th"")"),"ตั้งแต่ปี 2000 ถึง 2005 นักแข่งที่เกิดก่อนปี 1985 และจำนวนรอบมากกว่า 50 เปอร์เซ็นต์เป็นเท่าใด")</f>
        <v>ตั้งแต่ปี 2000 ถึง 2005 นักแข่งที่เกิดก่อนปี 1985 และจำนวนรอบมากกว่า 50 เปอร์เซ็นต์เป็นเท่าใด</v>
      </c>
      <c r="F964" s="1" t="s">
        <v>3548</v>
      </c>
      <c r="G964" s="1" t="s">
        <v>3549</v>
      </c>
      <c r="H964" s="1" t="s">
        <v>101</v>
      </c>
    </row>
    <row r="965">
      <c r="A965" s="1">
        <v>963.0</v>
      </c>
      <c r="B965" s="1" t="s">
        <v>3135</v>
      </c>
      <c r="C965" s="1" t="s">
        <v>3550</v>
      </c>
      <c r="D965" s="1" t="s">
        <v>3551</v>
      </c>
      <c r="E965" s="2" t="str">
        <f>IFERROR(__xludf.DUMMYFUNCTION("GOOGLETRANSLATE(C965, ""en"", ""th"")"),"นักแข่งชาวฝรั่งเศสกี่คนที่ทำเวลาต่อรอบได้น้อยกว่า 02:00.00 น.")</f>
        <v>นักแข่งชาวฝรั่งเศสกี่คนที่ทำเวลาต่อรอบได้น้อยกว่า 02:00.00 น.</v>
      </c>
      <c r="F965" s="1" t="s">
        <v>3552</v>
      </c>
      <c r="G965" s="1" t="s">
        <v>3553</v>
      </c>
      <c r="H965" s="1" t="s">
        <v>18</v>
      </c>
    </row>
    <row r="966">
      <c r="A966" s="1">
        <v>964.0</v>
      </c>
      <c r="B966" s="1" t="s">
        <v>3135</v>
      </c>
      <c r="C966" s="1" t="s">
        <v>3554</v>
      </c>
      <c r="D966" s="1" t="s">
        <v>3555</v>
      </c>
      <c r="E966" s="2" t="str">
        <f>IFERROR(__xludf.DUMMYFUNCTION("GOOGLETRANSLATE(C966, ""en"", ""th"")"),"ระบุรหัสสำหรับผู้ขับขี่ที่มีสัญชาติในอเมริกา")</f>
        <v>ระบุรหัสสำหรับผู้ขับขี่ที่มีสัญชาติในอเมริกา</v>
      </c>
      <c r="F966" s="1" t="s">
        <v>3556</v>
      </c>
      <c r="G966" s="1" t="s">
        <v>3557</v>
      </c>
      <c r="H966" s="1" t="s">
        <v>13</v>
      </c>
    </row>
    <row r="967">
      <c r="A967" s="1">
        <v>965.0</v>
      </c>
      <c r="B967" s="1" t="s">
        <v>3135</v>
      </c>
      <c r="C967" s="1" t="s">
        <v>3558</v>
      </c>
      <c r="E967" s="2" t="str">
        <f>IFERROR(__xludf.DUMMYFUNCTION("GOOGLETRANSLATE(C967, ""en"", ""th"")"),"ระบุหมายเลขการแข่งขันที่จัดขึ้นในปี 2552")</f>
        <v>ระบุหมายเลขการแข่งขันที่จัดขึ้นในปี 2552</v>
      </c>
      <c r="G967" s="1" t="s">
        <v>3559</v>
      </c>
      <c r="H967" s="1" t="s">
        <v>13</v>
      </c>
    </row>
    <row r="968">
      <c r="A968" s="1">
        <v>966.0</v>
      </c>
      <c r="B968" s="1" t="s">
        <v>3135</v>
      </c>
      <c r="C968" s="1" t="s">
        <v>3560</v>
      </c>
      <c r="E968" s="2" t="str">
        <f>IFERROR(__xludf.DUMMYFUNCTION("GOOGLETRANSLATE(C968, ""en"", ""th"")"),"มีนักแข่งกี่คนที่เข้าร่วมการแข่งขันหมายเลข ID 18")</f>
        <v>มีนักแข่งกี่คนที่เข้าร่วมการแข่งขันหมายเลข ID 18</v>
      </c>
      <c r="G968" s="1" t="s">
        <v>3561</v>
      </c>
      <c r="H968" s="1" t="s">
        <v>13</v>
      </c>
    </row>
    <row r="969">
      <c r="A969" s="1">
        <v>967.0</v>
      </c>
      <c r="B969" s="1" t="s">
        <v>3135</v>
      </c>
      <c r="C969" s="1" t="s">
        <v>3562</v>
      </c>
      <c r="D969" s="1" t="s">
        <v>3563</v>
      </c>
      <c r="E969" s="2" t="str">
        <f>IFERROR(__xludf.DUMMYFUNCTION("GOOGLETRANSLATE(C969, ""en"", ""th"")"),"ระบุหมายเลขรหัสของไดรเวอร์ที่อายุน้อยที่สุด 3 อันดับแรก มีคนขับชาวเนเธอร์แลนด์กี่คนในจำนวนนี้?")</f>
        <v>ระบุหมายเลขรหัสของไดรเวอร์ที่อายุน้อยที่สุด 3 อันดับแรก มีคนขับชาวเนเธอร์แลนด์กี่คนในจำนวนนี้?</v>
      </c>
      <c r="F969" s="1" t="s">
        <v>3564</v>
      </c>
      <c r="G969" s="1" t="s">
        <v>3565</v>
      </c>
      <c r="H969" s="1" t="s">
        <v>13</v>
      </c>
    </row>
    <row r="970">
      <c r="A970" s="1">
        <v>968.0</v>
      </c>
      <c r="B970" s="1" t="s">
        <v>3135</v>
      </c>
      <c r="C970" s="1" t="s">
        <v>3566</v>
      </c>
      <c r="D970" s="1" t="s">
        <v>3567</v>
      </c>
      <c r="E970" s="2" t="str">
        <f>IFERROR(__xludf.DUMMYFUNCTION("GOOGLETRANSLATE(C970, ""en"", ""th"")"),"ชื่ออ้างอิงของ Robert Kubica คืออะไร?")</f>
        <v>ชื่ออ้างอิงของ Robert Kubica คืออะไร?</v>
      </c>
      <c r="F970" s="1" t="s">
        <v>3568</v>
      </c>
      <c r="G970" s="1" t="s">
        <v>3569</v>
      </c>
      <c r="H970" s="1" t="s">
        <v>13</v>
      </c>
    </row>
    <row r="971">
      <c r="A971" s="1">
        <v>969.0</v>
      </c>
      <c r="B971" s="1" t="s">
        <v>3135</v>
      </c>
      <c r="C971" s="1" t="s">
        <v>3570</v>
      </c>
      <c r="D971" s="1" t="s">
        <v>3571</v>
      </c>
      <c r="E971" s="2" t="str">
        <f>IFERROR(__xludf.DUMMYFUNCTION("GOOGLETRANSLATE(C971, ""en"", ""th"")"),"นักแข่งชาวอังกฤษที่เกิดในปี 1980 มีกี่คน?")</f>
        <v>นักแข่งชาวอังกฤษที่เกิดในปี 1980 มีกี่คน?</v>
      </c>
      <c r="F971" s="1" t="s">
        <v>3572</v>
      </c>
      <c r="G971" s="1" t="s">
        <v>3573</v>
      </c>
      <c r="H971" s="1" t="s">
        <v>13</v>
      </c>
    </row>
    <row r="972">
      <c r="A972" s="1">
        <v>970.0</v>
      </c>
      <c r="B972" s="1" t="s">
        <v>3135</v>
      </c>
      <c r="C972" s="1" t="s">
        <v>3574</v>
      </c>
      <c r="D972" s="1" t="s">
        <v>3575</v>
      </c>
      <c r="E972" s="2" t="str">
        <f>IFERROR(__xludf.DUMMYFUNCTION("GOOGLETRANSLATE(C972, ""en"", ""th"")"),"รายชื่อนักแข่งชาวเยอรมัน 3 อันดับแรกที่เกิดระหว่างปี 1980-1990 และมีเวลาต่อรอบเร็วที่สุด")</f>
        <v>รายชื่อนักแข่งชาวเยอรมัน 3 อันดับแรกที่เกิดระหว่างปี 1980-1990 และมีเวลาต่อรอบเร็วที่สุด</v>
      </c>
      <c r="F972" s="1" t="s">
        <v>3576</v>
      </c>
      <c r="G972" s="1" t="s">
        <v>3577</v>
      </c>
      <c r="H972" s="1" t="s">
        <v>18</v>
      </c>
    </row>
    <row r="973">
      <c r="A973" s="1">
        <v>971.0</v>
      </c>
      <c r="B973" s="1" t="s">
        <v>3135</v>
      </c>
      <c r="C973" s="1" t="s">
        <v>3578</v>
      </c>
      <c r="D973" s="1" t="s">
        <v>3579</v>
      </c>
      <c r="E973" s="2" t="str">
        <f>IFERROR(__xludf.DUMMYFUNCTION("GOOGLETRANSLATE(C973, ""en"", ""th"")"),"โปรดระบุชื่ออ้างอิงของนักแข่งชาวเยอรมันที่อายุมากที่สุด")</f>
        <v>โปรดระบุชื่ออ้างอิงของนักแข่งชาวเยอรมันที่อายุมากที่สุด</v>
      </c>
      <c r="F973" s="1" t="s">
        <v>3580</v>
      </c>
      <c r="G973" s="1" t="s">
        <v>3581</v>
      </c>
      <c r="H973" s="1" t="s">
        <v>13</v>
      </c>
    </row>
    <row r="974">
      <c r="A974" s="1">
        <v>972.0</v>
      </c>
      <c r="B974" s="1" t="s">
        <v>3135</v>
      </c>
      <c r="C974" s="1" t="s">
        <v>3582</v>
      </c>
      <c r="D974" s="1" t="s">
        <v>3583</v>
      </c>
      <c r="E974" s="2" t="str">
        <f>IFERROR(__xludf.DUMMYFUNCTION("GOOGLETRANSLATE(C974, ""en"", ""th"")"),"นักแข่งคนไหนที่เกิดในปี 1971 และมีเวลาต่อรอบเร็วที่สุดในการแข่งขัน? ให้รหัสและรหัสของไดรเวอร์เหล่านี้")</f>
        <v>นักแข่งคนไหนที่เกิดในปี 1971 และมีเวลาต่อรอบเร็วที่สุดในการแข่งขัน? ให้รหัสและรหัสของไดรเวอร์เหล่านี้</v>
      </c>
      <c r="F974" s="1" t="s">
        <v>3584</v>
      </c>
      <c r="G974" s="1" t="s">
        <v>3585</v>
      </c>
      <c r="H974" s="1" t="s">
        <v>18</v>
      </c>
    </row>
    <row r="975">
      <c r="A975" s="1">
        <v>973.0</v>
      </c>
      <c r="B975" s="1" t="s">
        <v>3135</v>
      </c>
      <c r="C975" s="1" t="s">
        <v>3586</v>
      </c>
      <c r="D975" s="1" t="s">
        <v>3587</v>
      </c>
      <c r="E975" s="2" t="str">
        <f>IFERROR(__xludf.DUMMYFUNCTION("GOOGLETRANSLATE(C975, ""en"", ""th"")"),"รายชื่อนักแข่งชาวสเปน 10 อันดับแรกที่เกิดก่อนปี 1982 และมีเวลารอบล่าสุด")</f>
        <v>รายชื่อนักแข่งชาวสเปน 10 อันดับแรกที่เกิดก่อนปี 1982 และมีเวลารอบล่าสุด</v>
      </c>
      <c r="F975" s="1" t="s">
        <v>3588</v>
      </c>
      <c r="G975" s="1" t="s">
        <v>3589</v>
      </c>
      <c r="H975" s="1" t="s">
        <v>18</v>
      </c>
    </row>
    <row r="976">
      <c r="A976" s="1">
        <v>974.0</v>
      </c>
      <c r="B976" s="1" t="s">
        <v>3135</v>
      </c>
      <c r="C976" s="1" t="s">
        <v>3590</v>
      </c>
      <c r="D976" s="3" t="s">
        <v>3591</v>
      </c>
      <c r="E976" s="2" t="str">
        <f>IFERROR(__xludf.DUMMYFUNCTION("GOOGLETRANSLATE(C976, ""en"", ""th"")"),"ระบุปีการแข่งขันใดที่มีเวลารอบเร็วที่สุด?")</f>
        <v>ระบุปีการแข่งขันใดที่มีเวลารอบเร็วที่สุด?</v>
      </c>
      <c r="F976" s="1" t="s">
        <v>3592</v>
      </c>
      <c r="G976" s="1" t="s">
        <v>3593</v>
      </c>
      <c r="H976" s="1" t="s">
        <v>13</v>
      </c>
    </row>
    <row r="977">
      <c r="A977" s="1">
        <v>975.0</v>
      </c>
      <c r="B977" s="1" t="s">
        <v>3135</v>
      </c>
      <c r="C977" s="1" t="s">
        <v>3594</v>
      </c>
      <c r="D977" s="1" t="s">
        <v>3595</v>
      </c>
      <c r="E977" s="2" t="str">
        <f>IFERROR(__xludf.DUMMYFUNCTION("GOOGLETRANSLATE(C977, ""en"", ""th"")"),"ปีใดมีความเร็วรอบต่ำสุด?")</f>
        <v>ปีใดมีความเร็วรอบต่ำสุด?</v>
      </c>
      <c r="F977" s="1" t="s">
        <v>3596</v>
      </c>
      <c r="G977" s="1" t="s">
        <v>3597</v>
      </c>
      <c r="H977" s="1" t="s">
        <v>13</v>
      </c>
    </row>
    <row r="978">
      <c r="A978" s="1">
        <v>976.0</v>
      </c>
      <c r="B978" s="1" t="s">
        <v>3135</v>
      </c>
      <c r="C978" s="1" t="s">
        <v>3598</v>
      </c>
      <c r="D978" s="1" t="s">
        <v>3599</v>
      </c>
      <c r="E978" s="2" t="str">
        <f>IFERROR(__xludf.DUMMYFUNCTION("GOOGLETRANSLATE(C978, ""en"", ""th"")"),"ระบุรหัสนักแข่งของนักแข่งห้าอันดับแรกตามลำดับจากมากไปน้อย ซึ่งเป็นเวลาที่เร็วที่สุดในรอบแรกของการแข่งขัน")</f>
        <v>ระบุรหัสนักแข่งของนักแข่งห้าอันดับแรกตามลำดับจากมากไปน้อย ซึ่งเป็นเวลาที่เร็วที่สุดในรอบแรกของการแข่งขัน</v>
      </c>
      <c r="F978" s="1" t="s">
        <v>3600</v>
      </c>
      <c r="G978" s="1" t="s">
        <v>3601</v>
      </c>
      <c r="H978" s="1" t="s">
        <v>13</v>
      </c>
    </row>
    <row r="979">
      <c r="A979" s="1">
        <v>977.0</v>
      </c>
      <c r="B979" s="1" t="s">
        <v>3135</v>
      </c>
      <c r="C979" s="1" t="s">
        <v>3602</v>
      </c>
      <c r="D979" s="1" t="s">
        <v>3603</v>
      </c>
      <c r="E979" s="2" t="str">
        <f>IFERROR(__xludf.DUMMYFUNCTION("GOOGLETRANSLATE(C979, ""en"", ""th"")"),"จากการแข่งขันหมายเลข 50 ถึง 100 มีผู้เข้าเส้นชัยกี่คนที่ถูกตัดสิทธิ์?")</f>
        <v>จากการแข่งขันหมายเลข 50 ถึง 100 มีผู้เข้าเส้นชัยกี่คนที่ถูกตัดสิทธิ์?</v>
      </c>
      <c r="F979" s="1" t="s">
        <v>3604</v>
      </c>
      <c r="G979" s="1" t="s">
        <v>3605</v>
      </c>
      <c r="H979" s="1" t="s">
        <v>13</v>
      </c>
    </row>
    <row r="980">
      <c r="A980" s="1">
        <v>978.0</v>
      </c>
      <c r="B980" s="1" t="s">
        <v>3135</v>
      </c>
      <c r="C980" s="1" t="s">
        <v>3606</v>
      </c>
      <c r="D980" s="1" t="s">
        <v>3607</v>
      </c>
      <c r="E980" s="2" t="str">
        <f>IFERROR(__xludf.DUMMYFUNCTION("GOOGLETRANSLATE(C980, ""en"", ""th"")"),"มีการจัดเซอร์กิตที่ออสเตรียกี่ครั้ง? กรุณาแจ้งที่ตั้งและพิกัด")</f>
        <v>มีการจัดเซอร์กิตที่ออสเตรียกี่ครั้ง? กรุณาแจ้งที่ตั้งและพิกัด</v>
      </c>
      <c r="F980" s="1" t="s">
        <v>3608</v>
      </c>
      <c r="G980" s="1" t="s">
        <v>3609</v>
      </c>
      <c r="H980" s="1" t="s">
        <v>13</v>
      </c>
    </row>
    <row r="981">
      <c r="A981" s="1">
        <v>979.0</v>
      </c>
      <c r="B981" s="1" t="s">
        <v>3135</v>
      </c>
      <c r="C981" s="1" t="s">
        <v>3610</v>
      </c>
      <c r="D981" s="1" t="s">
        <v>3611</v>
      </c>
      <c r="E981" s="2" t="str">
        <f>IFERROR(__xludf.DUMMYFUNCTION("GOOGLETRANSLATE(C981, ""en"", ""th"")"),"หมายเลขการแข่งขันใดมีผู้เข้าเส้นชัยมากที่สุด?")</f>
        <v>หมายเลขการแข่งขันใดมีผู้เข้าเส้นชัยมากที่สุด?</v>
      </c>
      <c r="F981" s="1" t="s">
        <v>3612</v>
      </c>
      <c r="G981" s="1" t="s">
        <v>3613</v>
      </c>
      <c r="H981" s="1" t="s">
        <v>13</v>
      </c>
    </row>
    <row r="982">
      <c r="A982" s="1">
        <v>980.0</v>
      </c>
      <c r="B982" s="1" t="s">
        <v>3135</v>
      </c>
      <c r="C982" s="1" t="s">
        <v>3614</v>
      </c>
      <c r="D982" s="1" t="s">
        <v>3615</v>
      </c>
      <c r="E982" s="2" t="str">
        <f>IFERROR(__xludf.DUMMYFUNCTION("GOOGLETRANSLATE(C982, ""en"", ""th"")"),"ระบุชื่ออ้างอิงของนักแข่งที่ผ่านรอบคัดเลือกรอบที่สองในระหว่างการแข่งขันครั้งที่ 1 23.ระบุสัญชาติและวันเกิด")</f>
        <v>ระบุชื่ออ้างอิงของนักแข่งที่ผ่านรอบคัดเลือกรอบที่สองในระหว่างการแข่งขันครั้งที่ 1 23.ระบุสัญชาติและวันเกิด</v>
      </c>
      <c r="F982" s="1" t="s">
        <v>3616</v>
      </c>
      <c r="G982" s="1" t="s">
        <v>3617</v>
      </c>
      <c r="H982" s="1" t="s">
        <v>18</v>
      </c>
    </row>
    <row r="983">
      <c r="A983" s="1">
        <v>981.0</v>
      </c>
      <c r="B983" s="1" t="s">
        <v>3135</v>
      </c>
      <c r="C983" s="1" t="s">
        <v>3618</v>
      </c>
      <c r="D983" s="1" t="s">
        <v>3619</v>
      </c>
      <c r="E983" s="2" t="str">
        <f>IFERROR(__xludf.DUMMYFUNCTION("GOOGLETRANSLATE(C983, ""en"", ""th"")"),"นักแข่งที่อายุน้อยที่สุดได้เข้าแข่งขันรอบคัดเลือกครั้งแรกในปีใด พร้อมทั้งแจ้งชื่อ วันที่ และเวลาจัดการแข่งขัน")</f>
        <v>นักแข่งที่อายุน้อยที่สุดได้เข้าแข่งขันรอบคัดเลือกครั้งแรกในปีใด พร้อมทั้งแจ้งชื่อ วันที่ และเวลาจัดการแข่งขัน</v>
      </c>
      <c r="F983" s="1" t="s">
        <v>3620</v>
      </c>
      <c r="G983" s="1" t="s">
        <v>3621</v>
      </c>
      <c r="H983" s="1" t="s">
        <v>18</v>
      </c>
    </row>
    <row r="984">
      <c r="A984" s="1">
        <v>982.0</v>
      </c>
      <c r="B984" s="1" t="s">
        <v>3135</v>
      </c>
      <c r="C984" s="1" t="s">
        <v>3622</v>
      </c>
      <c r="D984" s="1" t="s">
        <v>3623</v>
      </c>
      <c r="E984" s="2" t="str">
        <f>IFERROR(__xludf.DUMMYFUNCTION("GOOGLETRANSLATE(C984, ""en"", ""th"")"),"ผู้ขับขี่ชาวอเมริกันมีสถานะถูกเจาะกี่คน")</f>
        <v>ผู้ขับขี่ชาวอเมริกันมีสถานะถูกเจาะกี่คน</v>
      </c>
      <c r="F984" s="1" t="s">
        <v>3624</v>
      </c>
      <c r="G984" s="1" t="s">
        <v>3625</v>
      </c>
      <c r="H984" s="1" t="s">
        <v>13</v>
      </c>
    </row>
    <row r="985">
      <c r="A985" s="1">
        <v>983.0</v>
      </c>
      <c r="B985" s="1" t="s">
        <v>3135</v>
      </c>
      <c r="C985" s="1" t="s">
        <v>3626</v>
      </c>
      <c r="D985" s="1" t="s">
        <v>3627</v>
      </c>
      <c r="E985" s="2" t="str">
        <f>IFERROR(__xludf.DUMMYFUNCTION("GOOGLETRANSLATE(C985, ""en"", ""th"")"),"คอนสตรัคเตอร์ชาวอิตาลีคนใดที่มีคะแนนสูงสุดจนถึงปัจจุบัน ให้เว็บไซต์แนะนำ?")</f>
        <v>คอนสตรัคเตอร์ชาวอิตาลีคนใดที่มีคะแนนสูงสุดจนถึงปัจจุบัน ให้เว็บไซต์แนะนำ?</v>
      </c>
      <c r="F985" s="1" t="s">
        <v>3628</v>
      </c>
      <c r="G985" s="1" t="s">
        <v>3629</v>
      </c>
      <c r="H985" s="1" t="s">
        <v>13</v>
      </c>
    </row>
    <row r="986">
      <c r="A986" s="1">
        <v>984.0</v>
      </c>
      <c r="B986" s="1" t="s">
        <v>3135</v>
      </c>
      <c r="C986" s="1" t="s">
        <v>3630</v>
      </c>
      <c r="D986" s="1" t="s">
        <v>3631</v>
      </c>
      <c r="E986" s="2" t="str">
        <f>IFERROR(__xludf.DUMMYFUNCTION("GOOGLETRANSLATE(C986, ""en"", ""th"")"),"เว็บไซต์ของผู้สร้างที่นับชัยชนะทั้งหมดมากที่สุดคืออะไร")</f>
        <v>เว็บไซต์ของผู้สร้างที่นับชัยชนะทั้งหมดมากที่สุดคืออะไร</v>
      </c>
      <c r="F986" s="1" t="s">
        <v>3632</v>
      </c>
      <c r="G986" s="1" t="s">
        <v>3633</v>
      </c>
      <c r="H986" s="1" t="s">
        <v>13</v>
      </c>
    </row>
    <row r="987">
      <c r="A987" s="1">
        <v>985.0</v>
      </c>
      <c r="B987" s="1" t="s">
        <v>3135</v>
      </c>
      <c r="C987" s="1" t="s">
        <v>3634</v>
      </c>
      <c r="D987" s="1" t="s">
        <v>3635</v>
      </c>
      <c r="E987" s="2" t="str">
        <f>IFERROR(__xludf.DUMMYFUNCTION("GOOGLETRANSLATE(C987, ""en"", ""th"")"),"ในบรรดานักแข่งที่เข้าร่วมรายการ French Grand Prix ซึ่งมีเวลาช้าที่สุดในรอบที่ 3")</f>
        <v>ในบรรดานักแข่งที่เข้าร่วมรายการ French Grand Prix ซึ่งมีเวลาช้าที่สุดในรอบที่ 3</v>
      </c>
      <c r="F987" s="1" t="s">
        <v>3636</v>
      </c>
      <c r="G987" s="1" t="s">
        <v>3637</v>
      </c>
      <c r="H987" s="1" t="s">
        <v>13</v>
      </c>
    </row>
    <row r="988">
      <c r="A988" s="1">
        <v>986.0</v>
      </c>
      <c r="B988" s="1" t="s">
        <v>3135</v>
      </c>
      <c r="C988" s="1" t="s">
        <v>3638</v>
      </c>
      <c r="D988" s="1" t="s">
        <v>3639</v>
      </c>
      <c r="E988" s="2" t="str">
        <f>IFERROR(__xludf.DUMMYFUNCTION("GOOGLETRANSLATE(C988, ""en"", ""th"")"),"การแข่งขันใดที่มีการบันทึกเวลารอบแรกเร็วที่สุด? กรุณาระบุเวลาเป็นมิลลิวินาที")</f>
        <v>การแข่งขันใดที่มีการบันทึกเวลารอบแรกเร็วที่สุด? กรุณาระบุเวลาเป็นมิลลิวินาที</v>
      </c>
      <c r="F988" s="1" t="s">
        <v>3640</v>
      </c>
      <c r="G988" s="1" t="s">
        <v>3641</v>
      </c>
      <c r="H988" s="1" t="s">
        <v>13</v>
      </c>
    </row>
    <row r="989">
      <c r="A989" s="1">
        <v>987.0</v>
      </c>
      <c r="B989" s="1" t="s">
        <v>3135</v>
      </c>
      <c r="C989" s="1" t="s">
        <v>3642</v>
      </c>
      <c r="D989" s="1" t="s">
        <v>3643</v>
      </c>
      <c r="E989" s="2" t="str">
        <f>IFERROR(__xludf.DUMMYFUNCTION("GOOGLETRANSLATE(C989, ""en"", ""th"")"),"เวลาต่อรอบที่เร็วที่สุดโดยเฉลี่ยของนักแข่ง 10 อันดับแรกใน 2006 United States Grand Prix คือเท่าใด")</f>
        <v>เวลาต่อรอบที่เร็วที่สุดโดยเฉลี่ยของนักแข่ง 10 อันดับแรกใน 2006 United States Grand Prix คือเท่าใด</v>
      </c>
      <c r="F989" s="1" t="s">
        <v>3644</v>
      </c>
      <c r="G989" s="1" t="s">
        <v>3645</v>
      </c>
      <c r="H989" s="1" t="s">
        <v>13</v>
      </c>
    </row>
    <row r="990">
      <c r="A990" s="1">
        <v>988.0</v>
      </c>
      <c r="B990" s="1" t="s">
        <v>3135</v>
      </c>
      <c r="C990" s="1" t="s">
        <v>3646</v>
      </c>
      <c r="D990" s="1" t="s">
        <v>3647</v>
      </c>
      <c r="E990" s="2" t="str">
        <f>IFERROR(__xludf.DUMMYFUNCTION("GOOGLETRANSLATE(C990, ""en"", ""th"")"),"รายชื่อนักแข่งชาวเยอรมัน 3 อันดับแรกที่มีระยะเวลาเข้าพิตเฉลี่ยสั้นที่สุดและเกิดระหว่างปี 1980-1985")</f>
        <v>รายชื่อนักแข่งชาวเยอรมัน 3 อันดับแรกที่มีระยะเวลาเข้าพิตเฉลี่ยสั้นที่สุดและเกิดระหว่างปี 1980-1985</v>
      </c>
      <c r="F990" s="1" t="s">
        <v>3648</v>
      </c>
      <c r="G990" s="1" t="s">
        <v>3649</v>
      </c>
      <c r="H990" s="1" t="s">
        <v>101</v>
      </c>
    </row>
    <row r="991">
      <c r="A991" s="1">
        <v>989.0</v>
      </c>
      <c r="B991" s="1" t="s">
        <v>3135</v>
      </c>
      <c r="C991" s="1" t="s">
        <v>3650</v>
      </c>
      <c r="D991" s="1" t="s">
        <v>3651</v>
      </c>
      <c r="E991" s="2" t="str">
        <f>IFERROR(__xludf.DUMMYFUNCTION("GOOGLETRANSLATE(C991, ""en"", ""th"")"),"ใครคือแชมป์ของ Canadian Grand Prix ในปี 2008? ระบุเวลาสิ้นสุดของเขา")</f>
        <v>ใครคือแชมป์ของ Canadian Grand Prix ในปี 2008? ระบุเวลาสิ้นสุดของเขา</v>
      </c>
      <c r="F991" s="1" t="s">
        <v>3652</v>
      </c>
      <c r="G991" s="1" t="s">
        <v>3653</v>
      </c>
      <c r="H991" s="1" t="s">
        <v>18</v>
      </c>
    </row>
    <row r="992">
      <c r="A992" s="1">
        <v>990.0</v>
      </c>
      <c r="B992" s="1" t="s">
        <v>3135</v>
      </c>
      <c r="C992" s="1" t="s">
        <v>3654</v>
      </c>
      <c r="D992" s="1" t="s">
        <v>3655</v>
      </c>
      <c r="E992" s="2" t="str">
        <f>IFERROR(__xludf.DUMMYFUNCTION("GOOGLETRANSLATE(C992, ""en"", ""th"")"),"ชื่ออ้างอิงของผู้สร้างแชมป์ในการแข่งขัน Singapore Grand Prix ปี 2009 คืออะไร กรุณาให้เว็บไซต์ของมัน")</f>
        <v>ชื่ออ้างอิงของผู้สร้างแชมป์ในการแข่งขัน Singapore Grand Prix ปี 2009 คืออะไร กรุณาให้เว็บไซต์ของมัน</v>
      </c>
      <c r="F992" s="1" t="s">
        <v>3656</v>
      </c>
      <c r="G992" s="1" t="s">
        <v>3657</v>
      </c>
      <c r="H992" s="1" t="s">
        <v>101</v>
      </c>
    </row>
    <row r="993">
      <c r="A993" s="1">
        <v>991.0</v>
      </c>
      <c r="B993" s="1" t="s">
        <v>3135</v>
      </c>
      <c r="C993" s="1" t="s">
        <v>3658</v>
      </c>
      <c r="D993" s="1" t="s">
        <v>3659</v>
      </c>
      <c r="E993" s="2" t="str">
        <f>IFERROR(__xludf.DUMMYFUNCTION("GOOGLETRANSLATE(C993, ""en"", ""th"")"),"ชื่อเต็มและวันเกิดของผู้ขับขี่ชาวออสเตรียที่เกิดระหว่างปี 1981 ถึง 1991 คืออะไร?")</f>
        <v>ชื่อเต็มและวันเกิดของผู้ขับขี่ชาวออสเตรียที่เกิดระหว่างปี 1981 ถึง 1991 คืออะไร?</v>
      </c>
      <c r="F993" s="1" t="s">
        <v>3660</v>
      </c>
      <c r="G993" s="1" t="s">
        <v>3661</v>
      </c>
      <c r="H993" s="1" t="s">
        <v>13</v>
      </c>
    </row>
    <row r="994">
      <c r="A994" s="1">
        <v>992.0</v>
      </c>
      <c r="B994" s="1" t="s">
        <v>3135</v>
      </c>
      <c r="C994" s="1" t="s">
        <v>3662</v>
      </c>
      <c r="D994" s="1" t="s">
        <v>3663</v>
      </c>
      <c r="E994" s="2" t="str">
        <f>IFERROR(__xludf.DUMMYFUNCTION("GOOGLETRANSLATE(C994, ""en"", ""th"")"),"ค้นหาชื่อเต็ม ลิงก์หน้า Wiki Pedia และวันเดือนปีเกิดของผู้ขับขี่ชาวเยอรมันที่เกิดระหว่างปี 1971 ถึง 1985 แสดงรายการตามลำดับวันเดือนปีเกิดจากมากไปหาน้อย")</f>
        <v>ค้นหาชื่อเต็ม ลิงก์หน้า Wiki Pedia และวันเดือนปีเกิดของผู้ขับขี่ชาวเยอรมันที่เกิดระหว่างปี 1971 ถึง 1985 แสดงรายการตามลำดับวันเดือนปีเกิดจากมากไปหาน้อย</v>
      </c>
      <c r="F994" s="1" t="s">
        <v>3664</v>
      </c>
      <c r="G994" s="1" t="s">
        <v>3665</v>
      </c>
      <c r="H994" s="1" t="s">
        <v>18</v>
      </c>
    </row>
    <row r="995">
      <c r="A995" s="1">
        <v>993.0</v>
      </c>
      <c r="B995" s="1" t="s">
        <v>3135</v>
      </c>
      <c r="C995" s="1" t="s">
        <v>3666</v>
      </c>
      <c r="D995" s="1" t="s">
        <v>3667</v>
      </c>
      <c r="E995" s="2" t="str">
        <f>IFERROR(__xludf.DUMMYFUNCTION("GOOGLETRANSLATE(C995, ""en"", ""th"")"),"วงจร Hungaroring ตั้งอยู่ที่ไหน? ค้นหาประเทศและพิกัดของวงจรนี้ด้วย?")</f>
        <v>วงจร Hungaroring ตั้งอยู่ที่ไหน? ค้นหาประเทศและพิกัดของวงจรนี้ด้วย?</v>
      </c>
      <c r="F995" s="1" t="s">
        <v>3668</v>
      </c>
      <c r="G995" s="1" t="s">
        <v>3669</v>
      </c>
      <c r="H995" s="1" t="s">
        <v>13</v>
      </c>
    </row>
    <row r="996">
      <c r="A996" s="1">
        <v>994.0</v>
      </c>
      <c r="B996" s="1" t="s">
        <v>3135</v>
      </c>
      <c r="C996" s="1" t="s">
        <v>3670</v>
      </c>
      <c r="D996" s="1" t="s">
        <v>3671</v>
      </c>
      <c r="E996" s="2" t="str">
        <f>IFERROR(__xludf.DUMMYFUNCTION("GOOGLETRANSLATE(C996, ""en"", ""th"")"),"คอนสตรัคเตอร์คนใดที่ทำคะแนนได้มากที่สุดจาก Monaco Grand Prix ระหว่างปี 1980 ถึง 2010 ระบุคะแนน ชื่อ และสัญชาติของทีมนี้")</f>
        <v>คอนสตรัคเตอร์คนใดที่ทำคะแนนได้มากที่สุดจาก Monaco Grand Prix ระหว่างปี 1980 ถึง 2010 ระบุคะแนน ชื่อ และสัญชาติของทีมนี้</v>
      </c>
      <c r="F996" s="1" t="s">
        <v>3672</v>
      </c>
      <c r="G996" s="1" t="s">
        <v>3673</v>
      </c>
      <c r="H996" s="1" t="s">
        <v>101</v>
      </c>
    </row>
    <row r="997">
      <c r="A997" s="1">
        <v>995.0</v>
      </c>
      <c r="B997" s="1" t="s">
        <v>3135</v>
      </c>
      <c r="C997" s="1" t="s">
        <v>3674</v>
      </c>
      <c r="D997" s="1" t="s">
        <v>3675</v>
      </c>
      <c r="E997" s="2" t="str">
        <f>IFERROR(__xludf.DUMMYFUNCTION("GOOGLETRANSLATE(C997, ""en"", ""th"")"),"คะแนนเฉลี่ยของ Lewis Hamilton ในบรรดา Turkish Grand Prix ทั้งหมดคือเท่าใด")</f>
        <v>คะแนนเฉลี่ยของ Lewis Hamilton ในบรรดา Turkish Grand Prix ทั้งหมดคือเท่าใด</v>
      </c>
      <c r="F997" s="1" t="s">
        <v>3676</v>
      </c>
      <c r="G997" s="1" t="s">
        <v>3677</v>
      </c>
      <c r="H997" s="1" t="s">
        <v>18</v>
      </c>
    </row>
    <row r="998">
      <c r="A998" s="1">
        <v>996.0</v>
      </c>
      <c r="B998" s="1" t="s">
        <v>3135</v>
      </c>
      <c r="C998" s="1" t="s">
        <v>3678</v>
      </c>
      <c r="D998" s="1" t="s">
        <v>3679</v>
      </c>
      <c r="E998" s="2" t="str">
        <f>IFERROR(__xludf.DUMMYFUNCTION("GOOGLETRANSLATE(C998, ""en"", ""th"")"),"จำนวนการแข่งขันเฉลี่ยต่อปีที่จัดขึ้นในช่วง 10 ปีแรกของศตวรรษที่ 21 เป็นเท่าใด")</f>
        <v>จำนวนการแข่งขันเฉลี่ยต่อปีที่จัดขึ้นในช่วง 10 ปีแรกของศตวรรษที่ 21 เป็นเท่าใด</v>
      </c>
      <c r="F998" s="1" t="s">
        <v>3680</v>
      </c>
      <c r="G998" s="1" t="s">
        <v>3681</v>
      </c>
      <c r="H998" s="1" t="s">
        <v>13</v>
      </c>
    </row>
    <row r="999">
      <c r="A999" s="1">
        <v>997.0</v>
      </c>
      <c r="B999" s="1" t="s">
        <v>3135</v>
      </c>
      <c r="C999" s="1" t="s">
        <v>3682</v>
      </c>
      <c r="D999" s="1" t="s">
        <v>3683</v>
      </c>
      <c r="E999" s="2" t="str">
        <f>IFERROR(__xludf.DUMMYFUNCTION("GOOGLETRANSLATE(C999, ""en"", ""th"")"),"ผู้ขับขี่ส่วนใหญ่ถือสัญชาติใด")</f>
        <v>ผู้ขับขี่ส่วนใหญ่ถือสัญชาติใด</v>
      </c>
      <c r="F999" s="1" t="s">
        <v>3684</v>
      </c>
      <c r="G999" s="1" t="s">
        <v>3685</v>
      </c>
      <c r="H999" s="1" t="s">
        <v>13</v>
      </c>
    </row>
    <row r="1000">
      <c r="A1000" s="1">
        <v>998.0</v>
      </c>
      <c r="B1000" s="1" t="s">
        <v>3135</v>
      </c>
      <c r="C1000" s="1" t="s">
        <v>3686</v>
      </c>
      <c r="D1000" s="1" t="s">
        <v>3687</v>
      </c>
      <c r="E1000" s="2" t="str">
        <f>IFERROR(__xludf.DUMMYFUNCTION("GOOGLETRANSLATE(C1000, ""en"", ""th"")"),"ในแง่ของจำนวนคะแนนที่ได้รับ นักแข่งอันดับที่ 91 ได้รับชัยชนะกี่ครั้ง")</f>
        <v>ในแง่ของจำนวนคะแนนที่ได้รับ นักแข่งอันดับที่ 91 ได้รับชัยชนะกี่ครั้ง</v>
      </c>
      <c r="F1000" s="1" t="s">
        <v>3688</v>
      </c>
      <c r="G1000" s="1" t="s">
        <v>3689</v>
      </c>
      <c r="H1000" s="1" t="s">
        <v>13</v>
      </c>
    </row>
    <row r="1001">
      <c r="A1001" s="1">
        <v>999.0</v>
      </c>
      <c r="B1001" s="1" t="s">
        <v>3135</v>
      </c>
      <c r="C1001" s="1" t="s">
        <v>3690</v>
      </c>
      <c r="D1001" s="1" t="s">
        <v>3691</v>
      </c>
      <c r="E1001" s="2" t="str">
        <f>IFERROR(__xludf.DUMMYFUNCTION("GOOGLETRANSLATE(C1001, ""en"", ""th"")"),"ในแง่ของเวลารอบที่เร็วที่สุด การแข่งขันที่นักแข่งบันทึกความเร็วรอบเร็วที่สุดคือชื่ออะไร")</f>
        <v>ในแง่ของเวลารอบที่เร็วที่สุด การแข่งขันที่นักแข่งบันทึกความเร็วรอบเร็วที่สุดคือชื่ออะไร</v>
      </c>
      <c r="F1001" s="1" t="s">
        <v>3692</v>
      </c>
      <c r="G1001" s="1" t="s">
        <v>3693</v>
      </c>
      <c r="H1001" s="1" t="s">
        <v>13</v>
      </c>
    </row>
    <row r="1002">
      <c r="A1002" s="1">
        <v>1000.0</v>
      </c>
      <c r="B1002" s="1" t="s">
        <v>3135</v>
      </c>
      <c r="C1002" s="1" t="s">
        <v>3694</v>
      </c>
      <c r="D1002" s="1" t="s">
        <v>3695</v>
      </c>
      <c r="E1002" s="2" t="str">
        <f>IFERROR(__xludf.DUMMYFUNCTION("GOOGLETRANSLATE(C1002, ""en"", ""th"")"),"สนามแข่งใดที่จัดการแข่งขันครั้งล่าสุด? ระบุสถานที่ให้ครบถ้วน")</f>
        <v>สนามแข่งใดที่จัดการแข่งขันครั้งล่าสุด? ระบุสถานที่ให้ครบถ้วน</v>
      </c>
      <c r="F1002" s="1" t="s">
        <v>3696</v>
      </c>
      <c r="G1002" s="1" t="s">
        <v>3697</v>
      </c>
      <c r="H1002" s="1" t="s">
        <v>13</v>
      </c>
    </row>
    <row r="1003">
      <c r="A1003" s="1">
        <v>1001.0</v>
      </c>
      <c r="B1003" s="1" t="s">
        <v>3135</v>
      </c>
      <c r="C1003" s="1" t="s">
        <v>3698</v>
      </c>
      <c r="D1003" s="1" t="s">
        <v>3699</v>
      </c>
      <c r="E1003" s="2" t="str">
        <f>IFERROR(__xludf.DUMMYFUNCTION("GOOGLETRANSLATE(C1003, ""en"", ""th"")"),"ชื่อเต็มของนักแข่งที่ได้อันดับที่ 1 ในการแข่งขันรอบคัดเลือกครั้งที่ 3 ที่จัดขึ้นที่ Marina Bay Street Circuit ในปี 2008 คืออะไร")</f>
        <v>ชื่อเต็มของนักแข่งที่ได้อันดับที่ 1 ในการแข่งขันรอบคัดเลือกครั้งที่ 3 ที่จัดขึ้นที่ Marina Bay Street Circuit ในปี 2008 คืออะไร</v>
      </c>
      <c r="F1003" s="1" t="s">
        <v>3700</v>
      </c>
      <c r="G1003" s="1" t="s">
        <v>3701</v>
      </c>
      <c r="H1003" s="1" t="s">
        <v>101</v>
      </c>
    </row>
    <row r="1004">
      <c r="A1004" s="1">
        <v>1002.0</v>
      </c>
      <c r="B1004" s="1" t="s">
        <v>3135</v>
      </c>
      <c r="C1004" s="1" t="s">
        <v>3702</v>
      </c>
      <c r="D1004" s="1" t="s">
        <v>3703</v>
      </c>
      <c r="E1004" s="2" t="str">
        <f>IFERROR(__xludf.DUMMYFUNCTION("GOOGLETRANSLATE(C1004, ""en"", ""th"")"),"ณ ปัจจุบัน นักแข่งอายุน้อยที่สุดชื่อเต็มว่าอะไร? ระบุสัญชาติและชื่อเชื้อชาติที่เข้าร่วมครั้งแรก")</f>
        <v>ณ ปัจจุบัน นักแข่งอายุน้อยที่สุดชื่อเต็มว่าอะไร? ระบุสัญชาติและชื่อเชื้อชาติที่เข้าร่วมครั้งแรก</v>
      </c>
      <c r="F1004" s="1" t="s">
        <v>3704</v>
      </c>
      <c r="G1004" s="1" t="s">
        <v>3705</v>
      </c>
      <c r="H1004" s="1" t="s">
        <v>18</v>
      </c>
    </row>
    <row r="1005">
      <c r="A1005" s="1">
        <v>1003.0</v>
      </c>
      <c r="B1005" s="1" t="s">
        <v>3135</v>
      </c>
      <c r="C1005" s="1" t="s">
        <v>3706</v>
      </c>
      <c r="D1005" s="1" t="s">
        <v>3707</v>
      </c>
      <c r="E1005" s="2" t="str">
        <f>IFERROR(__xludf.DUMMYFUNCTION("GOOGLETRANSLATE(C1005, ""en"", ""th"")"),"คนขับที่เกิดอุบัติเหตุมากที่สุดในการแข่งขัน Canadian Grand Prix มีอุบัติเหตุกี่ครั้ง?")</f>
        <v>คนขับที่เกิดอุบัติเหตุมากที่สุดในการแข่งขัน Canadian Grand Prix มีอุบัติเหตุกี่ครั้ง?</v>
      </c>
      <c r="F1005" s="1" t="s">
        <v>3708</v>
      </c>
      <c r="G1005" s="1" t="s">
        <v>3709</v>
      </c>
      <c r="H1005" s="1" t="s">
        <v>18</v>
      </c>
    </row>
    <row r="1006">
      <c r="A1006" s="1">
        <v>1004.0</v>
      </c>
      <c r="B1006" s="1" t="s">
        <v>3135</v>
      </c>
      <c r="C1006" s="1" t="s">
        <v>3710</v>
      </c>
      <c r="D1006" s="1" t="s">
        <v>3711</v>
      </c>
      <c r="E1006" s="2" t="str">
        <f>IFERROR(__xludf.DUMMYFUNCTION("GOOGLETRANSLATE(C1006, ""en"", ""th"")"),"นักแข่งที่อายุมากที่สุดสามารถคว้าชัยชนะได้กี่ครั้ง? ระบุชื่อเต็มของเขา/เธอ")</f>
        <v>นักแข่งที่อายุมากที่สุดสามารถคว้าชัยชนะได้กี่ครั้ง? ระบุชื่อเต็มของเขา/เธอ</v>
      </c>
      <c r="F1006" s="1" t="s">
        <v>3712</v>
      </c>
      <c r="G1006" s="1" t="s">
        <v>3713</v>
      </c>
      <c r="H1006" s="1" t="s">
        <v>13</v>
      </c>
    </row>
    <row r="1007">
      <c r="A1007" s="1">
        <v>1005.0</v>
      </c>
      <c r="B1007" s="1" t="s">
        <v>3135</v>
      </c>
      <c r="C1007" s="1" t="s">
        <v>3714</v>
      </c>
      <c r="D1007" s="1" t="s">
        <v>3715</v>
      </c>
      <c r="E1007" s="2" t="str">
        <f>IFERROR(__xludf.DUMMYFUNCTION("GOOGLETRANSLATE(C1007, ""en"", ""th"")"),"คนขับเคยเข้าจอดที่จุดจอดนานที่สุดคือเท่าไร?")</f>
        <v>คนขับเคยเข้าจอดที่จุดจอดนานที่สุดคือเท่าไร?</v>
      </c>
      <c r="F1007" s="1" t="s">
        <v>3716</v>
      </c>
      <c r="G1007" s="1" t="s">
        <v>3717</v>
      </c>
      <c r="H1007" s="1" t="s">
        <v>13</v>
      </c>
    </row>
    <row r="1008">
      <c r="A1008" s="1">
        <v>1006.0</v>
      </c>
      <c r="B1008" s="1" t="s">
        <v>3135</v>
      </c>
      <c r="C1008" s="1" t="s">
        <v>3718</v>
      </c>
      <c r="E1008" s="2" t="str">
        <f>IFERROR(__xludf.DUMMYFUNCTION("GOOGLETRANSLATE(C1008, ""en"", ""th"")"),"ในบรรดาสถิติรอบทั้งหมดที่ตั้งไว้ในสนามแข่งต่างๆ เวลาที่เร็วที่สุดคือเมื่อใด?")</f>
        <v>ในบรรดาสถิติรอบทั้งหมดที่ตั้งไว้ในสนามแข่งต่างๆ เวลาที่เร็วที่สุดคือเมื่อใด?</v>
      </c>
      <c r="G1008" s="1" t="s">
        <v>3719</v>
      </c>
      <c r="H1008" s="1" t="s">
        <v>101</v>
      </c>
    </row>
    <row r="1009">
      <c r="A1009" s="1">
        <v>1007.0</v>
      </c>
      <c r="B1009" s="1" t="s">
        <v>3135</v>
      </c>
      <c r="C1009" s="1" t="s">
        <v>3720</v>
      </c>
      <c r="D1009" s="1" t="s">
        <v>3721</v>
      </c>
      <c r="E1009" s="2" t="str">
        <f>IFERROR(__xludf.DUMMYFUNCTION("GOOGLETRANSLATE(C1009, ""en"", ""th"")"),"Lewis Hamilton ใช้เวลาในการแวะจอดนานที่สุดคือเท่าไร?")</f>
        <v>Lewis Hamilton ใช้เวลาในการแวะจอดนานที่สุดคือเท่าไร?</v>
      </c>
      <c r="F1009" s="1" t="s">
        <v>3722</v>
      </c>
      <c r="G1009" s="1" t="s">
        <v>3723</v>
      </c>
      <c r="H1009" s="1" t="s">
        <v>13</v>
      </c>
    </row>
    <row r="1010">
      <c r="A1010" s="1">
        <v>1008.0</v>
      </c>
      <c r="B1010" s="1" t="s">
        <v>3135</v>
      </c>
      <c r="C1010" s="1" t="s">
        <v>3724</v>
      </c>
      <c r="E1010" s="2" t="str">
        <f>IFERROR(__xludf.DUMMYFUNCTION("GOOGLETRANSLATE(C1010, ""en"", ""th"")"),"Lewis Hamilton หยุดพักระหว่างการแข่งขัน Australian Grand Prix ปี 2011 ในรอบใด")</f>
        <v>Lewis Hamilton หยุดพักระหว่างการแข่งขัน Australian Grand Prix ปี 2011 ในรอบใด</v>
      </c>
      <c r="G1010" s="1" t="s">
        <v>3725</v>
      </c>
      <c r="H1010" s="1" t="s">
        <v>13</v>
      </c>
    </row>
    <row r="1011">
      <c r="A1011" s="1">
        <v>1009.0</v>
      </c>
      <c r="B1011" s="1" t="s">
        <v>3135</v>
      </c>
      <c r="C1011" s="1" t="s">
        <v>3726</v>
      </c>
      <c r="D1011" s="1" t="s">
        <v>3727</v>
      </c>
      <c r="E1011" s="2" t="str">
        <f>IFERROR(__xludf.DUMMYFUNCTION("GOOGLETRANSLATE(C1011, ""en"", ""th"")"),"โปรดระบุเวลาที่นักแข่งแต่ละคนใช้ที่จุดจอดระหว่างการแข่งขัน Australian Grand Prix ปี 2011")</f>
        <v>โปรดระบุเวลาที่นักแข่งแต่ละคนใช้ที่จุดจอดระหว่างการแข่งขัน Australian Grand Prix ปี 2011</v>
      </c>
      <c r="F1011" s="1" t="s">
        <v>3728</v>
      </c>
      <c r="G1011" s="1" t="s">
        <v>3729</v>
      </c>
      <c r="H1011" s="1" t="s">
        <v>13</v>
      </c>
    </row>
    <row r="1012">
      <c r="A1012" s="1">
        <v>1010.0</v>
      </c>
      <c r="B1012" s="1" t="s">
        <v>3135</v>
      </c>
      <c r="C1012" s="1" t="s">
        <v>3730</v>
      </c>
      <c r="D1012" s="1" t="s">
        <v>3731</v>
      </c>
      <c r="E1012" s="2" t="str">
        <f>IFERROR(__xludf.DUMMYFUNCTION("GOOGLETRANSLATE(C1012, ""en"", ""th"")"),"สถิติรอบที่กำหนดโดย Lewis Hamilton ในการแข่งขัน Formula_1 คืออะไร")</f>
        <v>สถิติรอบที่กำหนดโดย Lewis Hamilton ในการแข่งขัน Formula_1 คืออะไร</v>
      </c>
      <c r="F1012" s="1" t="s">
        <v>3732</v>
      </c>
      <c r="G1012" s="1" t="s">
        <v>3733</v>
      </c>
      <c r="H1012" s="1" t="s">
        <v>13</v>
      </c>
    </row>
    <row r="1013">
      <c r="A1013" s="1">
        <v>1011.0</v>
      </c>
      <c r="B1013" s="1" t="s">
        <v>3135</v>
      </c>
      <c r="C1013" s="1" t="s">
        <v>3734</v>
      </c>
      <c r="D1013" s="1" t="s">
        <v>3735</v>
      </c>
      <c r="E1013" s="2" t="str">
        <f>IFERROR(__xludf.DUMMYFUNCTION("GOOGLETRANSLATE(C1013, ""en"", ""th"")"),"นักแข่ง 20 อันดับแรกคนใดที่สร้างเวลาต่อรอบสั้นที่สุดเท่าที่เคยมีมาในการแข่งขัน Formula_1 กรุณาให้ชื่อเต็มแก่พวกเขา")</f>
        <v>นักแข่ง 20 อันดับแรกคนใดที่สร้างเวลาต่อรอบสั้นที่สุดเท่าที่เคยมีมาในการแข่งขัน Formula_1 กรุณาให้ชื่อเต็มแก่พวกเขา</v>
      </c>
      <c r="F1013" s="1" t="s">
        <v>3736</v>
      </c>
      <c r="G1013" s="1" t="s">
        <v>3737</v>
      </c>
      <c r="H1013" s="1" t="s">
        <v>101</v>
      </c>
    </row>
    <row r="1014">
      <c r="A1014" s="1">
        <v>1012.0</v>
      </c>
      <c r="B1014" s="1" t="s">
        <v>3135</v>
      </c>
      <c r="C1014" s="1" t="s">
        <v>3738</v>
      </c>
      <c r="D1014" s="1" t="s">
        <v>3739</v>
      </c>
      <c r="E1014" s="2" t="str">
        <f>IFERROR(__xludf.DUMMYFUNCTION("GOOGLETRANSLATE(C1014, ""en"", ""th"")"),"ตำแหน่งใดของสนามระหว่างรอบที่เร็วที่สุดของ Lewis Hamilton ในการแข่งขัน Formula_1")</f>
        <v>ตำแหน่งใดของสนามระหว่างรอบที่เร็วที่สุดของ Lewis Hamilton ในการแข่งขัน Formula_1</v>
      </c>
      <c r="F1014" s="1" t="s">
        <v>3740</v>
      </c>
      <c r="G1014" s="1" t="s">
        <v>3741</v>
      </c>
      <c r="H1014" s="1" t="s">
        <v>13</v>
      </c>
    </row>
    <row r="1015">
      <c r="A1015" s="1">
        <v>1013.0</v>
      </c>
      <c r="B1015" s="1" t="s">
        <v>3135</v>
      </c>
      <c r="C1015" s="1" t="s">
        <v>3742</v>
      </c>
      <c r="D1015" s="1" t="s">
        <v>3743</v>
      </c>
      <c r="E1015" s="2" t="str">
        <f>IFERROR(__xludf.DUMMYFUNCTION("GOOGLETRANSLATE(C1015, ""en"", ""th"")"),"บันทึกรอบของ Austrian Grand Prix Circuit คืออะไร?")</f>
        <v>บันทึกรอบของ Austrian Grand Prix Circuit คืออะไร?</v>
      </c>
      <c r="F1015" s="1" t="s">
        <v>3744</v>
      </c>
      <c r="G1015" s="1" t="s">
        <v>3745</v>
      </c>
      <c r="H1015" s="1" t="s">
        <v>13</v>
      </c>
    </row>
    <row r="1016">
      <c r="A1016" s="1">
        <v>1014.0</v>
      </c>
      <c r="B1016" s="1" t="s">
        <v>3135</v>
      </c>
      <c r="C1016" s="1" t="s">
        <v>3746</v>
      </c>
      <c r="D1016" s="1" t="s">
        <v>3743</v>
      </c>
      <c r="E1016" s="2" t="str">
        <f>IFERROR(__xludf.DUMMYFUNCTION("GOOGLETRANSLATE(C1016, ""en"", ""th"")"),"โปรดระบุบันทึกรอบของสนามแข่งในอิตาลี")</f>
        <v>โปรดระบุบันทึกรอบของสนามแข่งในอิตาลี</v>
      </c>
      <c r="F1016" s="1" t="s">
        <v>3744</v>
      </c>
      <c r="G1016" s="1" t="s">
        <v>3747</v>
      </c>
      <c r="H1016" s="1" t="s">
        <v>101</v>
      </c>
    </row>
    <row r="1017">
      <c r="A1017" s="1">
        <v>1015.0</v>
      </c>
      <c r="B1017" s="1" t="s">
        <v>3135</v>
      </c>
      <c r="C1017" s="1" t="s">
        <v>3748</v>
      </c>
      <c r="D1017" s="1" t="s">
        <v>3743</v>
      </c>
      <c r="E1017" s="2" t="str">
        <f>IFERROR(__xludf.DUMMYFUNCTION("GOOGLETRANSLATE(C1017, ""en"", ""th"")"),"การแข่งขัน Formula_1 ใดที่เป็นสถิติรอบของรายการ Austrian Grand Prix Circuit")</f>
        <v>การแข่งขัน Formula_1 ใดที่เป็นสถิติรอบของรายการ Austrian Grand Prix Circuit</v>
      </c>
      <c r="F1017" s="1" t="s">
        <v>3744</v>
      </c>
      <c r="G1017" s="1" t="s">
        <v>3749</v>
      </c>
      <c r="H1017" s="1" t="s">
        <v>18</v>
      </c>
    </row>
    <row r="1018">
      <c r="A1018" s="1">
        <v>1016.0</v>
      </c>
      <c r="B1018" s="1" t="s">
        <v>3135</v>
      </c>
      <c r="C1018" s="1" t="s">
        <v>3750</v>
      </c>
      <c r="D1018" s="1" t="s">
        <v>3751</v>
      </c>
      <c r="E1018" s="2" t="str">
        <f>IFERROR(__xludf.DUMMYFUNCTION("GOOGLETRANSLATE(C1018, ""en"", ""th"")"),"ในการแข่งขัน นักแข่งคนหนึ่งสร้างสถิติต่อรอบในการแข่งขัน Austrian Grand Prix Circuit เขาใช้เวลาเข้าพิตนานเท่าใดในการแข่งขันครั้งเดียวกันนั้น?")</f>
        <v>ในการแข่งขัน นักแข่งคนหนึ่งสร้างสถิติต่อรอบในการแข่งขัน Austrian Grand Prix Circuit เขาใช้เวลาเข้าพิตนานเท่าใดในการแข่งขันครั้งเดียวกันนั้น?</v>
      </c>
      <c r="F1018" s="1" t="s">
        <v>3752</v>
      </c>
      <c r="G1018" s="1" t="s">
        <v>3753</v>
      </c>
      <c r="H1018" s="1" t="s">
        <v>101</v>
      </c>
    </row>
    <row r="1019">
      <c r="A1019" s="1">
        <v>1017.0</v>
      </c>
      <c r="B1019" s="1" t="s">
        <v>3135</v>
      </c>
      <c r="C1019" s="1" t="s">
        <v>3754</v>
      </c>
      <c r="D1019" s="1" t="s">
        <v>3755</v>
      </c>
      <c r="E1019" s="2" t="str">
        <f>IFERROR(__xludf.DUMMYFUNCTION("GOOGLETRANSLATE(C1019, ""en"", ""th"")"),"โปรดระบุพิกัดตำแหน่งของสนามแข่งที่มีสถิติรอบเป็น 1:29.488")</f>
        <v>โปรดระบุพิกัดตำแหน่งของสนามแข่งที่มีสถิติรอบเป็น 1:29.488</v>
      </c>
      <c r="F1019" s="1" t="s">
        <v>3756</v>
      </c>
      <c r="G1019" s="1" t="s">
        <v>3757</v>
      </c>
      <c r="H1019" s="1" t="s">
        <v>18</v>
      </c>
    </row>
    <row r="1020">
      <c r="A1020" s="1">
        <v>1018.0</v>
      </c>
      <c r="B1020" s="1" t="s">
        <v>3135</v>
      </c>
      <c r="C1020" s="1" t="s">
        <v>3758</v>
      </c>
      <c r="D1020" s="1" t="s">
        <v>3759</v>
      </c>
      <c r="E1020" s="2" t="str">
        <f>IFERROR(__xludf.DUMMYFUNCTION("GOOGLETRANSLATE(C1020, ""en"", ""th"")"),"เวลาเฉลี่ยในหน่วยมิลลิวินาทีที่ Lewis Hamilton ใช้เวลาในการเข้าพิทระหว่างการแข่งขัน Formula_1 คือเท่าใด")</f>
        <v>เวลาเฉลี่ยในหน่วยมิลลิวินาทีที่ Lewis Hamilton ใช้เวลาในการเข้าพิทระหว่างการแข่งขัน Formula_1 คือเท่าใด</v>
      </c>
      <c r="F1020" s="1" t="s">
        <v>3760</v>
      </c>
      <c r="G1020" s="1" t="s">
        <v>3761</v>
      </c>
      <c r="H1020" s="1" t="s">
        <v>13</v>
      </c>
    </row>
    <row r="1021">
      <c r="A1021" s="1">
        <v>1019.0</v>
      </c>
      <c r="B1021" s="1" t="s">
        <v>3135</v>
      </c>
      <c r="C1021" s="1" t="s">
        <v>3762</v>
      </c>
      <c r="D1021" s="1" t="s">
        <v>3763</v>
      </c>
      <c r="E1021" s="2" t="str">
        <f>IFERROR(__xludf.DUMMYFUNCTION("GOOGLETRANSLATE(C1021, ""en"", ""th"")"),"เวลาต่อรอบเฉลี่ยในหน่วยมิลลิวินาทีของบันทึกรอบทั้งหมดที่ตั้งไว้ในสนามต่างๆ ในอิตาลีคือเท่าใด")</f>
        <v>เวลาต่อรอบเฉลี่ยในหน่วยมิลลิวินาทีของบันทึกรอบทั้งหมดที่ตั้งไว้ในสนามต่างๆ ในอิตาลีคือเท่าใด</v>
      </c>
      <c r="F1021" s="1" t="s">
        <v>3764</v>
      </c>
      <c r="G1021" s="1" t="s">
        <v>3765</v>
      </c>
      <c r="H1021" s="1" t="s">
        <v>18</v>
      </c>
    </row>
    <row r="1022">
      <c r="A1022" s="1">
        <v>1020.0</v>
      </c>
      <c r="B1022" s="1" t="s">
        <v>3766</v>
      </c>
      <c r="C1022" s="1" t="s">
        <v>3767</v>
      </c>
      <c r="D1022" s="1" t="s">
        <v>3768</v>
      </c>
      <c r="E1022" s="2" t="str">
        <f>IFERROR(__xludf.DUMMYFUNCTION("GOOGLETRANSLATE(C1022, ""en"", ""th"")"),"ผู้เล่นคนใดมีคะแนนรวมสูงสุด? ระบุรหัส API ของผู้เล่น")</f>
        <v>ผู้เล่นคนใดมีคะแนนรวมสูงสุด? ระบุรหัส API ของผู้เล่น</v>
      </c>
      <c r="F1022" s="1" t="s">
        <v>3769</v>
      </c>
      <c r="G1022" s="1" t="s">
        <v>3770</v>
      </c>
      <c r="H1022" s="1" t="s">
        <v>13</v>
      </c>
    </row>
    <row r="1023">
      <c r="A1023" s="1">
        <v>1021.0</v>
      </c>
      <c r="B1023" s="1" t="s">
        <v>3766</v>
      </c>
      <c r="C1023" s="1" t="s">
        <v>3771</v>
      </c>
      <c r="D1023" s="1" t="s">
        <v>3772</v>
      </c>
      <c r="E1023" s="2" t="str">
        <f>IFERROR(__xludf.DUMMYFUNCTION("GOOGLETRANSLATE(C1023, ""en"", ""th"")"),"ความสูงของผู้เล่นที่สูงที่สุดคือเท่าไร? ระบุชื่อของเขา")</f>
        <v>ความสูงของผู้เล่นที่สูงที่สุดคือเท่าไร? ระบุชื่อของเขา</v>
      </c>
      <c r="F1023" s="1" t="s">
        <v>3773</v>
      </c>
      <c r="G1023" s="1" t="s">
        <v>3774</v>
      </c>
      <c r="H1023" s="1" t="s">
        <v>13</v>
      </c>
    </row>
    <row r="1024">
      <c r="A1024" s="1">
        <v>1022.0</v>
      </c>
      <c r="B1024" s="1" t="s">
        <v>3766</v>
      </c>
      <c r="C1024" s="1" t="s">
        <v>3775</v>
      </c>
      <c r="D1024" s="1" t="s">
        <v>3776</v>
      </c>
      <c r="E1024" s="2" t="str">
        <f>IFERROR(__xludf.DUMMYFUNCTION("GOOGLETRANSLATE(C1024, ""en"", ""th"")"),"เท้าที่ต้องการเมื่อโจมตีผู้เล่นที่มีศักยภาพต่ำที่สุดคืออะไร?")</f>
        <v>เท้าที่ต้องการเมื่อโจมตีผู้เล่นที่มีศักยภาพต่ำที่สุดคืออะไร?</v>
      </c>
      <c r="F1024" s="1" t="s">
        <v>3777</v>
      </c>
      <c r="G1024" s="1" t="s">
        <v>3778</v>
      </c>
      <c r="H1024" s="1" t="s">
        <v>13</v>
      </c>
    </row>
    <row r="1025">
      <c r="A1025" s="1">
        <v>1023.0</v>
      </c>
      <c r="B1025" s="1" t="s">
        <v>3766</v>
      </c>
      <c r="C1025" s="1" t="s">
        <v>3779</v>
      </c>
      <c r="D1025" s="1" t="s">
        <v>3780</v>
      </c>
      <c r="E1025" s="2" t="str">
        <f>IFERROR(__xludf.DUMMYFUNCTION("GOOGLETRANSLATE(C1025, ""en"", ""th"")"),"ในบรรดาผู้เล่นที่มีเรตติ้งโดยรวมระหว่าง 60 ถึง 65 มีผู้เล่นกี่คนที่จะอยู่ในตำแหน่งการโจมตีทั้งหมดของคุณแทนการป้องกัน?")</f>
        <v>ในบรรดาผู้เล่นที่มีเรตติ้งโดยรวมระหว่าง 60 ถึง 65 มีผู้เล่นกี่คนที่จะอยู่ในตำแหน่งการโจมตีทั้งหมดของคุณแทนการป้องกัน?</v>
      </c>
      <c r="F1025" s="1" t="s">
        <v>3781</v>
      </c>
      <c r="G1025" s="1" t="s">
        <v>3782</v>
      </c>
      <c r="H1025" s="1" t="s">
        <v>18</v>
      </c>
    </row>
    <row r="1026">
      <c r="A1026" s="1">
        <v>1024.0</v>
      </c>
      <c r="B1026" s="1" t="s">
        <v>3766</v>
      </c>
      <c r="C1026" s="1" t="s">
        <v>3783</v>
      </c>
      <c r="D1026" s="1" t="s">
        <v>3784</v>
      </c>
      <c r="E1026" s="2" t="str">
        <f>IFERROR(__xludf.DUMMYFUNCTION("GOOGLETRANSLATE(C1026, ""en"", ""th"")"),"ใครคือผู้เล่น 5 อันดับแรกที่ทำงานได้ดีกว่าในการข้ามการกระทำ? ระบุรหัสผู้เล่นของพวกเขา")</f>
        <v>ใครคือผู้เล่น 5 อันดับแรกที่ทำงานได้ดีกว่าในการข้ามการกระทำ? ระบุรหัสผู้เล่นของพวกเขา</v>
      </c>
      <c r="F1026" s="1" t="s">
        <v>3785</v>
      </c>
      <c r="G1026" s="1" t="s">
        <v>3786</v>
      </c>
      <c r="H1026" s="1" t="s">
        <v>13</v>
      </c>
    </row>
    <row r="1027">
      <c r="A1027" s="1">
        <v>1025.0</v>
      </c>
      <c r="B1027" s="1" t="s">
        <v>3766</v>
      </c>
      <c r="C1027" s="1" t="s">
        <v>3787</v>
      </c>
      <c r="D1027" s="1" t="s">
        <v>3788</v>
      </c>
      <c r="E1027" s="2" t="str">
        <f>IFERROR(__xludf.DUMMYFUNCTION("GOOGLETRANSLATE(C1027, ""en"", ""th"")"),"ให้ชื่อลีกที่มีประตูมากที่สุดในฤดูกาล 2016 หรือไม่?")</f>
        <v>ให้ชื่อลีกที่มีประตูมากที่สุดในฤดูกาล 2016 หรือไม่?</v>
      </c>
      <c r="F1027" s="1" t="s">
        <v>3789</v>
      </c>
      <c r="G1027" s="1" t="s">
        <v>3790</v>
      </c>
      <c r="H1027" s="1" t="s">
        <v>18</v>
      </c>
    </row>
    <row r="1028">
      <c r="A1028" s="1">
        <v>1026.0</v>
      </c>
      <c r="B1028" s="1" t="s">
        <v>3766</v>
      </c>
      <c r="C1028" s="1" t="s">
        <v>3791</v>
      </c>
      <c r="D1028" s="1" t="s">
        <v>3792</v>
      </c>
      <c r="E1028" s="2" t="str">
        <f>IFERROR(__xludf.DUMMYFUNCTION("GOOGLETRANSLATE(C1028, ""en"", ""th"")"),"ทีมเจ้าบ้านใดแพ้นัดน้อยที่สุดในฤดูกาล 2016?")</f>
        <v>ทีมเจ้าบ้านใดแพ้นัดน้อยที่สุดในฤดูกาล 2016?</v>
      </c>
      <c r="F1028" s="1" t="s">
        <v>3793</v>
      </c>
      <c r="G1028" s="1" t="s">
        <v>3794</v>
      </c>
      <c r="H1028" s="1" t="s">
        <v>18</v>
      </c>
    </row>
    <row r="1029">
      <c r="A1029" s="1">
        <v>1027.0</v>
      </c>
      <c r="B1029" s="1" t="s">
        <v>3766</v>
      </c>
      <c r="C1029" s="1" t="s">
        <v>3795</v>
      </c>
      <c r="D1029" s="1" t="s">
        <v>3796</v>
      </c>
      <c r="E1029" s="2" t="str">
        <f>IFERROR(__xludf.DUMMYFUNCTION("GOOGLETRANSLATE(C1029, ""en"", ""th"")"),"ระบุชื่อเต็มของผู้เล่น 10 อันดับแรกที่มีบทลงโทษสูงสุด")</f>
        <v>ระบุชื่อเต็มของผู้เล่น 10 อันดับแรกที่มีบทลงโทษสูงสุด</v>
      </c>
      <c r="F1029" s="1" t="s">
        <v>3797</v>
      </c>
      <c r="G1029" s="1" t="s">
        <v>3798</v>
      </c>
      <c r="H1029" s="1" t="s">
        <v>13</v>
      </c>
    </row>
    <row r="1030">
      <c r="A1030" s="1">
        <v>1028.0</v>
      </c>
      <c r="B1030" s="1" t="s">
        <v>3766</v>
      </c>
      <c r="C1030" s="1" t="s">
        <v>3799</v>
      </c>
      <c r="D1030" s="1" t="s">
        <v>3800</v>
      </c>
      <c r="E1030" s="2" t="str">
        <f>IFERROR(__xludf.DUMMYFUNCTION("GOOGLETRANSLATE(C1030, ""en"", ""th"")"),"ในสกอตแลนด์พรีเมียร์ลีก ทีมเยือนทีมใดชนะมากที่สุดในช่วงฤดูกาล 2010?")</f>
        <v>ในสกอตแลนด์พรีเมียร์ลีก ทีมเยือนทีมใดชนะมากที่สุดในช่วงฤดูกาล 2010?</v>
      </c>
      <c r="F1030" s="1" t="s">
        <v>3801</v>
      </c>
      <c r="G1030" s="1" t="s">
        <v>3802</v>
      </c>
      <c r="H1030" s="1" t="s">
        <v>101</v>
      </c>
    </row>
    <row r="1031">
      <c r="A1031" s="1">
        <v>1029.0</v>
      </c>
      <c r="B1031" s="1" t="s">
        <v>3766</v>
      </c>
      <c r="C1031" s="1" t="s">
        <v>3803</v>
      </c>
      <c r="D1031" s="1" t="s">
        <v>3804</v>
      </c>
      <c r="E1031" s="2" t="str">
        <f>IFERROR(__xludf.DUMMYFUNCTION("GOOGLETRANSLATE(C1031, ""en"", ""th"")"),"การโจมตีที่รวบรวมเข้าด้วยกันของทีม 4 อันดับแรกที่มี Build Up Play Speed ​​สูงสุดมีความเร็วเท่าใด?")</f>
        <v>การโจมตีที่รวบรวมเข้าด้วยกันของทีม 4 อันดับแรกที่มี Build Up Play Speed ​​สูงสุดมีความเร็วเท่าใด?</v>
      </c>
      <c r="F1031" s="1" t="s">
        <v>3805</v>
      </c>
      <c r="G1031" s="1" t="s">
        <v>3806</v>
      </c>
      <c r="H1031" s="1" t="s">
        <v>18</v>
      </c>
    </row>
    <row r="1032">
      <c r="A1032" s="1">
        <v>1030.0</v>
      </c>
      <c r="B1032" s="1" t="s">
        <v>3766</v>
      </c>
      <c r="C1032" s="1" t="s">
        <v>3807</v>
      </c>
      <c r="D1032" s="1" t="s">
        <v>3808</v>
      </c>
      <c r="E1032" s="2" t="str">
        <f>IFERROR(__xludf.DUMMYFUNCTION("GOOGLETRANSLATE(C1032, ""en"", ""th"")"),"ให้ชื่อลีกที่มีการจบการแข่งขันมากที่สุดในฤดูกาล 2016 หรือไม่?")</f>
        <v>ให้ชื่อลีกที่มีการจบการแข่งขันมากที่สุดในฤดูกาล 2016 หรือไม่?</v>
      </c>
      <c r="F1032" s="1" t="s">
        <v>3809</v>
      </c>
      <c r="G1032" s="1" t="s">
        <v>3810</v>
      </c>
      <c r="H1032" s="1" t="s">
        <v>18</v>
      </c>
    </row>
    <row r="1033">
      <c r="A1033" s="1">
        <v>1031.0</v>
      </c>
      <c r="B1033" s="1" t="s">
        <v>3766</v>
      </c>
      <c r="C1033" s="1" t="s">
        <v>3811</v>
      </c>
      <c r="D1033" s="1" t="s">
        <v>3812</v>
      </c>
      <c r="E1033" s="2" t="str">
        <f>IFERROR(__xludf.DUMMYFUNCTION("GOOGLETRANSLATE(C1033, ""en"", ""th"")"),"ปัจจุบันคำนวณหาอายุของผู้เล่นที่มีความเร็วสปรินต์ไม่ต่ำกว่า 97 ระหว่างปี 2556 ถึง 2558")</f>
        <v>ปัจจุบันคำนวณหาอายุของผู้เล่นที่มีความเร็วสปรินต์ไม่ต่ำกว่า 97 ระหว่างปี 2556 ถึง 2558</v>
      </c>
      <c r="F1033" s="1" t="s">
        <v>3813</v>
      </c>
      <c r="G1033" s="1" t="s">
        <v>3814</v>
      </c>
      <c r="H1033" s="1" t="s">
        <v>101</v>
      </c>
    </row>
    <row r="1034">
      <c r="A1034" s="1">
        <v>1032.0</v>
      </c>
      <c r="B1034" s="1" t="s">
        <v>3766</v>
      </c>
      <c r="C1034" s="1" t="s">
        <v>3815</v>
      </c>
      <c r="D1034" s="1" t="s">
        <v>3816</v>
      </c>
      <c r="E1034" s="2" t="str">
        <f>IFERROR(__xludf.DUMMYFUNCTION("GOOGLETRANSLATE(C1034, ""en"", ""th"")"),"ระบุชื่อลีกที่มีแมตช์สูงสุดตลอดกาล และจำนวนแมตช์ที่เล่นในลีกดังกล่าว")</f>
        <v>ระบุชื่อลีกที่มีแมตช์สูงสุดตลอดกาล และจำนวนแมตช์ที่เล่นในลีกดังกล่าว</v>
      </c>
      <c r="F1034" s="1" t="s">
        <v>3817</v>
      </c>
      <c r="G1034" s="1" t="s">
        <v>3818</v>
      </c>
      <c r="H1034" s="1" t="s">
        <v>18</v>
      </c>
    </row>
    <row r="1035">
      <c r="A1035" s="1">
        <v>1033.0</v>
      </c>
      <c r="B1035" s="1" t="s">
        <v>3766</v>
      </c>
      <c r="C1035" s="1" t="s">
        <v>3819</v>
      </c>
      <c r="D1035" s="1" t="s">
        <v>3820</v>
      </c>
      <c r="E1035" s="2" t="str">
        <f>IFERROR(__xludf.DUMMYFUNCTION("GOOGLETRANSLATE(C1035, ""en"", ""th"")"),"ความสูงเฉลี่ยของผู้เล่นที่เกิดระหว่างปี 1990 ถึง 1995 คือเท่าใด")</f>
        <v>ความสูงเฉลี่ยของผู้เล่นที่เกิดระหว่างปี 1990 ถึง 1995 คือเท่าใด</v>
      </c>
      <c r="F1035" s="1" t="s">
        <v>3821</v>
      </c>
      <c r="G1035" s="1" t="s">
        <v>3822</v>
      </c>
      <c r="H1035" s="1" t="s">
        <v>13</v>
      </c>
    </row>
    <row r="1036">
      <c r="A1036" s="1">
        <v>1034.0</v>
      </c>
      <c r="B1036" s="1" t="s">
        <v>3766</v>
      </c>
      <c r="C1036" s="1" t="s">
        <v>3823</v>
      </c>
      <c r="D1036" s="1" t="s">
        <v>3824</v>
      </c>
      <c r="E1036" s="2" t="str">
        <f>IFERROR(__xludf.DUMMYFUNCTION("GOOGLETRANSLATE(C1036, ""en"", ""th"")"),"ระบุรหัส API ของผู้เล่นที่มีคะแนนรวมสูงกว่าค่าเฉลี่ยโดยรวมสูงสุดในปี 2010")</f>
        <v>ระบุรหัส API ของผู้เล่นที่มีคะแนนรวมสูงกว่าค่าเฉลี่ยโดยรวมสูงสุดในปี 2010</v>
      </c>
      <c r="F1036" s="1" t="s">
        <v>3825</v>
      </c>
      <c r="G1036" s="1" t="s">
        <v>3826</v>
      </c>
      <c r="H1036" s="1" t="s">
        <v>13</v>
      </c>
    </row>
    <row r="1037">
      <c r="A1037" s="1">
        <v>1035.0</v>
      </c>
      <c r="B1037" s="1" t="s">
        <v>3766</v>
      </c>
      <c r="C1037" s="1" t="s">
        <v>3827</v>
      </c>
      <c r="D1037" s="1" t="s">
        <v>3828</v>
      </c>
      <c r="E1037" s="2" t="str">
        <f>IFERROR(__xludf.DUMMYFUNCTION("GOOGLETRANSLATE(C1037, ""en"", ""th"")"),"ให้ team_fifa_api_id ของทีมที่มีความเร็วในการเล่นมากกว่า 50 แต่น้อยกว่า 60")</f>
        <v>ให้ team_fifa_api_id ของทีมที่มีความเร็วในการเล่นมากกว่า 50 แต่น้อยกว่า 60</v>
      </c>
      <c r="F1037" s="1" t="s">
        <v>3829</v>
      </c>
      <c r="G1037" s="1" t="s">
        <v>3830</v>
      </c>
      <c r="H1037" s="1" t="s">
        <v>13</v>
      </c>
    </row>
    <row r="1038">
      <c r="A1038" s="1">
        <v>1036.0</v>
      </c>
      <c r="B1038" s="1" t="s">
        <v>3766</v>
      </c>
      <c r="C1038" s="1" t="s">
        <v>3831</v>
      </c>
      <c r="D1038" s="1" t="s">
        <v>3832</v>
      </c>
      <c r="E1038" s="2" t="str">
        <f>IFERROR(__xludf.DUMMYFUNCTION("GOOGLETRANSLATE(C1038, ""en"", ""th"")"),"รายชื่อทีมยาวๆ ที่มีการจ่ายบอลสูงกว่าค่าเฉลี่ยในปี 2012")</f>
        <v>รายชื่อทีมยาวๆ ที่มีการจ่ายบอลสูงกว่าค่าเฉลี่ยในปี 2012</v>
      </c>
      <c r="F1038" s="1" t="s">
        <v>3833</v>
      </c>
      <c r="G1038" s="1" t="s">
        <v>3834</v>
      </c>
      <c r="H1038" s="1" t="s">
        <v>101</v>
      </c>
    </row>
    <row r="1039">
      <c r="A1039" s="1">
        <v>1037.0</v>
      </c>
      <c r="B1039" s="1" t="s">
        <v>3766</v>
      </c>
      <c r="C1039" s="1" t="s">
        <v>3835</v>
      </c>
      <c r="D1039" s="1" t="s">
        <v>3836</v>
      </c>
      <c r="E1039" s="2" t="str">
        <f>IFERROR(__xludf.DUMMYFUNCTION("GOOGLETRANSLATE(C1039, ""en"", ""th"")"),"คำนวณเปอร์เซ็นต์ของผู้เล่นที่ชอบเท้าซ้ายที่เกิดระหว่างปี 1987 ถึง 1992")</f>
        <v>คำนวณเปอร์เซ็นต์ของผู้เล่นที่ชอบเท้าซ้ายที่เกิดระหว่างปี 1987 ถึง 1992</v>
      </c>
      <c r="F1039" s="1" t="s">
        <v>3837</v>
      </c>
      <c r="G1039" s="1" t="s">
        <v>3838</v>
      </c>
      <c r="H1039" s="1" t="s">
        <v>101</v>
      </c>
    </row>
    <row r="1040">
      <c r="A1040" s="1">
        <v>1038.0</v>
      </c>
      <c r="B1040" s="1" t="s">
        <v>3766</v>
      </c>
      <c r="C1040" s="1" t="s">
        <v>3839</v>
      </c>
      <c r="D1040" s="1" t="s">
        <v>3840</v>
      </c>
      <c r="E1040" s="2" t="str">
        <f>IFERROR(__xludf.DUMMYFUNCTION("GOOGLETRANSLATE(C1040, ""en"", ""th"")"),"รายชื่อลีก 5 อันดับแรกเรียงตามจำนวนประตูที่ทำในทุกฤดูกาลรวมกันจากน้อยไปหามาก")</f>
        <v>รายชื่อลีก 5 อันดับแรกเรียงตามจำนวนประตูที่ทำในทุกฤดูกาลรวมกันจากน้อยไปหามาก</v>
      </c>
      <c r="F1040" s="1" t="s">
        <v>3841</v>
      </c>
      <c r="G1040" s="1" t="s">
        <v>3842</v>
      </c>
      <c r="H1040" s="1" t="s">
        <v>18</v>
      </c>
    </row>
    <row r="1041">
      <c r="A1041" s="1">
        <v>1039.0</v>
      </c>
      <c r="B1041" s="1" t="s">
        <v>3766</v>
      </c>
      <c r="C1041" s="1" t="s">
        <v>3843</v>
      </c>
      <c r="D1041" s="1" t="s">
        <v>3844</v>
      </c>
      <c r="E1041" s="2" t="str">
        <f>IFERROR(__xludf.DUMMYFUNCTION("GOOGLETRANSLATE(C1041, ""en"", ""th"")"),"จงหาจำนวนเฉลี่ยของการยิงไกลโดย Ahmed Samir Farag")</f>
        <v>จงหาจำนวนเฉลี่ยของการยิงไกลโดย Ahmed Samir Farag</v>
      </c>
      <c r="F1041" s="1" t="s">
        <v>3845</v>
      </c>
      <c r="G1041" s="1" t="s">
        <v>3846</v>
      </c>
      <c r="H1041" s="1" t="s">
        <v>13</v>
      </c>
    </row>
    <row r="1042">
      <c r="A1042" s="1">
        <v>1040.0</v>
      </c>
      <c r="B1042" s="1" t="s">
        <v>3766</v>
      </c>
      <c r="C1042" s="1" t="s">
        <v>3847</v>
      </c>
      <c r="D1042" s="1" t="s">
        <v>3848</v>
      </c>
      <c r="E1042" s="2" t="str">
        <f>IFERROR(__xludf.DUMMYFUNCTION("GOOGLETRANSLATE(C1042, ""en"", ""th"")"),"รายชื่อผู้เล่น 10 อันดับแรกที่มีส่วนสูงมากกว่า 180 ตามลำดับจากมากไปหาน้อยตามความแม่นยำในการโหม่งโดยเฉลี่ย")</f>
        <v>รายชื่อผู้เล่น 10 อันดับแรกที่มีส่วนสูงมากกว่า 180 ตามลำดับจากมากไปหาน้อยตามความแม่นยำในการโหม่งโดยเฉลี่ย</v>
      </c>
      <c r="F1042" s="1" t="s">
        <v>3849</v>
      </c>
      <c r="G1042" s="1" t="s">
        <v>3850</v>
      </c>
      <c r="H1042" s="1" t="s">
        <v>18</v>
      </c>
    </row>
    <row r="1043">
      <c r="A1043" s="1">
        <v>1041.0</v>
      </c>
      <c r="B1043" s="1" t="s">
        <v>3766</v>
      </c>
      <c r="C1043" s="1" t="s">
        <v>3851</v>
      </c>
      <c r="D1043" s="1" t="s">
        <v>3852</v>
      </c>
      <c r="E1043" s="2" t="str">
        <f>IFERROR(__xludf.DUMMYFUNCTION("GOOGLETRANSLATE(C1043, ""en"", ""th"")"),"สำหรับทีมที่มีระดับการเลี้ยงบอลการเล่นแบบสะสมปกติในปี 2014 ให้ระบุรายชื่อทีมที่ผ่านการสร้างโอกาสน้อยกว่าค่าเฉลี่ย โดยเรียงลำดับจากมากไปหาน้อยของการส่งผ่าน")</f>
        <v>สำหรับทีมที่มีระดับการเลี้ยงบอลการเล่นแบบสะสมปกติในปี 2014 ให้ระบุรายชื่อทีมที่ผ่านการสร้างโอกาสน้อยกว่าค่าเฉลี่ย โดยเรียงลำดับจากมากไปหาน้อยของการส่งผ่าน</v>
      </c>
      <c r="F1043" s="1" t="s">
        <v>3853</v>
      </c>
      <c r="G1043" s="1" t="s">
        <v>3854</v>
      </c>
      <c r="H1043" s="1" t="s">
        <v>101</v>
      </c>
    </row>
    <row r="1044">
      <c r="A1044" s="1">
        <v>1042.0</v>
      </c>
      <c r="B1044" s="1" t="s">
        <v>3766</v>
      </c>
      <c r="C1044" s="1" t="s">
        <v>3855</v>
      </c>
      <c r="D1044" s="1" t="s">
        <v>3856</v>
      </c>
      <c r="E1044" s="2" t="str">
        <f>IFERROR(__xludf.DUMMYFUNCTION("GOOGLETRANSLATE(C1044, ""en"", ""th"")"),"รายชื่อลีกที่ประตูเฉลี่ยของเจ้าบ้านสูงกว่าทีมเยือนในฤดูกาล 2009/2010")</f>
        <v>รายชื่อลีกที่ประตูเฉลี่ยของเจ้าบ้านสูงกว่าทีมเยือนในฤดูกาล 2009/2010</v>
      </c>
      <c r="F1044" s="1" t="s">
        <v>3857</v>
      </c>
      <c r="G1044" s="1" t="s">
        <v>3858</v>
      </c>
      <c r="H1044" s="1" t="s">
        <v>101</v>
      </c>
    </row>
    <row r="1045">
      <c r="A1045" s="1">
        <v>1043.0</v>
      </c>
      <c r="B1045" s="1" t="s">
        <v>3766</v>
      </c>
      <c r="C1045" s="1" t="s">
        <v>3859</v>
      </c>
      <c r="D1045" s="1" t="s">
        <v>3860</v>
      </c>
      <c r="E1045" s="2" t="str">
        <f>IFERROR(__xludf.DUMMYFUNCTION("GOOGLETRANSLATE(C1045, ""en"", ""th"")"),"ชื่อสั้นของทีมฟุตบอล ควีนส์ปาร์ค เรนเจอร์ส คืออะไร?")</f>
        <v>ชื่อสั้นของทีมฟุตบอล ควีนส์ปาร์ค เรนเจอร์ส คืออะไร?</v>
      </c>
      <c r="F1045" s="1" t="s">
        <v>3861</v>
      </c>
      <c r="G1045" s="1" t="s">
        <v>3862</v>
      </c>
      <c r="H1045" s="1" t="s">
        <v>13</v>
      </c>
    </row>
    <row r="1046">
      <c r="A1046" s="1">
        <v>1044.0</v>
      </c>
      <c r="B1046" s="1" t="s">
        <v>3766</v>
      </c>
      <c r="C1046" s="1" t="s">
        <v>3863</v>
      </c>
      <c r="D1046" s="1" t="s">
        <v>3864</v>
      </c>
      <c r="E1046" s="2" t="str">
        <f>IFERROR(__xludf.DUMMYFUNCTION("GOOGLETRANSLATE(C1046, ""en"", ""th"")"),"รายชื่อนักฟุตบอลที่เกิดปี พ.ศ. 2513 และเดือนเกิดเดือนตุลาคม")</f>
        <v>รายชื่อนักฟุตบอลที่เกิดปี พ.ศ. 2513 และเดือนเกิดเดือนตุลาคม</v>
      </c>
      <c r="F1046" s="1" t="s">
        <v>3865</v>
      </c>
      <c r="G1046" s="1" t="s">
        <v>3866</v>
      </c>
      <c r="H1046" s="1" t="s">
        <v>13</v>
      </c>
    </row>
    <row r="1047">
      <c r="A1047" s="1">
        <v>1045.0</v>
      </c>
      <c r="B1047" s="1" t="s">
        <v>3766</v>
      </c>
      <c r="C1047" s="1" t="s">
        <v>3867</v>
      </c>
      <c r="E1047" s="2" t="str">
        <f>IFERROR(__xludf.DUMMYFUNCTION("GOOGLETRANSLATE(C1047, ""en"", ""th"")"),"อัตราการทำงานในแนวรุกของนักฟุตบอล ฟรังโก เซนนาโร อยู่ที่เท่าไร?")</f>
        <v>อัตราการทำงานในแนวรุกของนักฟุตบอล ฟรังโก เซนนาโร อยู่ที่เท่าไร?</v>
      </c>
      <c r="G1047" s="1" t="s">
        <v>3868</v>
      </c>
      <c r="H1047" s="1" t="s">
        <v>13</v>
      </c>
    </row>
    <row r="1048">
      <c r="A1048" s="1">
        <v>1046.0</v>
      </c>
      <c r="B1048" s="1" t="s">
        <v>3766</v>
      </c>
      <c r="C1048" s="1" t="s">
        <v>3869</v>
      </c>
      <c r="D1048" s="1" t="s">
        <v>3870</v>
      </c>
      <c r="E1048" s="2" t="str">
        <f>IFERROR(__xludf.DUMMYFUNCTION("GOOGLETRANSLATE(C1048, ""en"", ""th"")"),"เสรีภาพในการเคลื่อนที่ของทีม ADO Den Haag ใน 2 ใน 3 แรกของสนามคืออะไร?")</f>
        <v>เสรีภาพในการเคลื่อนที่ของทีม ADO Den Haag ใน 2 ใน 3 แรกของสนามคืออะไร?</v>
      </c>
      <c r="F1048" s="1" t="s">
        <v>3871</v>
      </c>
      <c r="G1048" s="1" t="s">
        <v>3872</v>
      </c>
      <c r="H1048" s="1" t="s">
        <v>18</v>
      </c>
    </row>
    <row r="1049">
      <c r="A1049" s="1">
        <v>1047.0</v>
      </c>
      <c r="B1049" s="1" t="s">
        <v>3766</v>
      </c>
      <c r="C1049" s="1" t="s">
        <v>3873</v>
      </c>
      <c r="D1049" s="1" t="s">
        <v>3874</v>
      </c>
      <c r="E1049" s="2" t="str">
        <f>IFERROR(__xludf.DUMMYFUNCTION("GOOGLETRANSLATE(C1049, ""en"", ""th"")"),"อัตราการจบสกอร์ของนักเตะ ฟรองซัวส์ อัฟโฟลเตอร์ เมื่อวันที่ 18/09/2014 คือเท่าไร?")</f>
        <v>อัตราการจบสกอร์ของนักเตะ ฟรองซัวส์ อัฟโฟลเตอร์ เมื่อวันที่ 18/09/2014 คือเท่าไร?</v>
      </c>
      <c r="F1049" s="1" t="s">
        <v>3875</v>
      </c>
      <c r="G1049" s="1" t="s">
        <v>3876</v>
      </c>
      <c r="H1049" s="1" t="s">
        <v>18</v>
      </c>
    </row>
    <row r="1050">
      <c r="A1050" s="1">
        <v>1048.0</v>
      </c>
      <c r="B1050" s="1" t="s">
        <v>3766</v>
      </c>
      <c r="C1050" s="1" t="s">
        <v>3877</v>
      </c>
      <c r="D1050" s="1" t="s">
        <v>3878</v>
      </c>
      <c r="E1050" s="2" t="str">
        <f>IFERROR(__xludf.DUMMYFUNCTION("GOOGLETRANSLATE(C1050, ""en"", ""th"")"),"เรตติ้งโดยรวมของนักฟุตบอล กาเบรียล ทามาส ในปี 2554 เป็นเท่าใด?")</f>
        <v>เรตติ้งโดยรวมของนักฟุตบอล กาเบรียล ทามาส ในปี 2554 เป็นเท่าใด?</v>
      </c>
      <c r="F1050" s="1" t="s">
        <v>3879</v>
      </c>
      <c r="G1050" s="1" t="s">
        <v>3880</v>
      </c>
      <c r="H1050" s="1" t="s">
        <v>13</v>
      </c>
    </row>
    <row r="1051">
      <c r="A1051" s="1">
        <v>1049.0</v>
      </c>
      <c r="B1051" s="1" t="s">
        <v>3766</v>
      </c>
      <c r="C1051" s="1" t="s">
        <v>3881</v>
      </c>
      <c r="D1051" s="1" t="s">
        <v>3882</v>
      </c>
      <c r="E1051" s="2" t="str">
        <f>IFERROR(__xludf.DUMMYFUNCTION("GOOGLETRANSLATE(C1051, ""en"", ""th"")"),"มีการแข่งขันกี่นัดในฤดูกาล 2015/2016 ในสกอตแลนด์พรีเมียร์ลีก
-")</f>
        <v>มีการแข่งขันกี่นัดในฤดูกาล 2015/2016 ในสกอตแลนด์พรีเมียร์ลีก
-</v>
      </c>
      <c r="F1051" s="1" t="s">
        <v>3883</v>
      </c>
      <c r="G1051" s="1" t="s">
        <v>3884</v>
      </c>
      <c r="H1051" s="1" t="s">
        <v>13</v>
      </c>
    </row>
    <row r="1052">
      <c r="A1052" s="1">
        <v>1050.0</v>
      </c>
      <c r="B1052" s="1" t="s">
        <v>3766</v>
      </c>
      <c r="C1052" s="1" t="s">
        <v>3885</v>
      </c>
      <c r="D1052" s="1" t="s">
        <v>3886</v>
      </c>
      <c r="E1052" s="2" t="str">
        <f>IFERROR(__xludf.DUMMYFUNCTION("GOOGLETRANSLATE(C1052, ""en"", ""th"")"),"นักเตะอายุน้อยนิยมโจมตีด้วยเท้าอะไร?")</f>
        <v>นักเตะอายุน้อยนิยมโจมตีด้วยเท้าอะไร?</v>
      </c>
      <c r="F1052" s="1" t="s">
        <v>3887</v>
      </c>
      <c r="G1052" s="1" t="s">
        <v>3888</v>
      </c>
      <c r="H1052" s="1" t="s">
        <v>13</v>
      </c>
    </row>
    <row r="1053">
      <c r="A1053" s="1">
        <v>1051.0</v>
      </c>
      <c r="B1053" s="1" t="s">
        <v>3766</v>
      </c>
      <c r="C1053" s="1" t="s">
        <v>3889</v>
      </c>
      <c r="D1053" s="1" t="s">
        <v>3890</v>
      </c>
      <c r="E1053" s="2" t="str">
        <f>IFERROR(__xludf.DUMMYFUNCTION("GOOGLETRANSLATE(C1053, ""en"", ""th"")"),"รายชื่อนักฟุตบอลทั้งหมดที่มีโอกาสทำคะแนนสูงสุด")</f>
        <v>รายชื่อนักฟุตบอลทั้งหมดที่มีโอกาสทำคะแนนสูงสุด</v>
      </c>
      <c r="F1053" s="1" t="s">
        <v>3891</v>
      </c>
      <c r="G1053" s="1" t="s">
        <v>3892</v>
      </c>
      <c r="H1053" s="1" t="s">
        <v>13</v>
      </c>
    </row>
    <row r="1054">
      <c r="A1054" s="1">
        <v>1052.0</v>
      </c>
      <c r="B1054" s="1" t="s">
        <v>3766</v>
      </c>
      <c r="C1054" s="1" t="s">
        <v>3893</v>
      </c>
      <c r="D1054" s="1" t="s">
        <v>3894</v>
      </c>
      <c r="E1054" s="2" t="str">
        <f>IFERROR(__xludf.DUMMYFUNCTION("GOOGLETRANSLATE(C1054, ""en"", ""th"")"),"ในบรรดาผู้เล่นที่มีน้ำหนักต่ำกว่า 130 มีกี่คนที่ชอบใช้เท้าในการโจมตี?")</f>
        <v>ในบรรดาผู้เล่นที่มีน้ำหนักต่ำกว่า 130 มีกี่คนที่ชอบใช้เท้าในการโจมตี?</v>
      </c>
      <c r="F1054" s="1" t="s">
        <v>3895</v>
      </c>
      <c r="G1054" s="1" t="s">
        <v>3896</v>
      </c>
      <c r="H1054" s="1" t="s">
        <v>18</v>
      </c>
    </row>
    <row r="1055">
      <c r="A1055" s="1">
        <v>1053.0</v>
      </c>
      <c r="B1055" s="1" t="s">
        <v>3766</v>
      </c>
      <c r="C1055" s="1" t="s">
        <v>3897</v>
      </c>
      <c r="D1055" s="1" t="s">
        <v>3898</v>
      </c>
      <c r="E1055" s="2" t="str">
        <f>IFERROR(__xludf.DUMMYFUNCTION("GOOGLETRANSLATE(C1055, ""en"", ""th"")"),"รายชื่อทีมฟุตบอลที่มีโอกาสสร้างโอกาสผ่านคลาส Risky ระบุชื่อย่อเท่านั้น")</f>
        <v>รายชื่อทีมฟุตบอลที่มีโอกาสสร้างโอกาสผ่านคลาส Risky ระบุชื่อย่อเท่านั้น</v>
      </c>
      <c r="F1055" s="1" t="s">
        <v>3899</v>
      </c>
      <c r="G1055" s="1" t="s">
        <v>3900</v>
      </c>
      <c r="H1055" s="1" t="s">
        <v>18</v>
      </c>
    </row>
    <row r="1056">
      <c r="A1056" s="1">
        <v>1054.0</v>
      </c>
      <c r="B1056" s="1" t="s">
        <v>3766</v>
      </c>
      <c r="C1056" s="1" t="s">
        <v>3901</v>
      </c>
      <c r="E1056" s="2" t="str">
        <f>IFERROR(__xludf.DUMMYFUNCTION("GOOGLETRANSLATE(C1056, ""en"", ""th"")"),"อัตราการทำงานด้านการป้องกันของนักฟุตบอล เดวิด วิลสัน เป็นเท่าใด
-")</f>
        <v>อัตราการทำงานด้านการป้องกันของนักฟุตบอล เดวิด วิลสัน เป็นเท่าใด
-</v>
      </c>
      <c r="G1056" s="1" t="s">
        <v>3902</v>
      </c>
      <c r="H1056" s="1" t="s">
        <v>13</v>
      </c>
    </row>
    <row r="1057">
      <c r="A1057" s="1">
        <v>1055.0</v>
      </c>
      <c r="B1057" s="1" t="s">
        <v>3766</v>
      </c>
      <c r="C1057" s="1" t="s">
        <v>3903</v>
      </c>
      <c r="D1057" s="1" t="s">
        <v>3904</v>
      </c>
      <c r="E1057" s="2" t="str">
        <f>IFERROR(__xludf.DUMMYFUNCTION("GOOGLETRANSLATE(C1057, ""en"", ""th"")"),"วันเกิดของนักฟุตบอลที่มีเรตติ้งรวมสูงสุดคือเมื่อไหร่?")</f>
        <v>วันเกิดของนักฟุตบอลที่มีเรตติ้งรวมสูงสุดคือเมื่อไหร่?</v>
      </c>
      <c r="F1057" s="1" t="s">
        <v>3905</v>
      </c>
      <c r="G1057" s="1" t="s">
        <v>3906</v>
      </c>
      <c r="H1057" s="1" t="s">
        <v>13</v>
      </c>
    </row>
    <row r="1058">
      <c r="A1058" s="1">
        <v>1056.0</v>
      </c>
      <c r="B1058" s="1" t="s">
        <v>3766</v>
      </c>
      <c r="C1058" s="1" t="s">
        <v>3907</v>
      </c>
      <c r="D1058" s="1" t="s">
        <v>3908</v>
      </c>
      <c r="E1058" s="2" t="str">
        <f>IFERROR(__xludf.DUMMYFUNCTION("GOOGLETRANSLATE(C1058, ""en"", ""th"")"),"ฟุตบอลลีกในประเทศเนเธอร์แลนด์มีชื่อว่าอะไร?")</f>
        <v>ฟุตบอลลีกในประเทศเนเธอร์แลนด์มีชื่อว่าอะไร?</v>
      </c>
      <c r="F1058" s="1" t="s">
        <v>3909</v>
      </c>
      <c r="G1058" s="1" t="s">
        <v>3910</v>
      </c>
      <c r="H1058" s="1" t="s">
        <v>13</v>
      </c>
    </row>
    <row r="1059">
      <c r="A1059" s="1">
        <v>1057.0</v>
      </c>
      <c r="B1059" s="1" t="s">
        <v>3766</v>
      </c>
      <c r="C1059" s="1" t="s">
        <v>3911</v>
      </c>
      <c r="D1059" s="1" t="s">
        <v>3912</v>
      </c>
      <c r="E1059" s="2" t="str">
        <f>IFERROR(__xludf.DUMMYFUNCTION("GOOGLETRANSLATE(C1059, ""en"", ""th"")"),"คำนวณประตูเฉลี่ยของทีมเหย้าในฤดูกาล 2010/2011 ในประเทศโปแลนด์")</f>
        <v>คำนวณประตูเฉลี่ยของทีมเหย้าในฤดูกาล 2010/2011 ในประเทศโปแลนด์</v>
      </c>
      <c r="F1059" s="1" t="s">
        <v>3913</v>
      </c>
      <c r="G1059" s="1" t="s">
        <v>3914</v>
      </c>
      <c r="H1059" s="1" t="s">
        <v>18</v>
      </c>
    </row>
    <row r="1060">
      <c r="A1060" s="1">
        <v>1058.0</v>
      </c>
      <c r="B1060" s="1" t="s">
        <v>3766</v>
      </c>
      <c r="C1060" s="1" t="s">
        <v>3915</v>
      </c>
      <c r="D1060" s="1" t="s">
        <v>3916</v>
      </c>
      <c r="E1060" s="2" t="str">
        <f>IFERROR(__xludf.DUMMYFUNCTION("GOOGLETRANSLATE(C1060, ""en"", ""th"")"),"ใครมีอัตราการจบสกอร์เฉลี่ยสูงสุดระหว่างนักฟุตบอลที่สูงที่สุดและเตี้ยที่สุด?")</f>
        <v>ใครมีอัตราการจบสกอร์เฉลี่ยสูงสุดระหว่างนักฟุตบอลที่สูงที่สุดและเตี้ยที่สุด?</v>
      </c>
      <c r="F1060" s="1" t="s">
        <v>3917</v>
      </c>
      <c r="G1060" s="1" t="s">
        <v>3918</v>
      </c>
      <c r="H1060" s="1" t="s">
        <v>101</v>
      </c>
    </row>
    <row r="1061">
      <c r="A1061" s="1">
        <v>1059.0</v>
      </c>
      <c r="B1061" s="1" t="s">
        <v>3766</v>
      </c>
      <c r="C1061" s="1" t="s">
        <v>3919</v>
      </c>
      <c r="D1061" s="1" t="s">
        <v>3920</v>
      </c>
      <c r="E1061" s="2" t="str">
        <f>IFERROR(__xludf.DUMMYFUNCTION("GOOGLETRANSLATE(C1061, ""en"", ""th"")"),"กรุณาระบุชื่อผู้เล่นที่สูงกว่า 180")</f>
        <v>กรุณาระบุชื่อผู้เล่นที่สูงกว่า 180</v>
      </c>
      <c r="F1061" s="1" t="s">
        <v>3921</v>
      </c>
      <c r="G1061" s="1" t="s">
        <v>3922</v>
      </c>
      <c r="H1061" s="1" t="s">
        <v>13</v>
      </c>
    </row>
    <row r="1062">
      <c r="A1062" s="1">
        <v>1060.0</v>
      </c>
      <c r="B1062" s="1" t="s">
        <v>3766</v>
      </c>
      <c r="C1062" s="1" t="s">
        <v>3923</v>
      </c>
      <c r="D1062" s="1" t="s">
        <v>3924</v>
      </c>
      <c r="E1062" s="2" t="str">
        <f>IFERROR(__xludf.DUMMYFUNCTION("GOOGLETRANSLATE(C1062, ""en"", ""th"")"),"มีผู้เล่นกี่คนที่เกิดหลังปี 1990?")</f>
        <v>มีผู้เล่นกี่คนที่เกิดหลังปี 1990?</v>
      </c>
      <c r="F1062" s="1" t="s">
        <v>3925</v>
      </c>
      <c r="G1062" s="1" t="s">
        <v>3926</v>
      </c>
      <c r="H1062" s="1" t="s">
        <v>13</v>
      </c>
    </row>
    <row r="1063">
      <c r="A1063" s="1">
        <v>1061.0</v>
      </c>
      <c r="B1063" s="1" t="s">
        <v>3766</v>
      </c>
      <c r="C1063" s="1" t="s">
        <v>3927</v>
      </c>
      <c r="D1063" s="1" t="s">
        <v>3928</v>
      </c>
      <c r="E1063" s="2" t="str">
        <f>IFERROR(__xludf.DUMMYFUNCTION("GOOGLETRANSLATE(C1063, ""en"", ""th"")"),"มีผู้เล่นกี่คนที่ชื่ออดัมและมีน้ำหนักมากกว่า 170 คน?")</f>
        <v>มีผู้เล่นกี่คนที่ชื่ออดัมและมีน้ำหนักมากกว่า 170 คน?</v>
      </c>
      <c r="F1063" s="1" t="s">
        <v>3929</v>
      </c>
      <c r="G1063" s="1" t="s">
        <v>3930</v>
      </c>
      <c r="H1063" s="1" t="s">
        <v>13</v>
      </c>
    </row>
    <row r="1064">
      <c r="A1064" s="1">
        <v>1062.0</v>
      </c>
      <c r="B1064" s="1" t="s">
        <v>3766</v>
      </c>
      <c r="C1064" s="1" t="s">
        <v>3931</v>
      </c>
      <c r="D1064" s="1" t="s">
        <v>3932</v>
      </c>
      <c r="E1064" s="2" t="str">
        <f>IFERROR(__xludf.DUMMYFUNCTION("GOOGLETRANSLATE(C1064, ""en"", ""th"")"),"ผู้เล่นคนใดมีเรตติ้งโดยรวมมากกว่า 80 ตั้งแต่ปี 2008 ถึง 2010 กรุณาระบุชื่อผู้เล่น")</f>
        <v>ผู้เล่นคนใดมีเรตติ้งโดยรวมมากกว่า 80 ตั้งแต่ปี 2008 ถึง 2010 กรุณาระบุชื่อผู้เล่น</v>
      </c>
      <c r="F1064" s="1" t="s">
        <v>3933</v>
      </c>
      <c r="G1064" s="1" t="s">
        <v>3934</v>
      </c>
      <c r="H1064" s="1" t="s">
        <v>18</v>
      </c>
    </row>
    <row r="1065">
      <c r="A1065" s="1">
        <v>1063.0</v>
      </c>
      <c r="B1065" s="1" t="s">
        <v>3766</v>
      </c>
      <c r="C1065" s="1" t="s">
        <v>3935</v>
      </c>
      <c r="D1065" s="1" t="s">
        <v>3936</v>
      </c>
      <c r="E1065" s="2" t="str">
        <f>IFERROR(__xludf.DUMMYFUNCTION("GOOGLETRANSLATE(C1065, ""en"", ""th"")"),"คะแนนที่เป็นไปได้ของ Aaron Doran คืออะไร?")</f>
        <v>คะแนนที่เป็นไปได้ของ Aaron Doran คืออะไร?</v>
      </c>
      <c r="F1065" s="1" t="s">
        <v>3937</v>
      </c>
      <c r="G1065" s="1" t="s">
        <v>3938</v>
      </c>
      <c r="H1065" s="1" t="s">
        <v>13</v>
      </c>
    </row>
    <row r="1066">
      <c r="A1066" s="1">
        <v>1064.0</v>
      </c>
      <c r="B1066" s="1" t="s">
        <v>3766</v>
      </c>
      <c r="C1066" s="1" t="s">
        <v>3939</v>
      </c>
      <c r="D1066" s="1" t="s">
        <v>3940</v>
      </c>
      <c r="E1066" s="2" t="str">
        <f>IFERROR(__xludf.DUMMYFUNCTION("GOOGLETRANSLATE(C1066, ""en"", ""th"")"),"รายชื่อผู้เล่นที่ต้องการเท้าซ้าย")</f>
        <v>รายชื่อผู้เล่นที่ต้องการเท้าซ้าย</v>
      </c>
      <c r="F1066" s="1" t="s">
        <v>3941</v>
      </c>
      <c r="G1066" s="1" t="s">
        <v>3942</v>
      </c>
      <c r="H1066" s="1" t="s">
        <v>13</v>
      </c>
    </row>
    <row r="1067">
      <c r="A1067" s="1">
        <v>1065.0</v>
      </c>
      <c r="B1067" s="1" t="s">
        <v>3766</v>
      </c>
      <c r="C1067" s="1" t="s">
        <v>3943</v>
      </c>
      <c r="D1067" s="1" t="s">
        <v>3928</v>
      </c>
      <c r="E1067" s="2" t="str">
        <f>IFERROR(__xludf.DUMMYFUNCTION("GOOGLETRANSLATE(C1067, ""en"", ""th"")"),"กรุณาระบุชื่อทีมทั้งหมดที่เป็นประเภทความเร็วเร็ว")</f>
        <v>กรุณาระบุชื่อทีมทั้งหมดที่เป็นประเภทความเร็วเร็ว</v>
      </c>
      <c r="F1067" s="1" t="s">
        <v>3929</v>
      </c>
      <c r="G1067" s="1" t="s">
        <v>3944</v>
      </c>
      <c r="H1067" s="1" t="s">
        <v>13</v>
      </c>
    </row>
    <row r="1068">
      <c r="A1068" s="1">
        <v>1066.0</v>
      </c>
      <c r="B1068" s="1" t="s">
        <v>3766</v>
      </c>
      <c r="C1068" s="1" t="s">
        <v>3945</v>
      </c>
      <c r="D1068" s="1" t="s">
        <v>3946</v>
      </c>
      <c r="E1068" s="2" t="str">
        <f>IFERROR(__xludf.DUMMYFUNCTION("GOOGLETRANSLATE(C1068, ""en"", ""th"")"),"คลาสที่ผ่านของทีม CLB คืออะไร?")</f>
        <v>คลาสที่ผ่านของทีม CLB คืออะไร?</v>
      </c>
      <c r="F1068" s="1" t="s">
        <v>3947</v>
      </c>
      <c r="G1068" s="1" t="s">
        <v>3948</v>
      </c>
      <c r="H1068" s="1" t="s">
        <v>13</v>
      </c>
    </row>
    <row r="1069">
      <c r="A1069" s="1">
        <v>1067.0</v>
      </c>
      <c r="B1069" s="1" t="s">
        <v>3766</v>
      </c>
      <c r="C1069" s="1" t="s">
        <v>3949</v>
      </c>
      <c r="D1069" s="1" t="s">
        <v>3950</v>
      </c>
      <c r="E1069" s="2" t="str">
        <f>IFERROR(__xludf.DUMMYFUNCTION("GOOGLETRANSLATE(C1069, ""en"", ""th"")"),"ทีมไหนสร้างฟอร์มการเล่นผ่านเกิน 70 บ้าง? กรุณาระบุชื่อย่อของพวกเขา")</f>
        <v>ทีมไหนสร้างฟอร์มการเล่นผ่านเกิน 70 บ้าง? กรุณาระบุชื่อย่อของพวกเขา</v>
      </c>
      <c r="F1069" s="1" t="s">
        <v>3951</v>
      </c>
      <c r="G1069" s="1" t="s">
        <v>3952</v>
      </c>
      <c r="H1069" s="1" t="s">
        <v>18</v>
      </c>
    </row>
    <row r="1070">
      <c r="A1070" s="1">
        <v>1068.0</v>
      </c>
      <c r="B1070" s="1" t="s">
        <v>3766</v>
      </c>
      <c r="C1070" s="1" t="s">
        <v>3953</v>
      </c>
      <c r="D1070" s="1" t="s">
        <v>3954</v>
      </c>
      <c r="E1070" s="2" t="str">
        <f>IFERROR(__xludf.DUMMYFUNCTION("GOOGLETRANSLATE(C1070, ""en"", ""th"")"),"ตั้งแต่ปี 2010 ถึง 2015 เรตติ้งโดยรวมเฉลี่ยของผู้เล่นที่สูงกว่า 170 เป็นเท่าใด")</f>
        <v>ตั้งแต่ปี 2010 ถึง 2015 เรตติ้งโดยรวมเฉลี่ยของผู้เล่นที่สูงกว่า 170 เป็นเท่าใด</v>
      </c>
      <c r="F1070" s="1" t="s">
        <v>3955</v>
      </c>
      <c r="G1070" s="1" t="s">
        <v>3956</v>
      </c>
      <c r="H1070" s="1" t="s">
        <v>18</v>
      </c>
    </row>
    <row r="1071">
      <c r="A1071" s="1">
        <v>1069.0</v>
      </c>
      <c r="B1071" s="1" t="s">
        <v>3766</v>
      </c>
      <c r="C1071" s="1" t="s">
        <v>3957</v>
      </c>
      <c r="D1071" s="1" t="s">
        <v>3958</v>
      </c>
      <c r="E1071" s="2" t="str">
        <f>IFERROR(__xludf.DUMMYFUNCTION("GOOGLETRANSLATE(C1071, ""en"", ""th"")"),"นักฟุตบอลคนไหนมีส่วนสูงน้อยที่สุด?")</f>
        <v>นักฟุตบอลคนไหนมีส่วนสูงน้อยที่สุด?</v>
      </c>
      <c r="F1071" s="1" t="s">
        <v>3959</v>
      </c>
      <c r="G1071" s="1" t="s">
        <v>3960</v>
      </c>
      <c r="H1071" s="1" t="s">
        <v>13</v>
      </c>
    </row>
    <row r="1072">
      <c r="A1072" s="1">
        <v>1070.0</v>
      </c>
      <c r="B1072" s="1" t="s">
        <v>3766</v>
      </c>
      <c r="C1072" s="1" t="s">
        <v>3961</v>
      </c>
      <c r="D1072" s="1" t="s">
        <v>3962</v>
      </c>
      <c r="E1072" s="2" t="str">
        <f>IFERROR(__xludf.DUMMYFUNCTION("GOOGLETRANSLATE(C1072, ""en"", ""th"")"),"ลีกอิตาลี เซเรียอา มาจากประเทศใด?")</f>
        <v>ลีกอิตาลี เซเรียอา มาจากประเทศใด?</v>
      </c>
      <c r="F1072" s="1" t="s">
        <v>3963</v>
      </c>
      <c r="G1072" s="1" t="s">
        <v>3964</v>
      </c>
      <c r="H1072" s="1" t="s">
        <v>13</v>
      </c>
    </row>
    <row r="1073">
      <c r="A1073" s="1">
        <v>1071.0</v>
      </c>
      <c r="B1073" s="1" t="s">
        <v>3766</v>
      </c>
      <c r="C1073" s="1" t="s">
        <v>3965</v>
      </c>
      <c r="D1073" s="1" t="s">
        <v>3966</v>
      </c>
      <c r="E1073" s="2" t="str">
        <f>IFERROR(__xludf.DUMMYFUNCTION("GOOGLETRANSLATE(C1073, ""en"", ""th"")"),"รายชื่อทีมฟุตบอลที่มีความเร็วในการเล่นสะสม 31 แผนการเลี้ยงบอล 53 และสร้างการส่งผ่านการเล่น 32 ระบุเพียงชื่อสั้นของทีม")</f>
        <v>รายชื่อทีมฟุตบอลที่มีความเร็วในการเล่นสะสม 31 แผนการเลี้ยงบอล 53 และสร้างการส่งผ่านการเล่น 32 ระบุเพียงชื่อสั้นของทีม</v>
      </c>
      <c r="F1073" s="1" t="s">
        <v>3967</v>
      </c>
      <c r="G1073" s="1" t="s">
        <v>3968</v>
      </c>
      <c r="H1073" s="1" t="s">
        <v>101</v>
      </c>
    </row>
    <row r="1074">
      <c r="A1074" s="1">
        <v>1072.0</v>
      </c>
      <c r="B1074" s="1" t="s">
        <v>3766</v>
      </c>
      <c r="C1074" s="1" t="s">
        <v>3969</v>
      </c>
      <c r="D1074" s="1" t="s">
        <v>3970</v>
      </c>
      <c r="E1074" s="2" t="str">
        <f>IFERROR(__xludf.DUMMYFUNCTION("GOOGLETRANSLATE(C1074, ""en"", ""th"")"),"เรตติ้งเฉลี่ยโดยรวมของนักฟุตบอล แอรอน โดรัน คือเท่าไร?")</f>
        <v>เรตติ้งเฉลี่ยโดยรวมของนักฟุตบอล แอรอน โดรัน คือเท่าไร?</v>
      </c>
      <c r="F1074" s="1" t="s">
        <v>3971</v>
      </c>
      <c r="G1074" s="1" t="s">
        <v>3972</v>
      </c>
      <c r="H1074" s="1" t="s">
        <v>13</v>
      </c>
    </row>
    <row r="1075">
      <c r="A1075" s="1">
        <v>1073.0</v>
      </c>
      <c r="B1075" s="1" t="s">
        <v>3766</v>
      </c>
      <c r="C1075" s="1" t="s">
        <v>3973</v>
      </c>
      <c r="D1075" s="1" t="s">
        <v>3974</v>
      </c>
      <c r="E1075" s="2" t="str">
        <f>IFERROR(__xludf.DUMMYFUNCTION("GOOGLETRANSLATE(C1075, ""en"", ""th"")"),"มีการแข่งขันกี่นัดในลีก เยอรมนี 1 บุนเดสลีกา
ตั้งแต่เดือนสิงหาคมถึงตุลาคม 2551?")</f>
        <v>มีการแข่งขันกี่นัดในลีก เยอรมนี 1 บุนเดสลีกา
ตั้งแต่เดือนสิงหาคมถึงตุลาคม 2551?</v>
      </c>
      <c r="F1075" s="1" t="s">
        <v>3975</v>
      </c>
      <c r="G1075" s="1" t="s">
        <v>3976</v>
      </c>
      <c r="H1075" s="1" t="s">
        <v>18</v>
      </c>
    </row>
    <row r="1076">
      <c r="A1076" s="1">
        <v>1074.0</v>
      </c>
      <c r="B1076" s="1" t="s">
        <v>3766</v>
      </c>
      <c r="C1076" s="1" t="s">
        <v>3977</v>
      </c>
      <c r="D1076" s="1" t="s">
        <v>3978</v>
      </c>
      <c r="E1076" s="2" t="str">
        <f>IFERROR(__xludf.DUMMYFUNCTION("GOOGLETRANSLATE(C1076, ""en"", ""th"")"),"รายชื่อนักเตะทีมเหย้าที่ยิงประตู 10 ทั้งหมด?")</f>
        <v>รายชื่อนักเตะทีมเหย้าที่ยิงประตู 10 ทั้งหมด?</v>
      </c>
      <c r="F1076" s="1" t="s">
        <v>3979</v>
      </c>
      <c r="G1076" s="1" t="s">
        <v>3980</v>
      </c>
      <c r="H1076" s="1" t="s">
        <v>13</v>
      </c>
    </row>
    <row r="1077">
      <c r="A1077" s="1">
        <v>1075.0</v>
      </c>
      <c r="B1077" s="1" t="s">
        <v>3766</v>
      </c>
      <c r="C1077" s="1" t="s">
        <v>3981</v>
      </c>
      <c r="D1077" s="1" t="s">
        <v>3982</v>
      </c>
      <c r="E1077" s="2" t="str">
        <f>IFERROR(__xludf.DUMMYFUNCTION("GOOGLETRANSLATE(C1077, ""en"", ""th"")"),"รายชื่อนักฟุตบอลทั้งหมดที่มีคะแนนสมดุลสูงสุดและคะแนนที่เป็นไปได้คือ 61")</f>
        <v>รายชื่อนักฟุตบอลทั้งหมดที่มีคะแนนสมดุลสูงสุดและคะแนนที่เป็นไปได้คือ 61</v>
      </c>
      <c r="F1077" s="1" t="s">
        <v>3983</v>
      </c>
      <c r="G1077" s="1" t="s">
        <v>3984</v>
      </c>
      <c r="H1077" s="1" t="s">
        <v>18</v>
      </c>
    </row>
    <row r="1078">
      <c r="A1078" s="1">
        <v>1076.0</v>
      </c>
      <c r="B1078" s="1" t="s">
        <v>3766</v>
      </c>
      <c r="C1078" s="1" t="s">
        <v>3985</v>
      </c>
      <c r="D1078" s="1" t="s">
        <v>3986</v>
      </c>
      <c r="E1078" s="2" t="str">
        <f>IFERROR(__xludf.DUMMYFUNCTION("GOOGLETRANSLATE(C1078, ""en"", ""th"")"),"อะไรคือความแตกต่างของคะแนนการควบคุมบอลโดยเฉลี่ยระหว่าง Abdou Diallo และ Aaron Appindangoye?
-")</f>
        <v>อะไรคือความแตกต่างของคะแนนการควบคุมบอลโดยเฉลี่ยระหว่าง Abdou Diallo และ Aaron Appindangoye?
-</v>
      </c>
      <c r="F1078" s="1" t="s">
        <v>3987</v>
      </c>
      <c r="G1078" s="1" t="s">
        <v>3988</v>
      </c>
      <c r="H1078" s="1" t="s">
        <v>101</v>
      </c>
    </row>
    <row r="1079">
      <c r="A1079" s="1">
        <v>1077.0</v>
      </c>
      <c r="B1079" s="1" t="s">
        <v>3766</v>
      </c>
      <c r="C1079" s="1" t="s">
        <v>3989</v>
      </c>
      <c r="D1079" s="1" t="s">
        <v>3990</v>
      </c>
      <c r="E1079" s="2" t="str">
        <f>IFERROR(__xludf.DUMMYFUNCTION("GOOGLETRANSLATE(C1079, ""en"", ""th"")"),"ชื่อยาวของทีม GEN คืออะไร?")</f>
        <v>ชื่อยาวของทีม GEN คืออะไร?</v>
      </c>
      <c r="F1079" s="1" t="s">
        <v>3991</v>
      </c>
      <c r="G1079" s="1" t="s">
        <v>3992</v>
      </c>
      <c r="H1079" s="1" t="s">
        <v>13</v>
      </c>
    </row>
    <row r="1080">
      <c r="A1080" s="1">
        <v>1078.0</v>
      </c>
      <c r="B1080" s="1" t="s">
        <v>3766</v>
      </c>
      <c r="C1080" s="1" t="s">
        <v>3993</v>
      </c>
      <c r="D1080" s="1" t="s">
        <v>3994</v>
      </c>
      <c r="E1080" s="2" t="str">
        <f>IFERROR(__xludf.DUMMYFUNCTION("GOOGLETRANSLATE(C1080, ""en"", ""th"")"),"นักเตะคนไหนอายุมากกว่ากัน อารอน เลนนอน หรือ อับเดลาซิซ บาร์ราดา?")</f>
        <v>นักเตะคนไหนอายุมากกว่ากัน อารอน เลนนอน หรือ อับเดลาซิซ บาร์ราดา?</v>
      </c>
      <c r="F1080" s="1" t="s">
        <v>3995</v>
      </c>
      <c r="G1080" s="1" t="s">
        <v>3996</v>
      </c>
      <c r="H1080" s="1" t="s">
        <v>13</v>
      </c>
    </row>
    <row r="1081">
      <c r="A1081" s="1">
        <v>1079.0</v>
      </c>
      <c r="B1081" s="1" t="s">
        <v>3766</v>
      </c>
      <c r="C1081" s="1" t="s">
        <v>3997</v>
      </c>
      <c r="D1081" s="1" t="s">
        <v>3772</v>
      </c>
      <c r="E1081" s="2" t="str">
        <f>IFERROR(__xludf.DUMMYFUNCTION("GOOGLETRANSLATE(C1081, ""en"", ""th"")"),"นักเตะคนไหนสูงที่สุด?")</f>
        <v>นักเตะคนไหนสูงที่สุด?</v>
      </c>
      <c r="F1081" s="1" t="s">
        <v>3773</v>
      </c>
      <c r="G1081" s="1" t="s">
        <v>3774</v>
      </c>
      <c r="H1081" s="1" t="s">
        <v>13</v>
      </c>
    </row>
    <row r="1082">
      <c r="A1082" s="1">
        <v>1080.0</v>
      </c>
      <c r="B1082" s="1" t="s">
        <v>3766</v>
      </c>
      <c r="C1082" s="1" t="s">
        <v>3998</v>
      </c>
      <c r="D1082" s="1" t="s">
        <v>3999</v>
      </c>
      <c r="E1082" s="2" t="str">
        <f>IFERROR(__xludf.DUMMYFUNCTION("GOOGLETRANSLATE(C1082, ""en"", ""th"")"),"ในบรรดาผู้เล่นที่ชอบใช้เท้าซ้ายในการโจมตี จะมีสักกี่คนที่ยังคงอยู่ในตำแหน่งของเขาเมื่อทีมโจมตี?")</f>
        <v>ในบรรดาผู้เล่นที่ชอบใช้เท้าซ้ายในการโจมตี จะมีสักกี่คนที่ยังคงอยู่ในตำแหน่งของเขาเมื่อทีมโจมตี?</v>
      </c>
      <c r="F1082" s="1" t="s">
        <v>4000</v>
      </c>
      <c r="G1082" s="1" t="s">
        <v>4001</v>
      </c>
      <c r="H1082" s="1" t="s">
        <v>18</v>
      </c>
    </row>
    <row r="1083">
      <c r="A1083" s="1">
        <v>1081.0</v>
      </c>
      <c r="B1083" s="1" t="s">
        <v>3766</v>
      </c>
      <c r="C1083" s="1" t="s">
        <v>4002</v>
      </c>
      <c r="D1083" s="1" t="s">
        <v>4003</v>
      </c>
      <c r="E1083" s="2" t="str">
        <f>IFERROR(__xludf.DUMMYFUNCTION("GOOGLETRANSLATE(C1083, ""en"", ""th"")"),"เบลเยียม จูปิแลร์ ลีก มาจากประเทศใด?")</f>
        <v>เบลเยียม จูปิแลร์ ลีก มาจากประเทศใด?</v>
      </c>
      <c r="F1083" s="1" t="s">
        <v>4004</v>
      </c>
      <c r="G1083" s="1" t="s">
        <v>4005</v>
      </c>
      <c r="H1083" s="1" t="s">
        <v>13</v>
      </c>
    </row>
    <row r="1084">
      <c r="A1084" s="1">
        <v>1082.0</v>
      </c>
      <c r="B1084" s="1" t="s">
        <v>3766</v>
      </c>
      <c r="C1084" s="1" t="s">
        <v>4006</v>
      </c>
      <c r="D1084" s="1" t="s">
        <v>4007</v>
      </c>
      <c r="E1084" s="2" t="str">
        <f>IFERROR(__xludf.DUMMYFUNCTION("GOOGLETRANSLATE(C1084, ""en"", ""th"")"),"กรุณารายชื่อลีกจากเยอรมนี")</f>
        <v>กรุณารายชื่อลีกจากเยอรมนี</v>
      </c>
      <c r="F1084" s="1" t="s">
        <v>4008</v>
      </c>
      <c r="G1084" s="1" t="s">
        <v>4009</v>
      </c>
      <c r="H1084" s="1" t="s">
        <v>13</v>
      </c>
    </row>
    <row r="1085">
      <c r="A1085" s="1">
        <v>1083.0</v>
      </c>
      <c r="B1085" s="1" t="s">
        <v>3766</v>
      </c>
      <c r="C1085" s="1" t="s">
        <v>4010</v>
      </c>
      <c r="D1085" s="1" t="s">
        <v>4011</v>
      </c>
      <c r="E1085" s="2" t="str">
        <f>IFERROR(__xludf.DUMMYFUNCTION("GOOGLETRANSLATE(C1085, ""en"", ""th"")"),"ผู้เล่นคนใดมีความแข็งแกร่งโดยรวมที่แข็งแกร่งที่สุด?")</f>
        <v>ผู้เล่นคนใดมีความแข็งแกร่งโดยรวมที่แข็งแกร่งที่สุด?</v>
      </c>
      <c r="F1085" s="1" t="s">
        <v>4012</v>
      </c>
      <c r="G1085" s="1" t="s">
        <v>4013</v>
      </c>
      <c r="H1085" s="1" t="s">
        <v>13</v>
      </c>
    </row>
    <row r="1086">
      <c r="A1086" s="1">
        <v>1084.0</v>
      </c>
      <c r="B1086" s="1" t="s">
        <v>3766</v>
      </c>
      <c r="C1086" s="1" t="s">
        <v>4014</v>
      </c>
      <c r="D1086" s="1" t="s">
        <v>4015</v>
      </c>
      <c r="E1086" s="2" t="str">
        <f>IFERROR(__xludf.DUMMYFUNCTION("GOOGLETRANSLATE(C1086, ""en"", ""th"")"),"ในบรรดาผู้เล่นที่เกิดก่อนปี 1986 มีกี่คนที่จะยังคงอยู่ในตำแหน่งและแนวรับในขณะที่ทีมโจมตี?")</f>
        <v>ในบรรดาผู้เล่นที่เกิดก่อนปี 1986 มีกี่คนที่จะยังคงอยู่ในตำแหน่งและแนวรับในขณะที่ทีมโจมตี?</v>
      </c>
      <c r="F1086" s="1" t="s">
        <v>4016</v>
      </c>
      <c r="G1086" s="1" t="s">
        <v>4017</v>
      </c>
      <c r="H1086" s="1" t="s">
        <v>101</v>
      </c>
    </row>
    <row r="1087">
      <c r="A1087" s="1">
        <v>1085.0</v>
      </c>
      <c r="B1087" s="1" t="s">
        <v>3766</v>
      </c>
      <c r="C1087" s="1" t="s">
        <v>4018</v>
      </c>
      <c r="D1087" s="1" t="s">
        <v>4019</v>
      </c>
      <c r="E1087" s="2" t="str">
        <f>IFERROR(__xludf.DUMMYFUNCTION("GOOGLETRANSLATE(C1087, ""en"", ""th"")"),"ผู้เล่นคนใดที่เล่นข้ามแดนได้ดีที่สุด อเล็กซิส, เอเรียล โบรีซิก หรือ อารูน่า โคเน่?")</f>
        <v>ผู้เล่นคนใดที่เล่นข้ามแดนได้ดีที่สุด อเล็กซิส, เอเรียล โบรีซิก หรือ อารูน่า โคเน่?</v>
      </c>
      <c r="F1087" s="1" t="s">
        <v>4020</v>
      </c>
      <c r="G1087" s="1" t="s">
        <v>4021</v>
      </c>
      <c r="H1087" s="1" t="s">
        <v>18</v>
      </c>
    </row>
    <row r="1088">
      <c r="A1088" s="1">
        <v>1086.0</v>
      </c>
      <c r="B1088" s="1" t="s">
        <v>3766</v>
      </c>
      <c r="C1088" s="1" t="s">
        <v>4022</v>
      </c>
      <c r="E1088" s="2" t="str">
        <f>IFERROR(__xludf.DUMMYFUNCTION("GOOGLETRANSLATE(C1088, ""en"", ""th"")"),"ความแม่นยำในการโหม่งของ Ariel Borysiuk คืออะไร?")</f>
        <v>ความแม่นยำในการโหม่งของ Ariel Borysiuk คืออะไร?</v>
      </c>
      <c r="G1088" s="1" t="s">
        <v>4023</v>
      </c>
      <c r="H1088" s="1" t="s">
        <v>13</v>
      </c>
    </row>
    <row r="1089">
      <c r="A1089" s="1">
        <v>1087.0</v>
      </c>
      <c r="B1089" s="1" t="s">
        <v>3766</v>
      </c>
      <c r="C1089" s="1" t="s">
        <v>4024</v>
      </c>
      <c r="D1089" s="1" t="s">
        <v>4025</v>
      </c>
      <c r="E1089" s="2" t="str">
        <f>IFERROR(__xludf.DUMMYFUNCTION("GOOGLETRANSLATE(C1089, ""en"", ""th"")"),"ในบรรดาผู้เล่นที่มีส่วนสูงมากกว่า 180 มีกี่คนที่มีคะแนนวอลเลย์เกิน 70?")</f>
        <v>ในบรรดาผู้เล่นที่มีส่วนสูงมากกว่า 180 มีกี่คนที่มีคะแนนวอลเลย์เกิน 70?</v>
      </c>
      <c r="F1089" s="1" t="s">
        <v>4026</v>
      </c>
      <c r="G1089" s="1" t="s">
        <v>4027</v>
      </c>
      <c r="H1089" s="1" t="s">
        <v>13</v>
      </c>
    </row>
    <row r="1090">
      <c r="A1090" s="1">
        <v>1088.0</v>
      </c>
      <c r="B1090" s="1" t="s">
        <v>3766</v>
      </c>
      <c r="C1090" s="1" t="s">
        <v>4028</v>
      </c>
      <c r="D1090" s="1" t="s">
        <v>4029</v>
      </c>
      <c r="E1090" s="2" t="str">
        <f>IFERROR(__xludf.DUMMYFUNCTION("GOOGLETRANSLATE(C1090, ""en"", ""th"")"),"กรุณาระบุชื่อผู้เล่นที่มีคะแนนวอลเลย์และคะแนนเลี้ยงบอลเกิน 70")</f>
        <v>กรุณาระบุชื่อผู้เล่นที่มีคะแนนวอลเลย์และคะแนนเลี้ยงบอลเกิน 70</v>
      </c>
      <c r="F1090" s="1" t="s">
        <v>4030</v>
      </c>
      <c r="G1090" s="1" t="s">
        <v>4031</v>
      </c>
      <c r="H1090" s="1" t="s">
        <v>18</v>
      </c>
    </row>
    <row r="1091">
      <c r="A1091" s="1">
        <v>1089.0</v>
      </c>
      <c r="B1091" s="1" t="s">
        <v>3766</v>
      </c>
      <c r="C1091" s="1" t="s">
        <v>4032</v>
      </c>
      <c r="D1091" s="1" t="s">
        <v>4033</v>
      </c>
      <c r="E1091" s="2" t="str">
        <f>IFERROR(__xludf.DUMMYFUNCTION("GOOGLETRANSLATE(C1091, ""en"", ""th"")"),"ฤดูกาล 2008/2009 จัดขึ้นที่เบลเยียมกี่นัด?")</f>
        <v>ฤดูกาล 2008/2009 จัดขึ้นที่เบลเยียมกี่นัด?</v>
      </c>
      <c r="F1091" s="1" t="s">
        <v>4034</v>
      </c>
      <c r="G1091" s="1" t="s">
        <v>4035</v>
      </c>
      <c r="H1091" s="1" t="s">
        <v>13</v>
      </c>
    </row>
    <row r="1092">
      <c r="A1092" s="1">
        <v>1090.0</v>
      </c>
      <c r="B1092" s="1" t="s">
        <v>3766</v>
      </c>
      <c r="C1092" s="1" t="s">
        <v>4036</v>
      </c>
      <c r="D1092" s="1" t="s">
        <v>4037</v>
      </c>
      <c r="E1092" s="2" t="str">
        <f>IFERROR(__xludf.DUMMYFUNCTION("GOOGLETRANSLATE(C1092, ""en"", ""th"")"),"ผู้เล่นอายุมากที่สุดจ่ายบอลยาวได้เท่าไร?")</f>
        <v>ผู้เล่นอายุมากที่สุดจ่ายบอลยาวได้เท่าไร?</v>
      </c>
      <c r="F1092" s="1" t="s">
        <v>4038</v>
      </c>
      <c r="G1092" s="1" t="s">
        <v>4039</v>
      </c>
      <c r="H1092" s="1" t="s">
        <v>13</v>
      </c>
    </row>
    <row r="1093">
      <c r="A1093" s="1">
        <v>1091.0</v>
      </c>
      <c r="B1093" s="1" t="s">
        <v>3766</v>
      </c>
      <c r="C1093" s="1" t="s">
        <v>4040</v>
      </c>
      <c r="D1093" s="1" t="s">
        <v>4041</v>
      </c>
      <c r="E1093" s="2" t="str">
        <f>IFERROR(__xludf.DUMMYFUNCTION("GOOGLETRANSLATE(C1093, ""en"", ""th"")"),"เบลเยียม จูปิแลร์ ลีก จัดขึ้นกี่นัดในเดือนเมษายน พ.ศ. 2552")</f>
        <v>เบลเยียม จูปิแลร์ ลีก จัดขึ้นกี่นัดในเดือนเมษายน พ.ศ. 2552</v>
      </c>
      <c r="F1093" s="1" t="s">
        <v>4042</v>
      </c>
      <c r="G1093" s="1" t="s">
        <v>4043</v>
      </c>
      <c r="H1093" s="1" t="s">
        <v>18</v>
      </c>
    </row>
    <row r="1094">
      <c r="A1094" s="1">
        <v>1092.0</v>
      </c>
      <c r="B1094" s="1" t="s">
        <v>3766</v>
      </c>
      <c r="C1094" s="1" t="s">
        <v>4044</v>
      </c>
      <c r="D1094" s="1" t="s">
        <v>4045</v>
      </c>
      <c r="E1094" s="2" t="str">
        <f>IFERROR(__xludf.DUMMYFUNCTION("GOOGLETRANSLATE(C1094, ""en"", ""th"")"),"ให้ชื่อลีกที่มีการแข่งขันมากที่สุดในฤดูกาล 2008/2009 หรือไม่?")</f>
        <v>ให้ชื่อลีกที่มีการแข่งขันมากที่สุดในฤดูกาล 2008/2009 หรือไม่?</v>
      </c>
      <c r="F1094" s="1" t="s">
        <v>4046</v>
      </c>
      <c r="G1094" s="1" t="s">
        <v>4047</v>
      </c>
      <c r="H1094" s="1" t="s">
        <v>13</v>
      </c>
    </row>
    <row r="1095">
      <c r="A1095" s="1">
        <v>1093.0</v>
      </c>
      <c r="B1095" s="1" t="s">
        <v>3766</v>
      </c>
      <c r="C1095" s="1" t="s">
        <v>4048</v>
      </c>
      <c r="D1095" s="1" t="s">
        <v>4049</v>
      </c>
      <c r="E1095" s="2" t="str">
        <f>IFERROR(__xludf.DUMMYFUNCTION("GOOGLETRANSLATE(C1095, ""en"", ""th"")"),"เรตติ้งโดยรวมเฉลี่ยของนักเตะที่เกิดก่อนปี 1986 เป็นเท่าไหร่?")</f>
        <v>เรตติ้งโดยรวมเฉลี่ยของนักเตะที่เกิดก่อนปี 1986 เป็นเท่าไหร่?</v>
      </c>
      <c r="F1095" s="1" t="s">
        <v>4050</v>
      </c>
      <c r="G1095" s="1" t="s">
        <v>4051</v>
      </c>
      <c r="H1095" s="1" t="s">
        <v>18</v>
      </c>
    </row>
    <row r="1096">
      <c r="A1096" s="1">
        <v>1094.0</v>
      </c>
      <c r="B1096" s="1" t="s">
        <v>3766</v>
      </c>
      <c r="C1096" s="1" t="s">
        <v>4052</v>
      </c>
      <c r="D1096" s="1" t="s">
        <v>4053</v>
      </c>
      <c r="E1096" s="2" t="str">
        <f>IFERROR(__xludf.DUMMYFUNCTION("GOOGLETRANSLATE(C1096, ""en"", ""th"")"),"คะแนนโดยรวมของ Ariel Borysiuk สูงกว่า Paulin Puel กี่เปอร์เซ็นต์?")</f>
        <v>คะแนนโดยรวมของ Ariel Borysiuk สูงกว่า Paulin Puel กี่เปอร์เซ็นต์?</v>
      </c>
      <c r="F1096" s="1" t="s">
        <v>4054</v>
      </c>
      <c r="G1096" s="1" t="s">
        <v>4055</v>
      </c>
      <c r="H1096" s="1" t="s">
        <v>101</v>
      </c>
    </row>
    <row r="1097">
      <c r="A1097" s="1">
        <v>1095.0</v>
      </c>
      <c r="B1097" s="1" t="s">
        <v>3766</v>
      </c>
      <c r="C1097" s="1" t="s">
        <v>4056</v>
      </c>
      <c r="D1097" s="1" t="s">
        <v>4057</v>
      </c>
      <c r="E1097" s="2" t="str">
        <f>IFERROR(__xludf.DUMMYFUNCTION("GOOGLETRANSLATE(C1097, ""en"", ""th"")"),"ความเร็วในการเล่นโดยเฉลี่ยของทีม Heart of Midlothian คือเท่าใด?")</f>
        <v>ความเร็วในการเล่นโดยเฉลี่ยของทีม Heart of Midlothian คือเท่าใด?</v>
      </c>
      <c r="F1097" s="1" t="s">
        <v>4058</v>
      </c>
      <c r="G1097" s="1" t="s">
        <v>4059</v>
      </c>
      <c r="H1097" s="1" t="s">
        <v>18</v>
      </c>
    </row>
    <row r="1098">
      <c r="A1098" s="1">
        <v>1096.0</v>
      </c>
      <c r="B1098" s="1" t="s">
        <v>3766</v>
      </c>
      <c r="C1098" s="1" t="s">
        <v>4060</v>
      </c>
      <c r="D1098" s="1" t="s">
        <v>4061</v>
      </c>
      <c r="E1098" s="2" t="str">
        <f>IFERROR(__xludf.DUMMYFUNCTION("GOOGLETRANSLATE(C1098, ""en"", ""th"")"),"คำนวณคะแนนเฉลี่ยโดยรวมของ ปิเอโตร มาริโน")</f>
        <v>คำนวณคะแนนเฉลี่ยโดยรวมของ ปิเอโตร มาริโน</v>
      </c>
      <c r="F1098" s="1" t="s">
        <v>4062</v>
      </c>
      <c r="G1098" s="1" t="s">
        <v>4063</v>
      </c>
      <c r="H1098" s="1" t="s">
        <v>18</v>
      </c>
    </row>
    <row r="1099">
      <c r="A1099" s="1">
        <v>1097.0</v>
      </c>
      <c r="B1099" s="1" t="s">
        <v>3766</v>
      </c>
      <c r="C1099" s="1" t="s">
        <v>4064</v>
      </c>
      <c r="D1099" s="1" t="s">
        <v>4065</v>
      </c>
      <c r="E1099" s="2" t="str">
        <f>IFERROR(__xludf.DUMMYFUNCTION("GOOGLETRANSLATE(C1099, ""en"", ""th"")"),"คะแนนรวมของแอรอน เลนน็อกซ์คือเท่าไร?")</f>
        <v>คะแนนรวมของแอรอน เลนน็อกซ์คือเท่าไร?</v>
      </c>
      <c r="F1099" s="1" t="s">
        <v>4066</v>
      </c>
      <c r="G1099" s="1" t="s">
        <v>4067</v>
      </c>
      <c r="H1099" s="1" t="s">
        <v>13</v>
      </c>
    </row>
    <row r="1100">
      <c r="A1100" s="1">
        <v>1098.0</v>
      </c>
      <c r="B1100" s="1" t="s">
        <v>3766</v>
      </c>
      <c r="C1100" s="1" t="s">
        <v>4068</v>
      </c>
      <c r="D1100" s="1" t="s">
        <v>4069</v>
      </c>
      <c r="E1100" s="2" t="str">
        <f>IFERROR(__xludf.DUMMYFUNCTION("GOOGLETRANSLATE(C1100, ""en"", ""th"")"),"คะแนนผ่านการสร้างโอกาสสูงสุดของอาแจ็กซ์คือเท่าไร และจัดอยู่ในประเภทใด?")</f>
        <v>คะแนนผ่านการสร้างโอกาสสูงสุดของอาแจ็กซ์คือเท่าไร และจัดอยู่ในประเภทใด?</v>
      </c>
      <c r="F1100" s="1" t="s">
        <v>4070</v>
      </c>
      <c r="G1100" s="1" t="s">
        <v>4071</v>
      </c>
      <c r="H1100" s="1" t="s">
        <v>18</v>
      </c>
    </row>
    <row r="1101">
      <c r="A1101" s="1">
        <v>1099.0</v>
      </c>
      <c r="B1101" s="1" t="s">
        <v>3766</v>
      </c>
      <c r="C1101" s="1" t="s">
        <v>4072</v>
      </c>
      <c r="D1101" s="1" t="s">
        <v>4073</v>
      </c>
      <c r="E1101" s="2" t="str">
        <f>IFERROR(__xludf.DUMMYFUNCTION("GOOGLETRANSLATE(C1101, ""en"", ""th"")"),"Abdou Diallo ชอบเท้าไหน?")</f>
        <v>Abdou Diallo ชอบเท้าไหน?</v>
      </c>
      <c r="F1101" s="1" t="s">
        <v>4074</v>
      </c>
      <c r="G1101" s="1" t="s">
        <v>4075</v>
      </c>
      <c r="H1101" s="1" t="s">
        <v>13</v>
      </c>
    </row>
    <row r="1102">
      <c r="A1102" s="1">
        <v>1100.0</v>
      </c>
      <c r="B1102" s="1" t="s">
        <v>3766</v>
      </c>
      <c r="C1102" s="1" t="s">
        <v>4076</v>
      </c>
      <c r="D1102" s="1" t="s">
        <v>4077</v>
      </c>
      <c r="E1102" s="2" t="str">
        <f>IFERROR(__xludf.DUMMYFUNCTION("GOOGLETRANSLATE(C1102, ""en"", ""th"")"),"ดอร์ลัน ป่าบอน ได้รับคะแนนรวมสูงสุดที่เท่าไร?")</f>
        <v>ดอร์ลัน ป่าบอน ได้รับคะแนนรวมสูงสุดที่เท่าไร?</v>
      </c>
      <c r="F1102" s="1" t="s">
        <v>4078</v>
      </c>
      <c r="G1102" s="1" t="s">
        <v>4079</v>
      </c>
      <c r="H1102" s="1" t="s">
        <v>13</v>
      </c>
    </row>
    <row r="1103">
      <c r="A1103" s="1">
        <v>1101.0</v>
      </c>
      <c r="B1103" s="1" t="s">
        <v>3766</v>
      </c>
      <c r="C1103" s="1" t="s">
        <v>4080</v>
      </c>
      <c r="D1103" s="1" t="s">
        <v>4081</v>
      </c>
      <c r="E1103" s="2" t="str">
        <f>IFERROR(__xludf.DUMMYFUNCTION("GOOGLETRANSLATE(C1103, ""en"", ""th"")"),"จำนวนประตูเฉลี่ยที่ปาร์ม่าทำได้ในฐานะทีมเยือนขณะเล่นในอิตาลีคือเท่าไร?")</f>
        <v>จำนวนประตูเฉลี่ยที่ปาร์ม่าทำได้ในฐานะทีมเยือนขณะเล่นในอิตาลีคือเท่าไร?</v>
      </c>
      <c r="F1103" s="1" t="s">
        <v>4082</v>
      </c>
      <c r="G1103" s="1" t="s">
        <v>4083</v>
      </c>
      <c r="H1103" s="1" t="s">
        <v>18</v>
      </c>
    </row>
    <row r="1104">
      <c r="A1104" s="1">
        <v>1102.0</v>
      </c>
      <c r="B1104" s="1" t="s">
        <v>3766</v>
      </c>
      <c r="C1104" s="1" t="s">
        <v>4084</v>
      </c>
      <c r="D1104" s="1" t="s">
        <v>4085</v>
      </c>
      <c r="E1104" s="2" t="str">
        <f>IFERROR(__xludf.DUMMYFUNCTION("GOOGLETRANSLATE(C1104, ""en"", ""th"")"),"สำหรับผู้เล่นที่มีเรตติ้งรวม 77 แต้มในวันที่ 6/6/2559 ใครอายุมากที่สุด? แจ้งชื่อผู้เล่น.")</f>
        <v>สำหรับผู้เล่นที่มีเรตติ้งรวม 77 แต้มในวันที่ 6/6/2559 ใครอายุมากที่สุด? แจ้งชื่อผู้เล่น.</v>
      </c>
      <c r="F1104" s="1" t="s">
        <v>4086</v>
      </c>
      <c r="G1104" s="1" t="s">
        <v>4087</v>
      </c>
      <c r="H1104" s="1" t="s">
        <v>18</v>
      </c>
    </row>
    <row r="1105">
      <c r="A1105" s="1">
        <v>1103.0</v>
      </c>
      <c r="B1105" s="1" t="s">
        <v>3766</v>
      </c>
      <c r="C1105" s="1" t="s">
        <v>4088</v>
      </c>
      <c r="D1105" s="1" t="s">
        <v>4089</v>
      </c>
      <c r="E1105" s="2" t="str">
        <f>IFERROR(__xludf.DUMMYFUNCTION("GOOGLETRANSLATE(C1105, ""en"", ""th"")"),"คะแนนโดยรวมของ Aaron Mooy ในวันที่ 4/2/2559 เป็นเท่าใด")</f>
        <v>คะแนนโดยรวมของ Aaron Mooy ในวันที่ 4/2/2559 เป็นเท่าใด</v>
      </c>
      <c r="F1105" s="1" t="s">
        <v>4090</v>
      </c>
      <c r="G1105" s="1" t="s">
        <v>4091</v>
      </c>
      <c r="H1105" s="1" t="s">
        <v>18</v>
      </c>
    </row>
    <row r="1106">
      <c r="A1106" s="1">
        <v>1104.0</v>
      </c>
      <c r="B1106" s="1" t="s">
        <v>3766</v>
      </c>
      <c r="C1106" s="1" t="s">
        <v>4092</v>
      </c>
      <c r="D1106" s="1" t="s">
        <v>4093</v>
      </c>
      <c r="E1106" s="2" t="str">
        <f>IFERROR(__xludf.DUMMYFUNCTION("GOOGLETRANSLATE(C1106, ""en"", ""th"")"),"ศักยภาพของ Francesco Parravicini ในวันที่ 30/8/2010 คืออะไร?")</f>
        <v>ศักยภาพของ Francesco Parravicini ในวันที่ 30/8/2010 คืออะไร?</v>
      </c>
      <c r="F1106" s="1" t="s">
        <v>4094</v>
      </c>
      <c r="G1106" s="1" t="s">
        <v>4095</v>
      </c>
      <c r="H1106" s="1" t="s">
        <v>18</v>
      </c>
    </row>
    <row r="1107">
      <c r="A1107" s="1">
        <v>1105.0</v>
      </c>
      <c r="B1107" s="1" t="s">
        <v>3766</v>
      </c>
      <c r="C1107" s="1" t="s">
        <v>4096</v>
      </c>
      <c r="D1107" s="1" t="s">
        <v>4097</v>
      </c>
      <c r="E1107" s="2" t="str">
        <f>IFERROR(__xludf.DUMMYFUNCTION("GOOGLETRANSLATE(C1107, ""en"", ""th"")"),"อัตราการรุกของฟรานเชสโก้ มิกลิโอเร่ในวันที่ 1/5/2558 เป็นอย่างไร?")</f>
        <v>อัตราการรุกของฟรานเชสโก้ มิกลิโอเร่ในวันที่ 1/5/2558 เป็นอย่างไร?</v>
      </c>
      <c r="F1107" s="1" t="s">
        <v>4098</v>
      </c>
      <c r="G1107" s="1" t="s">
        <v>4099</v>
      </c>
      <c r="H1107" s="1" t="s">
        <v>18</v>
      </c>
    </row>
    <row r="1108">
      <c r="A1108" s="1">
        <v>1106.0</v>
      </c>
      <c r="B1108" s="1" t="s">
        <v>3766</v>
      </c>
      <c r="C1108" s="1" t="s">
        <v>4100</v>
      </c>
      <c r="D1108" s="1" t="s">
        <v>4101</v>
      </c>
      <c r="E1108" s="2" t="str">
        <f>IFERROR(__xludf.DUMMYFUNCTION("GOOGLETRANSLATE(C1108, ""en"", ""th"")"),"บอกอัตราผลงานแนวรับของ เควิน เบอริเกาด์ เมื่อวันที่ 2/2/2556")</f>
        <v>บอกอัตราผลงานแนวรับของ เควิน เบอริเกาด์ เมื่อวันที่ 2/2/2556</v>
      </c>
      <c r="F1108" s="1" t="s">
        <v>4102</v>
      </c>
      <c r="G1108" s="1" t="s">
        <v>4103</v>
      </c>
      <c r="H1108" s="1" t="s">
        <v>18</v>
      </c>
    </row>
    <row r="1109">
      <c r="A1109" s="1">
        <v>1107.0</v>
      </c>
      <c r="B1109" s="1" t="s">
        <v>3766</v>
      </c>
      <c r="C1109" s="1" t="s">
        <v>4104</v>
      </c>
      <c r="D1109" s="1" t="s">
        <v>4105</v>
      </c>
      <c r="E1109" s="2" t="str">
        <f>IFERROR(__xludf.DUMMYFUNCTION("GOOGLETRANSLATE(C1109, ""en"", ""th"")"),"เควิน คอนสแตนต์ มีคะแนนครอสบอลสูงสุดครั้งแรกคือเมื่อใด? ให้วันที่.")</f>
        <v>เควิน คอนสแตนต์ มีคะแนนครอสบอลสูงสุดครั้งแรกคือเมื่อใด? ให้วันที่.</v>
      </c>
      <c r="F1109" s="1" t="s">
        <v>4106</v>
      </c>
      <c r="G1109" s="1" t="s">
        <v>4107</v>
      </c>
      <c r="H1109" s="1" t="s">
        <v>18</v>
      </c>
    </row>
    <row r="1110">
      <c r="A1110" s="1">
        <v>1108.0</v>
      </c>
      <c r="B1110" s="1" t="s">
        <v>3766</v>
      </c>
      <c r="C1110" s="1" t="s">
        <v>4108</v>
      </c>
      <c r="D1110" s="1" t="s">
        <v>4109</v>
      </c>
      <c r="E1110" s="2" t="str">
        <f>IFERROR(__xludf.DUMMYFUNCTION("GOOGLETRANSLATE(C1110, ""en"", ""th"")"),"คลาสความเร็วในการเล่นของ ""Willem II"" เมื่อวันที่ 2/2/2554 คืออะไร?")</f>
        <v>คลาสความเร็วในการเล่นของ "Willem II" เมื่อวันที่ 2/2/2554 คืออะไร?</v>
      </c>
      <c r="F1110" s="1" t="s">
        <v>4110</v>
      </c>
      <c r="G1110" s="1" t="s">
        <v>4111</v>
      </c>
      <c r="H1110" s="1" t="s">
        <v>18</v>
      </c>
    </row>
    <row r="1111">
      <c r="A1111" s="1">
        <v>1109.0</v>
      </c>
      <c r="B1111" s="1" t="s">
        <v>3766</v>
      </c>
      <c r="C1111" s="1" t="s">
        <v>4112</v>
      </c>
      <c r="D1111" s="1" t="s">
        <v>4113</v>
      </c>
      <c r="E1111" s="2" t="str">
        <f>IFERROR(__xludf.DUMMYFUNCTION("GOOGLETRANSLATE(C1111, ""en"", ""th"")"),"คลาสการเลี้ยงบอลแบบ build up play ของ ""LEI"" เมื่อวันที่ 9/10/2558 เป็นอย่างไรบ้าง?")</f>
        <v>คลาสการเลี้ยงบอลแบบ build up play ของ "LEI" เมื่อวันที่ 9/10/2558 เป็นอย่างไรบ้าง?</v>
      </c>
      <c r="F1111" s="1" t="s">
        <v>4114</v>
      </c>
      <c r="G1111" s="1" t="s">
        <v>4115</v>
      </c>
      <c r="H1111" s="1" t="s">
        <v>18</v>
      </c>
    </row>
    <row r="1112">
      <c r="A1112" s="1">
        <v>1110.0</v>
      </c>
      <c r="B1112" s="1" t="s">
        <v>3766</v>
      </c>
      <c r="C1112" s="1" t="s">
        <v>4116</v>
      </c>
      <c r="D1112" s="1" t="s">
        <v>4117</v>
      </c>
      <c r="E1112" s="2" t="str">
        <f>IFERROR(__xludf.DUMMYFUNCTION("GOOGLETRANSLATE(C1112, ""en"", ""th"")"),"แจ้งการอัพบอลผ่านคลาสของ ""เอฟซี ลอริยองต์"" เมื่อ 22/2/2010")</f>
        <v>แจ้งการอัพบอลผ่านคลาสของ "เอฟซี ลอริยองต์" เมื่อ 22/2/2010</v>
      </c>
      <c r="F1112" s="1" t="s">
        <v>4118</v>
      </c>
      <c r="G1112" s="1" t="s">
        <v>4119</v>
      </c>
      <c r="H1112" s="1" t="s">
        <v>18</v>
      </c>
    </row>
    <row r="1113">
      <c r="A1113" s="1">
        <v>1111.0</v>
      </c>
      <c r="B1113" s="1" t="s">
        <v>3766</v>
      </c>
      <c r="C1113" s="1" t="s">
        <v>4120</v>
      </c>
      <c r="D1113" s="1" t="s">
        <v>4121</v>
      </c>
      <c r="E1113" s="2" t="str">
        <f>IFERROR(__xludf.DUMMYFUNCTION("GOOGLETRANSLATE(C1113, ""en"", ""th"")"),"ระบุคลาสส่งบอลสร้างโอกาสให้ ""พีอีซี ซโวลล์"" เมื่อวันที่ 9/2013")</f>
        <v>ระบุคลาสส่งบอลสร้างโอกาสให้ "พีอีซี ซโวลล์" เมื่อวันที่ 9/2013</v>
      </c>
      <c r="F1113" s="1" t="s">
        <v>4122</v>
      </c>
      <c r="G1113" s="1" t="s">
        <v>4123</v>
      </c>
      <c r="H1113" s="1" t="s">
        <v>18</v>
      </c>
    </row>
    <row r="1114">
      <c r="A1114" s="1">
        <v>1112.0</v>
      </c>
      <c r="B1114" s="1" t="s">
        <v>3766</v>
      </c>
      <c r="C1114" s="1" t="s">
        <v>4124</v>
      </c>
      <c r="D1114" s="1" t="s">
        <v>4125</v>
      </c>
      <c r="E1114" s="2" t="str">
        <f>IFERROR(__xludf.DUMMYFUNCTION("GOOGLETRANSLATE(C1114, ""en"", ""th"")"),"โอกาสสร้างโอกาสข้ามคลาสของ ""ฮัลล์ ซิตี้"" ฤดูกาล 2010/2/22 คืออะไร?")</f>
        <v>โอกาสสร้างโอกาสข้ามคลาสของ "ฮัลล์ ซิตี้" ฤดูกาล 2010/2/22 คืออะไร?</v>
      </c>
      <c r="F1114" s="1" t="s">
        <v>4126</v>
      </c>
      <c r="G1114" s="1" t="s">
        <v>4127</v>
      </c>
      <c r="H1114" s="1" t="s">
        <v>18</v>
      </c>
    </row>
    <row r="1115">
      <c r="A1115" s="1">
        <v>1113.0</v>
      </c>
      <c r="B1115" s="1" t="s">
        <v>3766</v>
      </c>
      <c r="C1115" s="1" t="s">
        <v>4128</v>
      </c>
      <c r="D1115" s="1" t="s">
        <v>4129</v>
      </c>
      <c r="E1115" s="2" t="str">
        <f>IFERROR(__xludf.DUMMYFUNCTION("GOOGLETRANSLATE(C1115, ""en"", ""th"")"),"สำหรับทีม ""ฮันโนเวอร์ 96"" ระดับแนวรับที่ดุดันเมื่อ 10/9/2558 เป็นเท่าไหร่?")</f>
        <v>สำหรับทีม "ฮันโนเวอร์ 96" ระดับแนวรับที่ดุดันเมื่อ 10/9/2558 เป็นเท่าไหร่?</v>
      </c>
      <c r="F1115" s="1" t="s">
        <v>4130</v>
      </c>
      <c r="G1115" s="1" t="s">
        <v>4131</v>
      </c>
      <c r="H1115" s="1" t="s">
        <v>18</v>
      </c>
    </row>
    <row r="1116">
      <c r="A1116" s="1">
        <v>1114.0</v>
      </c>
      <c r="B1116" s="1" t="s">
        <v>3766</v>
      </c>
      <c r="C1116" s="1" t="s">
        <v>4132</v>
      </c>
      <c r="D1116" s="1" t="s">
        <v>4133</v>
      </c>
      <c r="E1116" s="2" t="str">
        <f>IFERROR(__xludf.DUMMYFUNCTION("GOOGLETRANSLATE(C1116, ""en"", ""th"")"),"คะแนนเฉลี่ยโดยรวมของ Marko Arnautovic ตั้งแต่ปี 2550/2/2559 ถึง 4/2559 ปี 2559 คือเท่าใด")</f>
        <v>คะแนนเฉลี่ยโดยรวมของ Marko Arnautovic ตั้งแต่ปี 2550/2/2559 ถึง 4/2559 ปี 2559 คือเท่าใด</v>
      </c>
      <c r="F1116" s="1" t="s">
        <v>4134</v>
      </c>
      <c r="G1116" s="1" t="s">
        <v>4135</v>
      </c>
      <c r="H1116" s="1" t="s">
        <v>101</v>
      </c>
    </row>
    <row r="1117">
      <c r="A1117" s="1">
        <v>1115.0</v>
      </c>
      <c r="B1117" s="1" t="s">
        <v>3766</v>
      </c>
      <c r="C1117" s="1" t="s">
        <v>4136</v>
      </c>
      <c r="D1117" s="1" t="s">
        <v>4137</v>
      </c>
      <c r="E1117" s="2" t="str">
        <f>IFERROR(__xludf.DUMMYFUNCTION("GOOGLETRANSLATE(C1117, ""en"", ""th"")"),"คะแนนโดยรวมของ Landon Donovan สูงกว่า Jordan Bowery ในปี 2013/7/55 อยู่ที่กี่เปอร์เซ็นต์")</f>
        <v>คะแนนโดยรวมของ Landon Donovan สูงกว่า Jordan Bowery ในปี 2013/7/55 อยู่ที่กี่เปอร์เซ็นต์</v>
      </c>
      <c r="F1117" s="1" t="s">
        <v>4138</v>
      </c>
      <c r="G1117" s="1" t="s">
        <v>4139</v>
      </c>
      <c r="H1117" s="1" t="s">
        <v>101</v>
      </c>
    </row>
    <row r="1118">
      <c r="A1118" s="1">
        <v>1116.0</v>
      </c>
      <c r="B1118" s="1" t="s">
        <v>3766</v>
      </c>
      <c r="C1118" s="1" t="s">
        <v>4140</v>
      </c>
      <c r="D1118" s="1" t="s">
        <v>4141</v>
      </c>
      <c r="E1118" s="2" t="str">
        <f>IFERROR(__xludf.DUMMYFUNCTION("GOOGLETRANSLATE(C1118, ""en"", ""th"")"),"รายชื่อผู้เล่นที่สูงที่สุด")</f>
        <v>รายชื่อผู้เล่นที่สูงที่สุด</v>
      </c>
      <c r="F1118" s="1" t="s">
        <v>4142</v>
      </c>
      <c r="G1118" s="1" t="s">
        <v>4143</v>
      </c>
      <c r="H1118" s="1" t="s">
        <v>13</v>
      </c>
    </row>
    <row r="1119">
      <c r="A1119" s="1">
        <v>1117.0</v>
      </c>
      <c r="B1119" s="1" t="s">
        <v>3766</v>
      </c>
      <c r="C1119" s="1" t="s">
        <v>4144</v>
      </c>
      <c r="D1119" s="1" t="s">
        <v>4145</v>
      </c>
      <c r="E1119" s="2" t="str">
        <f>IFERROR(__xludf.DUMMYFUNCTION("GOOGLETRANSLATE(C1119, ""en"", ""th"")"),"Player API ID ของผู้เล่นที่หนักที่สุด 10 คนคืออะไร?")</f>
        <v>Player API ID ของผู้เล่นที่หนักที่สุด 10 คนคืออะไร?</v>
      </c>
      <c r="F1119" s="1" t="s">
        <v>4146</v>
      </c>
      <c r="G1119" s="1" t="s">
        <v>4147</v>
      </c>
      <c r="H1119" s="1" t="s">
        <v>13</v>
      </c>
    </row>
    <row r="1120">
      <c r="A1120" s="1">
        <v>1118.0</v>
      </c>
      <c r="B1120" s="1" t="s">
        <v>3766</v>
      </c>
      <c r="C1120" s="1" t="s">
        <v>4148</v>
      </c>
      <c r="D1120" s="1" t="s">
        <v>4149</v>
      </c>
      <c r="E1120" s="2" t="str">
        <f>IFERROR(__xludf.DUMMYFUNCTION("GOOGLETRANSLATE(C1120, ""en"", ""th"")"),"รายชื่อผู้เล่นที่มีอายุ 35 ปีขึ้นไป")</f>
        <v>รายชื่อผู้เล่นที่มีอายุ 35 ปีขึ้นไป</v>
      </c>
      <c r="F1120" s="1" t="s">
        <v>4150</v>
      </c>
      <c r="G1120" s="1" t="s">
        <v>4151</v>
      </c>
      <c r="H1120" s="1" t="s">
        <v>13</v>
      </c>
    </row>
    <row r="1121">
      <c r="A1121" s="1">
        <v>1119.0</v>
      </c>
      <c r="B1121" s="1" t="s">
        <v>3766</v>
      </c>
      <c r="C1121" s="1" t="s">
        <v>4152</v>
      </c>
      <c r="D1121" s="1" t="s">
        <v>4153</v>
      </c>
      <c r="E1121" s="2" t="str">
        <f>IFERROR(__xludf.DUMMYFUNCTION("GOOGLETRANSLATE(C1121, ""en"", ""th"")"),"อารอน เลนนอน ยิงประตูให้ทีมเหย้าได้กี่ประตู?")</f>
        <v>อารอน เลนนอน ยิงประตูให้ทีมเหย้าได้กี่ประตู?</v>
      </c>
      <c r="F1121" s="1" t="s">
        <v>4154</v>
      </c>
      <c r="G1121" s="1" t="s">
        <v>4155</v>
      </c>
      <c r="H1121" s="1" t="s">
        <v>13</v>
      </c>
    </row>
    <row r="1122">
      <c r="A1122" s="1">
        <v>1120.0</v>
      </c>
      <c r="B1122" s="1" t="s">
        <v>3766</v>
      </c>
      <c r="C1122" s="1" t="s">
        <v>4156</v>
      </c>
      <c r="D1122" s="1" t="s">
        <v>4157</v>
      </c>
      <c r="E1122" s="2" t="str">
        <f>IFERROR(__xludf.DUMMYFUNCTION("GOOGLETRANSLATE(C1122, ""en"", ""th"")"),"สรุปประตูทีมเยือนที่ทั้งดาน สมิธ และฟิลิเป้ เฟร์ไรราทำได้")</f>
        <v>สรุปประตูทีมเยือนที่ทั้งดาน สมิธ และฟิลิเป้ เฟร์ไรราทำได้</v>
      </c>
      <c r="F1122" s="1" t="s">
        <v>4158</v>
      </c>
      <c r="G1122" s="1" t="s">
        <v>4159</v>
      </c>
      <c r="H1122" s="1" t="s">
        <v>18</v>
      </c>
    </row>
    <row r="1123">
      <c r="A1123" s="1">
        <v>1121.0</v>
      </c>
      <c r="B1123" s="1" t="s">
        <v>3766</v>
      </c>
      <c r="C1123" s="1" t="s">
        <v>4160</v>
      </c>
      <c r="D1123" s="1" t="s">
        <v>4161</v>
      </c>
      <c r="E1123" s="2" t="str">
        <f>IFERROR(__xludf.DUMMYFUNCTION("GOOGLETRANSLATE(C1123, ""en"", ""th"")"),"คำนวณประตูรวมของทีมเหย้าที่ทำได้โดยผู้เล่นอายุ 30 ปีหรือต่ำกว่า")</f>
        <v>คำนวณประตูรวมของทีมเหย้าที่ทำได้โดยผู้เล่นอายุ 30 ปีหรือต่ำกว่า</v>
      </c>
      <c r="F1123" s="1" t="s">
        <v>4162</v>
      </c>
      <c r="G1123" s="1" t="s">
        <v>4163</v>
      </c>
      <c r="H1123" s="1" t="s">
        <v>18</v>
      </c>
    </row>
    <row r="1124">
      <c r="A1124" s="1">
        <v>1122.0</v>
      </c>
      <c r="B1124" s="1" t="s">
        <v>3766</v>
      </c>
      <c r="C1124" s="1" t="s">
        <v>4164</v>
      </c>
      <c r="D1124" s="1" t="s">
        <v>4165</v>
      </c>
      <c r="E1124" s="2" t="str">
        <f>IFERROR(__xludf.DUMMYFUNCTION("GOOGLETRANSLATE(C1124, ""en"", ""th"")"),"ระบุชื่อผู้เล่นที่แข็งแกร่งที่สุด")</f>
        <v>ระบุชื่อผู้เล่นที่แข็งแกร่งที่สุด</v>
      </c>
      <c r="F1124" s="1" t="s">
        <v>4166</v>
      </c>
      <c r="G1124" s="1" t="s">
        <v>4167</v>
      </c>
      <c r="H1124" s="1" t="s">
        <v>13</v>
      </c>
    </row>
    <row r="1125">
      <c r="A1125" s="1">
        <v>1123.0</v>
      </c>
      <c r="B1125" s="1" t="s">
        <v>3766</v>
      </c>
      <c r="C1125" s="1" t="s">
        <v>4168</v>
      </c>
      <c r="D1125" s="1" t="s">
        <v>4169</v>
      </c>
      <c r="E1125" s="2" t="str">
        <f>IFERROR(__xludf.DUMMYFUNCTION("GOOGLETRANSLATE(C1125, ""en"", ""th"")"),"นักเตะที่มีศักยภาพสูงสุดชื่ออะไร?")</f>
        <v>นักเตะที่มีศักยภาพสูงสุดชื่ออะไร?</v>
      </c>
      <c r="F1125" s="1" t="s">
        <v>4170</v>
      </c>
      <c r="G1125" s="1" t="s">
        <v>4171</v>
      </c>
      <c r="H1125" s="1" t="s">
        <v>13</v>
      </c>
    </row>
    <row r="1126">
      <c r="A1126" s="1">
        <v>1124.0</v>
      </c>
      <c r="B1126" s="1" t="s">
        <v>3766</v>
      </c>
      <c r="C1126" s="1" t="s">
        <v>4172</v>
      </c>
      <c r="D1126" s="1" t="s">
        <v>4173</v>
      </c>
      <c r="E1126" s="2" t="str">
        <f>IFERROR(__xludf.DUMMYFUNCTION("GOOGLETRANSLATE(C1126, ""en"", ""th"")"),"ใครคือผู้เล่นที่มักจะโจมตีเมื่อเพื่อนร่วมทีมทำท่าโจมตี? ลงรายการชื่อของพวกเขา")</f>
        <v>ใครคือผู้เล่นที่มักจะโจมตีเมื่อเพื่อนร่วมทีมทำท่าโจมตี? ลงรายการชื่อของพวกเขา</v>
      </c>
      <c r="F1126" s="1" t="s">
        <v>4174</v>
      </c>
      <c r="G1126" s="1" t="s">
        <v>4175</v>
      </c>
      <c r="H1126" s="1" t="s">
        <v>18</v>
      </c>
    </row>
    <row r="1127">
      <c r="A1127" s="1">
        <v>1125.0</v>
      </c>
      <c r="B1127" s="1" t="s">
        <v>3766</v>
      </c>
      <c r="C1127" s="1" t="s">
        <v>4176</v>
      </c>
      <c r="D1127" s="1" t="s">
        <v>4177</v>
      </c>
      <c r="E1127" s="2" t="str">
        <f>IFERROR(__xludf.DUMMYFUNCTION("GOOGLETRANSLATE(C1127, ""en"", ""th"")"),"ในบรรดาผู้เล่นที่มีอัตราการจบเกมอยู่ที่ 1 ให้เลือกผู้เล่นที่อายุมากที่สุดและระบุชื่อผู้เล่น")</f>
        <v>ในบรรดาผู้เล่นที่มีอัตราการจบเกมอยู่ที่ 1 ให้เลือกผู้เล่นที่อายุมากที่สุดและระบุชื่อผู้เล่น</v>
      </c>
      <c r="F1127" s="1" t="s">
        <v>4178</v>
      </c>
      <c r="G1127" s="1" t="s">
        <v>4179</v>
      </c>
      <c r="H1127" s="1" t="s">
        <v>18</v>
      </c>
    </row>
    <row r="1128">
      <c r="A1128" s="1">
        <v>1126.0</v>
      </c>
      <c r="B1128" s="1" t="s">
        <v>3766</v>
      </c>
      <c r="C1128" s="1" t="s">
        <v>4180</v>
      </c>
      <c r="D1128" s="1" t="s">
        <v>4181</v>
      </c>
      <c r="E1128" s="2" t="str">
        <f>IFERROR(__xludf.DUMMYFUNCTION("GOOGLETRANSLATE(C1128, ""en"", ""th"")"),"ระบุชื่อผู้เล่นที่มาจากเบลเยียม")</f>
        <v>ระบุชื่อผู้เล่นที่มาจากเบลเยียม</v>
      </c>
      <c r="F1128" s="1" t="s">
        <v>4182</v>
      </c>
      <c r="G1128" s="1" t="s">
        <v>4183</v>
      </c>
      <c r="H1128" s="1" t="s">
        <v>13</v>
      </c>
    </row>
    <row r="1129">
      <c r="A1129" s="1">
        <v>1127.0</v>
      </c>
      <c r="B1129" s="1" t="s">
        <v>3766</v>
      </c>
      <c r="C1129" s="1" t="s">
        <v>4184</v>
      </c>
      <c r="D1129" s="1" t="s">
        <v>4185</v>
      </c>
      <c r="E1129" s="2" t="str">
        <f>IFERROR(__xludf.DUMMYFUNCTION("GOOGLETRANSLATE(C1129, ""en"", ""th"")"),"ค้นหาผู้เล่นที่มีคะแนนวิสัยทัศน์ 90 ขึ้นไป ระบุประเทศของผู้เล่นเหล่านี้")</f>
        <v>ค้นหาผู้เล่นที่มีคะแนนวิสัยทัศน์ 90 ขึ้นไป ระบุประเทศของผู้เล่นเหล่านี้</v>
      </c>
      <c r="F1129" s="1" t="s">
        <v>4186</v>
      </c>
      <c r="G1129" s="1" t="s">
        <v>4187</v>
      </c>
      <c r="H1129" s="1" t="s">
        <v>18</v>
      </c>
    </row>
    <row r="1130">
      <c r="A1130" s="1">
        <v>1128.0</v>
      </c>
      <c r="B1130" s="1" t="s">
        <v>3766</v>
      </c>
      <c r="C1130" s="1" t="s">
        <v>4188</v>
      </c>
      <c r="D1130" s="1" t="s">
        <v>4189</v>
      </c>
      <c r="E1130" s="2" t="str">
        <f>IFERROR(__xludf.DUMMYFUNCTION("GOOGLETRANSLATE(C1130, ""en"", ""th"")"),"ผู้เล่นของประเทศใดมีน้ำหนักเฉลี่ยที่หนักที่สุด?")</f>
        <v>ผู้เล่นของประเทศใดมีน้ำหนักเฉลี่ยที่หนักที่สุด?</v>
      </c>
      <c r="F1130" s="1" t="s">
        <v>4190</v>
      </c>
      <c r="G1130" s="1" t="s">
        <v>4191</v>
      </c>
      <c r="H1130" s="1" t="s">
        <v>13</v>
      </c>
    </row>
    <row r="1131">
      <c r="A1131" s="1">
        <v>1129.0</v>
      </c>
      <c r="B1131" s="1" t="s">
        <v>3766</v>
      </c>
      <c r="C1131" s="1" t="s">
        <v>4192</v>
      </c>
      <c r="D1131" s="1" t="s">
        <v>4193</v>
      </c>
      <c r="E1131" s="2" t="str">
        <f>IFERROR(__xludf.DUMMYFUNCTION("GOOGLETRANSLATE(C1131, ""en"", ""th"")"),"ลงรายชื่อทีมคลาสความเร็วช้าแบบยาวๆ")</f>
        <v>ลงรายชื่อทีมคลาสความเร็วช้าแบบยาวๆ</v>
      </c>
      <c r="F1131" s="1" t="s">
        <v>4194</v>
      </c>
      <c r="G1131" s="1" t="s">
        <v>4195</v>
      </c>
      <c r="H1131" s="1" t="s">
        <v>13</v>
      </c>
    </row>
    <row r="1132">
      <c r="A1132" s="1">
        <v>1130.0</v>
      </c>
      <c r="B1132" s="1" t="s">
        <v>3766</v>
      </c>
      <c r="C1132" s="1" t="s">
        <v>4196</v>
      </c>
      <c r="D1132" s="1" t="s">
        <v>4197</v>
      </c>
      <c r="E1132" s="2" t="str">
        <f>IFERROR(__xludf.DUMMYFUNCTION("GOOGLETRANSLATE(C1132, ""en"", ""th"")"),"ชื่อสั้นของทีมที่เล่นอย่างปลอดภัยขณะสร้างโอกาสผ่านคืออะไร?")</f>
        <v>ชื่อสั้นของทีมที่เล่นอย่างปลอดภัยขณะสร้างโอกาสผ่านคืออะไร?</v>
      </c>
      <c r="F1132" s="1" t="s">
        <v>4198</v>
      </c>
      <c r="G1132" s="1" t="s">
        <v>4199</v>
      </c>
      <c r="H1132" s="1" t="s">
        <v>18</v>
      </c>
    </row>
    <row r="1133">
      <c r="A1133" s="1">
        <v>1131.0</v>
      </c>
      <c r="B1133" s="1" t="s">
        <v>3766</v>
      </c>
      <c r="C1133" s="1" t="s">
        <v>4200</v>
      </c>
      <c r="D1133" s="1" t="s">
        <v>4201</v>
      </c>
      <c r="E1133" s="2" t="str">
        <f>IFERROR(__xludf.DUMMYFUNCTION("GOOGLETRANSLATE(C1133, ""en"", ""th"")"),"ความสูงเฉลี่ยของผู้เล่นอิตาลีคือเท่าไร?")</f>
        <v>ความสูงเฉลี่ยของผู้เล่นอิตาลีคือเท่าไร?</v>
      </c>
      <c r="F1133" s="1" t="s">
        <v>4202</v>
      </c>
      <c r="G1133" s="1" t="s">
        <v>4203</v>
      </c>
      <c r="H1133" s="1" t="s">
        <v>13</v>
      </c>
    </row>
    <row r="1134">
      <c r="A1134" s="1">
        <v>1132.0</v>
      </c>
      <c r="B1134" s="1" t="s">
        <v>3766</v>
      </c>
      <c r="C1134" s="1" t="s">
        <v>4204</v>
      </c>
      <c r="D1134" s="1" t="s">
        <v>4205</v>
      </c>
      <c r="E1134" s="2" t="str">
        <f>IFERROR(__xludf.DUMMYFUNCTION("GOOGLETRANSLATE(C1134, ""en"", ""th"")"),"โปรดระบุชื่อนักฟุตบอลสามอันดับแรกที่สูงเกิน 180 ซม. ตามลำดับตัวอักษร")</f>
        <v>โปรดระบุชื่อนักฟุตบอลสามอันดับแรกที่สูงเกิน 180 ซม. ตามลำดับตัวอักษร</v>
      </c>
      <c r="F1134" s="1" t="s">
        <v>4206</v>
      </c>
      <c r="G1134" s="1" t="s">
        <v>4207</v>
      </c>
      <c r="H1134" s="1" t="s">
        <v>13</v>
      </c>
    </row>
    <row r="1135">
      <c r="A1135" s="1">
        <v>1133.0</v>
      </c>
      <c r="B1135" s="1" t="s">
        <v>3766</v>
      </c>
      <c r="C1135" s="1" t="s">
        <v>4208</v>
      </c>
      <c r="D1135" s="1" t="s">
        <v>4209</v>
      </c>
      <c r="E1135" s="2" t="str">
        <f>IFERROR(__xludf.DUMMYFUNCTION("GOOGLETRANSLATE(C1135, ""en"", ""th"")"),"นักฟุตบอลที่เกิดหลังทศวรรษ 1990 มีชื่อ ""อารอน"" กี่คน?")</f>
        <v>นักฟุตบอลที่เกิดหลังทศวรรษ 1990 มีชื่อ "อารอน" กี่คน?</v>
      </c>
      <c r="F1135" s="1" t="s">
        <v>4210</v>
      </c>
      <c r="G1135" s="1" t="s">
        <v>4211</v>
      </c>
      <c r="H1135" s="1" t="s">
        <v>13</v>
      </c>
    </row>
    <row r="1136">
      <c r="A1136" s="1">
        <v>1134.0</v>
      </c>
      <c r="B1136" s="1" t="s">
        <v>3766</v>
      </c>
      <c r="C1136" s="1" t="s">
        <v>4212</v>
      </c>
      <c r="D1136" s="1" t="s">
        <v>4213</v>
      </c>
      <c r="E1136" s="2" t="str">
        <f>IFERROR(__xludf.DUMMYFUNCTION("GOOGLETRANSLATE(C1136, ""en"", ""th"")"),"คะแนนการกระโดดของผู้เล่นหมายเลข 6 และ 23 แตกต่างกันอย่างไร?")</f>
        <v>คะแนนการกระโดดของผู้เล่นหมายเลข 6 และ 23 แตกต่างกันอย่างไร?</v>
      </c>
      <c r="F1136" s="1" t="s">
        <v>4214</v>
      </c>
      <c r="G1136" s="1" t="s">
        <v>4215</v>
      </c>
      <c r="H1136" s="1" t="s">
        <v>13</v>
      </c>
    </row>
    <row r="1137">
      <c r="A1137" s="1">
        <v>1135.0</v>
      </c>
      <c r="B1137" s="1" t="s">
        <v>3766</v>
      </c>
      <c r="C1137" s="1" t="s">
        <v>4216</v>
      </c>
      <c r="D1137" s="1" t="s">
        <v>4217</v>
      </c>
      <c r="E1137" s="2" t="str">
        <f>IFERROR(__xludf.DUMMYFUNCTION("GOOGLETRANSLATE(C1137, ""en"", ""th"")"),"โปรดระบุรหัสผู้เล่นฟุตบอลห้าอันดับแรกซึ่งเป็นหนึ่งในผู้เล่นที่มีศักยภาพต่ำที่สุดและต้องการใช้เท้าขวาในการโจมตี")</f>
        <v>โปรดระบุรหัสผู้เล่นฟุตบอลห้าอันดับแรกซึ่งเป็นหนึ่งในผู้เล่นที่มีศักยภาพต่ำที่สุดและต้องการใช้เท้าขวาในการโจมตี</v>
      </c>
      <c r="F1137" s="1" t="s">
        <v>4218</v>
      </c>
      <c r="G1137" s="1" t="s">
        <v>4219</v>
      </c>
      <c r="H1137" s="1" t="s">
        <v>18</v>
      </c>
    </row>
    <row r="1138">
      <c r="A1138" s="1">
        <v>1136.0</v>
      </c>
      <c r="B1138" s="1" t="s">
        <v>3766</v>
      </c>
      <c r="C1138" s="1" t="s">
        <v>4220</v>
      </c>
      <c r="D1138" s="1" t="s">
        <v>4221</v>
      </c>
      <c r="E1138" s="2" t="str">
        <f>IFERROR(__xludf.DUMMYFUNCTION("GOOGLETRANSLATE(C1138, ""en"", ""th"")"),"มีผู้เล่นกี่คนที่มีโอกาสได้คะแนนสูงสุดในการจ่ายบอลและชอบใช้เท้าซ้ายในการโจมตี?")</f>
        <v>มีผู้เล่นกี่คนที่มีโอกาสได้คะแนนสูงสุดในการจ่ายบอลและชอบใช้เท้าซ้ายในการโจมตี?</v>
      </c>
      <c r="F1138" s="1" t="s">
        <v>4222</v>
      </c>
      <c r="G1138" s="1" t="s">
        <v>4223</v>
      </c>
      <c r="H1138" s="1" t="s">
        <v>18</v>
      </c>
    </row>
    <row r="1139">
      <c r="A1139" s="1">
        <v>1137.0</v>
      </c>
      <c r="B1139" s="1" t="s">
        <v>3766</v>
      </c>
      <c r="C1139" s="1" t="s">
        <v>4224</v>
      </c>
      <c r="D1139" s="1" t="s">
        <v>4225</v>
      </c>
      <c r="E1139" s="2" t="str">
        <f>IFERROR(__xludf.DUMMYFUNCTION("GOOGLETRANSLATE(C1139, ""en"", ""th"")"),"ผู้เล่นที่มีคะแนนความแข็งแกร่งและความแข็งแกร่งมากกว่า 80 มีกี่เปอร์เซ็นต์?")</f>
        <v>ผู้เล่นที่มีคะแนนความแข็งแกร่งและความแข็งแกร่งมากกว่า 80 มีกี่เปอร์เซ็นต์?</v>
      </c>
      <c r="F1139" s="1" t="s">
        <v>4226</v>
      </c>
      <c r="G1139" s="1" t="s">
        <v>4227</v>
      </c>
      <c r="H1139" s="1" t="s">
        <v>13</v>
      </c>
    </row>
    <row r="1140">
      <c r="A1140" s="1">
        <v>1138.0</v>
      </c>
      <c r="B1140" s="1" t="s">
        <v>3766</v>
      </c>
      <c r="C1140" s="1" t="s">
        <v>4228</v>
      </c>
      <c r="E1140" s="2" t="str">
        <f>IFERROR(__xludf.DUMMYFUNCTION("GOOGLETRANSLATE(C1140, ""en"", ""th"")"),"Poland Ekstraklasa จัดขึ้นที่ประเทศใด?")</f>
        <v>Poland Ekstraklasa จัดขึ้นที่ประเทศใด?</v>
      </c>
      <c r="G1140" s="1" t="s">
        <v>4229</v>
      </c>
      <c r="H1140" s="1" t="s">
        <v>13</v>
      </c>
    </row>
    <row r="1141">
      <c r="A1141" s="1">
        <v>1139.0</v>
      </c>
      <c r="B1141" s="1" t="s">
        <v>3766</v>
      </c>
      <c r="C1141" s="1" t="s">
        <v>4230</v>
      </c>
      <c r="D1141" s="1" t="s">
        <v>4231</v>
      </c>
      <c r="E1141" s="2" t="str">
        <f>IFERROR(__xludf.DUMMYFUNCTION("GOOGLETRANSLATE(C1141, ""en"", ""th"")"),"คะแนนสุดท้ายของการแข่งขันเมื่อวันที่ 24 กันยายน 2551 ในลีกเบลเยี่ยมจูปิแลร์ระหว่างทีมเจ้าบ้านและทีมเยือนคือเท่าไร?")</f>
        <v>คะแนนสุดท้ายของการแข่งขันเมื่อวันที่ 24 กันยายน 2551 ในลีกเบลเยี่ยมจูปิแลร์ระหว่างทีมเจ้าบ้านและทีมเยือนคือเท่าไร?</v>
      </c>
      <c r="F1141" s="1" t="s">
        <v>4232</v>
      </c>
      <c r="G1141" s="1" t="s">
        <v>4233</v>
      </c>
      <c r="H1141" s="1" t="s">
        <v>101</v>
      </c>
    </row>
    <row r="1142">
      <c r="A1142" s="1">
        <v>1140.0</v>
      </c>
      <c r="B1142" s="1" t="s">
        <v>3766</v>
      </c>
      <c r="C1142" s="1" t="s">
        <v>4234</v>
      </c>
      <c r="D1142" s="1" t="s">
        <v>4235</v>
      </c>
      <c r="E1142" s="2" t="str">
        <f>IFERROR(__xludf.DUMMYFUNCTION("GOOGLETRANSLATE(C1142, ""en"", ""th"")"),"ความเร็วการวิ่ง ความคล่องตัว และการเร่งความเร็วของ Alexis Blin คืออะไร")</f>
        <v>ความเร็วการวิ่ง ความคล่องตัว และการเร่งความเร็วของ Alexis Blin คืออะไร</v>
      </c>
      <c r="F1142" s="1" t="s">
        <v>4236</v>
      </c>
      <c r="G1142" s="1" t="s">
        <v>4237</v>
      </c>
      <c r="H1142" s="1" t="s">
        <v>13</v>
      </c>
    </row>
    <row r="1143">
      <c r="A1143" s="1">
        <v>1141.0</v>
      </c>
      <c r="B1143" s="1" t="s">
        <v>3766</v>
      </c>
      <c r="C1143" s="1" t="s">
        <v>4238</v>
      </c>
      <c r="D1143" s="1" t="s">
        <v>4239</v>
      </c>
      <c r="E1143" s="2" t="str">
        <f>IFERROR(__xludf.DUMMYFUNCTION("GOOGLETRANSLATE(C1143, ""en"", ""th"")"),"ทีม KSV Cercle Brugge มีคลาสความเร็วที่ช้า สมดุล หรือเร็วหรือไม่?")</f>
        <v>ทีม KSV Cercle Brugge มีคลาสความเร็วที่ช้า สมดุล หรือเร็วหรือไม่?</v>
      </c>
      <c r="F1143" s="1" t="s">
        <v>4240</v>
      </c>
      <c r="G1143" s="1" t="s">
        <v>4241</v>
      </c>
      <c r="H1143" s="1" t="s">
        <v>18</v>
      </c>
    </row>
    <row r="1144">
      <c r="A1144" s="1">
        <v>1142.0</v>
      </c>
      <c r="B1144" s="1" t="s">
        <v>3766</v>
      </c>
      <c r="C1144" s="1" t="s">
        <v>4242</v>
      </c>
      <c r="D1144" s="1" t="s">
        <v>4243</v>
      </c>
      <c r="E1144" s="2" t="str">
        <f>IFERROR(__xludf.DUMMYFUNCTION("GOOGLETRANSLATE(C1144, ""en"", ""th"")"),"ในฤดูกาล 2015–2016 มีการแข่งขันกี่เกมในลีกกัลโช่เซเรียอาอิตาลี?")</f>
        <v>ในฤดูกาล 2015–2016 มีการแข่งขันกี่เกมในลีกกัลโช่เซเรียอาอิตาลี?</v>
      </c>
      <c r="F1144" s="1" t="s">
        <v>4244</v>
      </c>
      <c r="G1144" s="1" t="s">
        <v>4245</v>
      </c>
      <c r="H1144" s="1" t="s">
        <v>13</v>
      </c>
    </row>
    <row r="1145">
      <c r="A1145" s="1">
        <v>1143.0</v>
      </c>
      <c r="B1145" s="1" t="s">
        <v>3766</v>
      </c>
      <c r="C1145" s="1" t="s">
        <v>4246</v>
      </c>
      <c r="D1145" s="1" t="s">
        <v>4247</v>
      </c>
      <c r="E1145" s="2" t="str">
        <f>IFERROR(__xludf.DUMMYFUNCTION("GOOGLETRANSLATE(C1145, ""en"", ""th"")"),"คะแนนสูงสุดของเจ้าบ้านในลีกเนเธอร์แลนด์เอเรดิวิซี่คือเท่าไร?")</f>
        <v>คะแนนสูงสุดของเจ้าบ้านในลีกเนเธอร์แลนด์เอเรดิวิซี่คือเท่าไร?</v>
      </c>
      <c r="F1145" s="1" t="s">
        <v>4248</v>
      </c>
      <c r="G1145" s="1" t="s">
        <v>4249</v>
      </c>
      <c r="H1145" s="1" t="s">
        <v>13</v>
      </c>
    </row>
    <row r="1146">
      <c r="A1146" s="1">
        <v>1144.0</v>
      </c>
      <c r="B1146" s="1" t="s">
        <v>3766</v>
      </c>
      <c r="C1146" s="1" t="s">
        <v>4250</v>
      </c>
      <c r="D1146" s="1" t="s">
        <v>4251</v>
      </c>
      <c r="E1146" s="2" t="str">
        <f>IFERROR(__xludf.DUMMYFUNCTION("GOOGLETRANSLATE(C1146, ""en"", ""th"")"),"กรุณาระบุอัตราการเข้าเส้นชัยและคะแนนโค้งของผู้เล่นที่มีน้ำหนักมากที่สุด")</f>
        <v>กรุณาระบุอัตราการเข้าเส้นชัยและคะแนนโค้งของผู้เล่นที่มีน้ำหนักมากที่สุด</v>
      </c>
      <c r="F1146" s="1" t="s">
        <v>4252</v>
      </c>
      <c r="G1146" s="1" t="s">
        <v>4253</v>
      </c>
      <c r="H1146" s="1" t="s">
        <v>13</v>
      </c>
    </row>
    <row r="1147">
      <c r="A1147" s="1">
        <v>1145.0</v>
      </c>
      <c r="B1147" s="1" t="s">
        <v>3766</v>
      </c>
      <c r="C1147" s="1" t="s">
        <v>4254</v>
      </c>
      <c r="D1147" s="1" t="s">
        <v>4255</v>
      </c>
      <c r="E1147" s="2" t="str">
        <f>IFERROR(__xludf.DUMMYFUNCTION("GOOGLETRANSLATE(C1147, ""en"", ""th"")"),"4 ลีกชั้นนำใดที่มีเกมมากที่สุดในฤดูกาล 2558-2559?")</f>
        <v>4 ลีกชั้นนำใดที่มีเกมมากที่สุดในฤดูกาล 2558-2559?</v>
      </c>
      <c r="F1147" s="1" t="s">
        <v>4256</v>
      </c>
      <c r="G1147" s="1" t="s">
        <v>4257</v>
      </c>
      <c r="H1147" s="1" t="s">
        <v>13</v>
      </c>
    </row>
    <row r="1148">
      <c r="A1148" s="1">
        <v>1146.0</v>
      </c>
      <c r="B1148" s="1" t="s">
        <v>3766</v>
      </c>
      <c r="C1148" s="1" t="s">
        <v>4258</v>
      </c>
      <c r="D1148" s="1" t="s">
        <v>4259</v>
      </c>
      <c r="E1148" s="2" t="str">
        <f>IFERROR(__xludf.DUMMYFUNCTION("GOOGLETRANSLATE(C1148, ""en"", ""th"")"),"กรุณาระบุชื่อเต็มของทีมเยือนที่ทำประตูได้มากที่สุด")</f>
        <v>กรุณาระบุชื่อเต็มของทีมเยือนที่ทำประตูได้มากที่สุด</v>
      </c>
      <c r="F1148" s="1" t="s">
        <v>4260</v>
      </c>
      <c r="G1148" s="1" t="s">
        <v>4261</v>
      </c>
      <c r="H1148" s="1" t="s">
        <v>18</v>
      </c>
    </row>
    <row r="1149">
      <c r="A1149" s="1">
        <v>1147.0</v>
      </c>
      <c r="B1149" s="1" t="s">
        <v>3766</v>
      </c>
      <c r="C1149" s="1" t="s">
        <v>4262</v>
      </c>
      <c r="D1149" s="1" t="s">
        <v>4263</v>
      </c>
      <c r="E1149" s="2" t="str">
        <f>IFERROR(__xludf.DUMMYFUNCTION("GOOGLETRANSLATE(C1149, ""en"", ""th"")"),"โปรดระบุชื่อผู้เล่นหนึ่งคนที่มีความแข็งแกร่งโดยรวมมากที่สุด")</f>
        <v>โปรดระบุชื่อผู้เล่นหนึ่งคนที่มีความแข็งแกร่งโดยรวมมากที่สุด</v>
      </c>
      <c r="F1149" s="1" t="s">
        <v>4264</v>
      </c>
      <c r="G1149" s="1" t="s">
        <v>4265</v>
      </c>
      <c r="H1149" s="1" t="s">
        <v>13</v>
      </c>
    </row>
    <row r="1150">
      <c r="A1150" s="1">
        <v>1148.0</v>
      </c>
      <c r="B1150" s="1" t="s">
        <v>3766</v>
      </c>
      <c r="C1150" s="1" t="s">
        <v>4266</v>
      </c>
      <c r="D1150" s="1" t="s">
        <v>4267</v>
      </c>
      <c r="E1150" s="2" t="str">
        <f>IFERROR(__xludf.DUMMYFUNCTION("GOOGLETRANSLATE(C1150, ""en"", ""th"")"),"เปอร์เซ็นต์ของผู้เล่นที่สูงต่ำกว่า 180 ซม. และความแข็งแกร่งโดยรวมมากกว่า 70 คือเท่าใด")</f>
        <v>เปอร์เซ็นต์ของผู้เล่นที่สูงต่ำกว่า 180 ซม. และความแข็งแกร่งโดยรวมมากกว่า 70 คือเท่าใด</v>
      </c>
      <c r="F1150" s="1" t="s">
        <v>4268</v>
      </c>
      <c r="G1150" s="1" t="s">
        <v>4269</v>
      </c>
      <c r="H1150" s="1" t="s">
        <v>18</v>
      </c>
    </row>
    <row r="1151">
      <c r="A1151" s="1">
        <v>1149.0</v>
      </c>
      <c r="B1151" s="1" t="s">
        <v>4270</v>
      </c>
      <c r="C1151" s="1" t="s">
        <v>4271</v>
      </c>
      <c r="D1151" s="1" t="s">
        <v>4272</v>
      </c>
      <c r="E1151" s="2" t="str">
        <f>IFERROR(__xludf.DUMMYFUNCTION("GOOGLETRANSLATE(C1151, ""en"", ""th"")"),"มีผู้ป่วยในหรือผู้ป่วยนอกที่เป็นชายมากกว่ากัน? ส่วนเบี่ยงเบนเป็นเปอร์เซ็นต์คืออะไร?")</f>
        <v>มีผู้ป่วยในหรือผู้ป่วยนอกที่เป็นชายมากกว่ากัน? ส่วนเบี่ยงเบนเป็นเปอร์เซ็นต์คืออะไร?</v>
      </c>
      <c r="F1151" s="1" t="s">
        <v>4273</v>
      </c>
      <c r="G1151" s="1" t="s">
        <v>4274</v>
      </c>
      <c r="H1151" s="1" t="s">
        <v>18</v>
      </c>
    </row>
    <row r="1152">
      <c r="A1152" s="1">
        <v>1150.0</v>
      </c>
      <c r="B1152" s="1" t="s">
        <v>4270</v>
      </c>
      <c r="C1152" s="1" t="s">
        <v>4275</v>
      </c>
      <c r="D1152" s="1" t="s">
        <v>4276</v>
      </c>
      <c r="E1152" s="2" t="str">
        <f>IFERROR(__xludf.DUMMYFUNCTION("GOOGLETRANSLATE(C1152, ""en"", ""th"")"),"ผู้ป่วยหญิงเกิดหลังปี พ.ศ. 2473 มีกี่เปอร์เซ็นต์?")</f>
        <v>ผู้ป่วยหญิงเกิดหลังปี พ.ศ. 2473 มีกี่เปอร์เซ็นต์?</v>
      </c>
      <c r="F1152" s="1" t="s">
        <v>4277</v>
      </c>
      <c r="G1152" s="1" t="s">
        <v>4278</v>
      </c>
      <c r="H1152" s="1" t="s">
        <v>18</v>
      </c>
    </row>
    <row r="1153">
      <c r="A1153" s="1">
        <v>1151.0</v>
      </c>
      <c r="B1153" s="1" t="s">
        <v>4270</v>
      </c>
      <c r="C1153" s="1" t="s">
        <v>4279</v>
      </c>
      <c r="D1153" s="1" t="s">
        <v>4280</v>
      </c>
      <c r="E1153" s="2" t="str">
        <f>IFERROR(__xludf.DUMMYFUNCTION("GOOGLETRANSLATE(C1153, ""en"", ""th"")"),"ผู้ป่วยที่เกิดระหว่างปี พ.ศ. 2473 ถึง พ.ศ. 2483 เป็นผู้ป่วยในกี่เปอร์เซ็นต์")</f>
        <v>ผู้ป่วยที่เกิดระหว่างปี พ.ศ. 2473 ถึง พ.ศ. 2483 เป็นผู้ป่วยในกี่เปอร์เซ็นต์</v>
      </c>
      <c r="F1153" s="1" t="s">
        <v>4281</v>
      </c>
      <c r="G1153" s="1" t="s">
        <v>4282</v>
      </c>
      <c r="H1153" s="1" t="s">
        <v>18</v>
      </c>
    </row>
    <row r="1154">
      <c r="A1154" s="1">
        <v>1152.0</v>
      </c>
      <c r="B1154" s="1" t="s">
        <v>4270</v>
      </c>
      <c r="C1154" s="1" t="s">
        <v>4283</v>
      </c>
      <c r="D1154" s="3" t="s">
        <v>4284</v>
      </c>
      <c r="E1154" s="2" t="str">
        <f>IFERROR(__xludf.DUMMYFUNCTION("GOOGLETRANSLATE(C1154, ""en"", ""th"")"),"อัตราส่วนของผู้ป่วยนอกต่อการรักษาติดตามผู้ป่วยในของผู้ป่วยที่ได้รับการวินิจฉัย 'SLE' ทั้งหมดเป็นเท่าใด")</f>
        <v>อัตราส่วนของผู้ป่วยนอกต่อการรักษาติดตามผู้ป่วยในของผู้ป่วยที่ได้รับการวินิจฉัย 'SLE' ทั้งหมดเป็นเท่าใด</v>
      </c>
      <c r="F1154" s="1" t="s">
        <v>4285</v>
      </c>
      <c r="G1154" s="1" t="s">
        <v>4286</v>
      </c>
      <c r="H1154" s="1" t="s">
        <v>18</v>
      </c>
    </row>
    <row r="1155">
      <c r="A1155" s="1">
        <v>1153.0</v>
      </c>
      <c r="B1155" s="1" t="s">
        <v>4270</v>
      </c>
      <c r="C1155" s="1" t="s">
        <v>4287</v>
      </c>
      <c r="D1155" s="3" t="s">
        <v>4288</v>
      </c>
      <c r="E1155" s="2" t="str">
        <f>IFERROR(__xludf.DUMMYFUNCTION("GOOGLETRANSLATE(C1155, ""en"", ""th"")"),"ผู้ป่วยโรค '30609' เป็นโรคอะไร ระบุวันที่ของการทดสอบในห้องปฏิบัติการทั้งหมดที่ทำสำหรับผู้ป่วยรายนี้")</f>
        <v>ผู้ป่วยโรค '30609' เป็นโรคอะไร ระบุวันที่ของการทดสอบในห้องปฏิบัติการทั้งหมดที่ทำสำหรับผู้ป่วยรายนี้</v>
      </c>
      <c r="F1155" s="1" t="s">
        <v>4289</v>
      </c>
      <c r="G1155" s="1" t="s">
        <v>4290</v>
      </c>
      <c r="H1155" s="1" t="s">
        <v>13</v>
      </c>
    </row>
    <row r="1156">
      <c r="A1156" s="1">
        <v>1154.0</v>
      </c>
      <c r="B1156" s="1" t="s">
        <v>4270</v>
      </c>
      <c r="C1156" s="1" t="s">
        <v>4291</v>
      </c>
      <c r="D1156" s="1" t="s">
        <v>4292</v>
      </c>
      <c r="E1156" s="2" t="str">
        <f>IFERROR(__xludf.DUMMYFUNCTION("GOOGLETRANSLATE(C1156, ""en"", ""th"")"),"ระบุเพศและวันเกิดของคนไข้ ID '163109' เข้ารับการตรวจเมื่อไร และผู้ป่วยมีอาการอย่างไร")</f>
        <v>ระบุเพศและวันเกิดของคนไข้ ID '163109' เข้ารับการตรวจเมื่อไร และผู้ป่วยมีอาการอย่างไร</v>
      </c>
      <c r="F1156" s="1" t="s">
        <v>4293</v>
      </c>
      <c r="G1156" s="1" t="s">
        <v>4294</v>
      </c>
      <c r="H1156" s="1" t="s">
        <v>13</v>
      </c>
    </row>
    <row r="1157">
      <c r="A1157" s="1">
        <v>1155.0</v>
      </c>
      <c r="B1157" s="1" t="s">
        <v>4270</v>
      </c>
      <c r="C1157" s="1" t="s">
        <v>4295</v>
      </c>
      <c r="D1157" s="1" t="s">
        <v>4296</v>
      </c>
      <c r="E1157" s="2" t="str">
        <f>IFERROR(__xludf.DUMMYFUNCTION("GOOGLETRANSLATE(C1157, ""en"", ""th"")"),"ระบุรหัสผู้ป่วย เพศ และวันเกิดของผู้ป่วยที่มี LDH เกินกว่าช่วงปกติ")</f>
        <v>ระบุรหัสผู้ป่วย เพศ และวันเกิดของผู้ป่วยที่มี LDH เกินกว่าช่วงปกติ</v>
      </c>
      <c r="F1157" s="1" t="s">
        <v>4297</v>
      </c>
      <c r="G1157" s="1" t="s">
        <v>4298</v>
      </c>
      <c r="H1157" s="1" t="s">
        <v>13</v>
      </c>
    </row>
    <row r="1158">
      <c r="A1158" s="1">
        <v>1156.0</v>
      </c>
      <c r="B1158" s="1" t="s">
        <v>4270</v>
      </c>
      <c r="C1158" s="1" t="s">
        <v>4299</v>
      </c>
      <c r="D1158" s="1" t="s">
        <v>4300</v>
      </c>
      <c r="E1158" s="2" t="str">
        <f>IFERROR(__xludf.DUMMYFUNCTION("GOOGLETRANSLATE(C1158, ""en"", ""th"")"),"ระบุ ID และอายุของผู้ป่วยที่มีระดับการแข็งตัวของเลือดเป็นบวก")</f>
        <v>ระบุ ID และอายุของผู้ป่วยที่มีระดับการแข็งตัวของเลือดเป็นบวก</v>
      </c>
      <c r="F1158" s="1" t="s">
        <v>4301</v>
      </c>
      <c r="G1158" s="1" t="s">
        <v>4302</v>
      </c>
      <c r="H1158" s="1" t="s">
        <v>18</v>
      </c>
    </row>
    <row r="1159">
      <c r="A1159" s="1">
        <v>1157.0</v>
      </c>
      <c r="B1159" s="1" t="s">
        <v>4270</v>
      </c>
      <c r="C1159" s="1" t="s">
        <v>4303</v>
      </c>
      <c r="D1159" s="1" t="s">
        <v>4304</v>
      </c>
      <c r="E1159" s="2" t="str">
        <f>IFERROR(__xludf.DUMMYFUNCTION("GOOGLETRANSLATE(C1159, ""en"", ""th"")"),"สำหรับผู้ป่วยที่มีภาวะลิ่มเลือดอุดตันในระดับรุนแรง ให้ระบุ ID เพศ และโรคที่ผู้ป่วยได้รับการวินิจฉัย")</f>
        <v>สำหรับผู้ป่วยที่มีภาวะลิ่มเลือดอุดตันในระดับรุนแรง ให้ระบุ ID เพศ และโรคที่ผู้ป่วยได้รับการวินิจฉัย</v>
      </c>
      <c r="F1159" s="1" t="s">
        <v>4305</v>
      </c>
      <c r="G1159" s="1" t="s">
        <v>4306</v>
      </c>
      <c r="H1159" s="1" t="s">
        <v>13</v>
      </c>
    </row>
    <row r="1160">
      <c r="A1160" s="1">
        <v>1158.0</v>
      </c>
      <c r="B1160" s="1" t="s">
        <v>4270</v>
      </c>
      <c r="C1160" s="1" t="s">
        <v>4307</v>
      </c>
      <c r="D1160" s="1" t="s">
        <v>4308</v>
      </c>
      <c r="E1160" s="2" t="str">
        <f>IFERROR(__xludf.DUMMYFUNCTION("GOOGLETRANSLATE(C1160, ""en"", ""th"")"),"รายชื่อผู้ป่วยทั้งหมดที่เกิดในปี พ.ศ. 2480 ซึ่งมีโคเลสเตอรอลรวมอยู่นอกเหนือระดับปกติ")</f>
        <v>รายชื่อผู้ป่วยทั้งหมดที่เกิดในปี พ.ศ. 2480 ซึ่งมีโคเลสเตอรอลรวมอยู่นอกเหนือระดับปกติ</v>
      </c>
      <c r="F1160" s="1" t="s">
        <v>4309</v>
      </c>
      <c r="G1160" s="1" t="s">
        <v>4310</v>
      </c>
      <c r="H1160" s="1" t="s">
        <v>18</v>
      </c>
    </row>
    <row r="1161">
      <c r="A1161" s="1">
        <v>1159.0</v>
      </c>
      <c r="B1161" s="1" t="s">
        <v>4270</v>
      </c>
      <c r="C1161" s="1" t="s">
        <v>4311</v>
      </c>
      <c r="D1161" s="1" t="s">
        <v>4312</v>
      </c>
      <c r="E1161" s="2" t="str">
        <f>IFERROR(__xludf.DUMMYFUNCTION("GOOGLETRANSLATE(C1161, ""en"", ""th"")"),"สำหรับผู้ป่วยที่มีระดับอัลบูมินต่ำกว่า 3.5 ให้ระบุ ID เพศ และการวินิจฉัย")</f>
        <v>สำหรับผู้ป่วยที่มีระดับอัลบูมินต่ำกว่า 3.5 ให้ระบุ ID เพศ และการวินิจฉัย</v>
      </c>
      <c r="F1161" s="1" t="s">
        <v>4313</v>
      </c>
      <c r="G1161" s="1" t="s">
        <v>4314</v>
      </c>
      <c r="H1161" s="1" t="s">
        <v>13</v>
      </c>
    </row>
    <row r="1162">
      <c r="A1162" s="1">
        <v>1160.0</v>
      </c>
      <c r="B1162" s="1" t="s">
        <v>4270</v>
      </c>
      <c r="C1162" s="1" t="s">
        <v>4315</v>
      </c>
      <c r="D1162" s="1" t="s">
        <v>4316</v>
      </c>
      <c r="E1162" s="2" t="str">
        <f>IFERROR(__xludf.DUMMYFUNCTION("GOOGLETRANSLATE(C1162, ""en"", ""th"")"),"ผู้ป่วยหญิงมีโปรตีนทั้งหมดไม่อยู่ในช่วงปกติมีกี่เปอร์เซ็นต์?")</f>
        <v>ผู้ป่วยหญิงมีโปรตีนทั้งหมดไม่อยู่ในช่วงปกติมีกี่เปอร์เซ็นต์?</v>
      </c>
      <c r="F1162" s="1" t="s">
        <v>4317</v>
      </c>
      <c r="G1162" s="1" t="s">
        <v>4318</v>
      </c>
      <c r="H1162" s="1" t="s">
        <v>18</v>
      </c>
    </row>
    <row r="1163">
      <c r="A1163" s="1">
        <v>1161.0</v>
      </c>
      <c r="B1163" s="1" t="s">
        <v>4270</v>
      </c>
      <c r="C1163" s="1" t="s">
        <v>4319</v>
      </c>
      <c r="D1163" s="1" t="s">
        <v>4320</v>
      </c>
      <c r="E1163" s="2" t="str">
        <f>IFERROR(__xludf.DUMMYFUNCTION("GOOGLETRANSLATE(C1163, ""en"", ""th"")"),"สำหรับผู้ป่วยในอายุ 50 ปีขึ้นไป ความเข้มข้นของแอนติบอดีต่อต้านคาร์ดิโอลิพิน (IgG) โดยเฉลี่ยคือเท่าใด")</f>
        <v>สำหรับผู้ป่วยในอายุ 50 ปีขึ้นไป ความเข้มข้นของแอนติบอดีต่อต้านคาร์ดิโอลิพิน (IgG) โดยเฉลี่ยคือเท่าใด</v>
      </c>
      <c r="F1163" s="1" t="s">
        <v>4321</v>
      </c>
      <c r="G1163" s="1" t="s">
        <v>4322</v>
      </c>
      <c r="H1163" s="1" t="s">
        <v>101</v>
      </c>
    </row>
    <row r="1164">
      <c r="A1164" s="1">
        <v>1162.0</v>
      </c>
      <c r="B1164" s="1" t="s">
        <v>4270</v>
      </c>
      <c r="C1164" s="1" t="s">
        <v>4323</v>
      </c>
      <c r="D1164" s="1" t="s">
        <v>4324</v>
      </c>
      <c r="E1164" s="2" t="str">
        <f>IFERROR(__xludf.DUMMYFUNCTION("GOOGLETRANSLATE(C1164, ""en"", ""th"")"),"ผู้ป่วยหญิงที่มาโรงพยาบาลในปี 2540 ได้รับการติดตามที่คลินิกผู้ป่วยนอกทันทีกี่คน")</f>
        <v>ผู้ป่วยหญิงที่มาโรงพยาบาลในปี 2540 ได้รับการติดตามที่คลินิกผู้ป่วยนอกทันทีกี่คน</v>
      </c>
      <c r="F1164" s="1" t="s">
        <v>4325</v>
      </c>
      <c r="G1164" s="1" t="s">
        <v>4326</v>
      </c>
      <c r="H1164" s="1" t="s">
        <v>18</v>
      </c>
    </row>
    <row r="1165">
      <c r="A1165" s="1">
        <v>1163.0</v>
      </c>
      <c r="B1165" s="1" t="s">
        <v>4270</v>
      </c>
      <c r="C1165" s="1" t="s">
        <v>4327</v>
      </c>
      <c r="D1165" s="1" t="s">
        <v>4328</v>
      </c>
      <c r="E1165" s="2" t="str">
        <f>IFERROR(__xludf.DUMMYFUNCTION("GOOGLETRANSLATE(C1165, ""en"", ""th"")"),"ผู้ป่วยที่อายุน้อยที่สุดมาถึงโรงพยาบาลครั้งแรกคืออายุเท่าใด")</f>
        <v>ผู้ป่วยที่อายุน้อยที่สุดมาถึงโรงพยาบาลครั้งแรกคืออายุเท่าใด</v>
      </c>
      <c r="F1165" s="1" t="s">
        <v>4329</v>
      </c>
      <c r="G1165" s="1" t="s">
        <v>4330</v>
      </c>
      <c r="H1165" s="1" t="s">
        <v>13</v>
      </c>
    </row>
    <row r="1166">
      <c r="A1166" s="1">
        <v>1164.0</v>
      </c>
      <c r="B1166" s="1" t="s">
        <v>4270</v>
      </c>
      <c r="C1166" s="1" t="s">
        <v>4331</v>
      </c>
      <c r="D1166" s="1" t="s">
        <v>4332</v>
      </c>
      <c r="E1166" s="2" t="str">
        <f>IFERROR(__xludf.DUMMYFUNCTION("GOOGLETRANSLATE(C1166, ""en"", ""th"")"),"ผู้ป่วยที่เป็นโรคลิ่มเลือดอุดตันร้ายแรงที่สุดที่ได้รับการตรวจในปี 2540 เป็นผู้หญิงกี่ราย")</f>
        <v>ผู้ป่วยที่เป็นโรคลิ่มเลือดอุดตันร้ายแรงที่สุดที่ได้รับการตรวจในปี 2540 เป็นผู้หญิงกี่ราย</v>
      </c>
      <c r="F1166" s="1" t="s">
        <v>4333</v>
      </c>
      <c r="G1166" s="1" t="s">
        <v>4334</v>
      </c>
      <c r="H1166" s="1" t="s">
        <v>18</v>
      </c>
    </row>
    <row r="1167">
      <c r="A1167" s="1">
        <v>1165.0</v>
      </c>
      <c r="B1167" s="1" t="s">
        <v>4270</v>
      </c>
      <c r="C1167" s="1" t="s">
        <v>4335</v>
      </c>
      <c r="D1167" s="1" t="s">
        <v>4336</v>
      </c>
      <c r="E1167" s="2" t="str">
        <f>IFERROR(__xludf.DUMMYFUNCTION("GOOGLETRANSLATE(C1167, ""en"", ""th"")"),"ช่องว่างอายุระหว่างผู้ป่วยที่อายุน้อยที่สุดและอายุมากที่สุดที่มีระดับไตรกลีเซอไรด์ปกติบันทึกไว้คือเท่าใด")</f>
        <v>ช่องว่างอายุระหว่างผู้ป่วยที่อายุน้อยที่สุดและอายุมากที่สุดที่มีระดับไตรกลีเซอไรด์ปกติบันทึกไว้คือเท่าใด</v>
      </c>
      <c r="F1167" s="1" t="s">
        <v>4337</v>
      </c>
      <c r="G1167" s="1" t="s">
        <v>4338</v>
      </c>
      <c r="H1167" s="1" t="s">
        <v>18</v>
      </c>
    </row>
    <row r="1168">
      <c r="A1168" s="1">
        <v>1166.0</v>
      </c>
      <c r="B1168" s="1" t="s">
        <v>4270</v>
      </c>
      <c r="C1168" s="1" t="s">
        <v>4339</v>
      </c>
      <c r="D1168" s="1" t="s">
        <v>4340</v>
      </c>
      <c r="E1168" s="2" t="str">
        <f>IFERROR(__xludf.DUMMYFUNCTION("GOOGLETRANSLATE(C1168, ""en"", ""th"")"),"คนไข้ที่อายุน้อยที่สุดที่เคยตรวจสุขภาพสังเกตอาการอย่างไรบ้าง? ระบุการวินิจฉัยของพวกเขา")</f>
        <v>คนไข้ที่อายุน้อยที่สุดที่เคยตรวจสุขภาพสังเกตอาการอย่างไรบ้าง? ระบุการวินิจฉัยของพวกเขา</v>
      </c>
      <c r="F1168" s="1" t="s">
        <v>4341</v>
      </c>
      <c r="G1168" s="1" t="s">
        <v>4342</v>
      </c>
      <c r="H1168" s="1" t="s">
        <v>13</v>
      </c>
    </row>
    <row r="1169">
      <c r="A1169" s="1">
        <v>1167.0</v>
      </c>
      <c r="B1169" s="1" t="s">
        <v>4270</v>
      </c>
      <c r="C1169" s="1" t="s">
        <v>4343</v>
      </c>
      <c r="D1169" s="1" t="s">
        <v>4344</v>
      </c>
      <c r="E1169" s="2" t="str">
        <f>IFERROR(__xludf.DUMMYFUNCTION("GOOGLETRANSLATE(C1169, ""en"", ""th"")"),"สำหรับปีที่สิ้นสุดวันที่ 31 ธันวาคม 2541 ในแต่ละเดือนมีการตรวจผู้ป่วยชายโดยเฉลี่ยกี่ราย")</f>
        <v>สำหรับปีที่สิ้นสุดวันที่ 31 ธันวาคม 2541 ในแต่ละเดือนมีการตรวจผู้ป่วยชายโดยเฉลี่ยกี่ราย</v>
      </c>
      <c r="F1169" s="1" t="s">
        <v>4345</v>
      </c>
      <c r="G1169" s="1" t="s">
        <v>4346</v>
      </c>
      <c r="H1169" s="1" t="s">
        <v>18</v>
      </c>
    </row>
    <row r="1170">
      <c r="A1170" s="1">
        <v>1168.0</v>
      </c>
      <c r="B1170" s="1" t="s">
        <v>4270</v>
      </c>
      <c r="C1170" s="1" t="s">
        <v>4347</v>
      </c>
      <c r="D1170" s="1" t="s">
        <v>4348</v>
      </c>
      <c r="E1170" s="2" t="str">
        <f>IFERROR(__xludf.DUMMYFUNCTION("GOOGLETRANSLATE(C1170, ""en"", ""th"")"),"งานห้องปฏิบัติการทางการแพทย์ของผู้ป่วย SJS ที่เก่าแก่ที่สุดเสร็จสิ้นในวันที่เท่าไร และผู้ป่วยมาถึงโรงพยาบาลครั้งแรกเมื่ออายุเท่าใด")</f>
        <v>งานห้องปฏิบัติการทางการแพทย์ของผู้ป่วย SJS ที่เก่าแก่ที่สุดเสร็จสิ้นในวันที่เท่าไร และผู้ป่วยมาถึงโรงพยาบาลครั้งแรกเมื่ออายุเท่าใด</v>
      </c>
      <c r="F1170" s="1" t="s">
        <v>4349</v>
      </c>
      <c r="G1170" s="1" t="s">
        <v>4350</v>
      </c>
      <c r="H1170" s="1" t="s">
        <v>101</v>
      </c>
    </row>
    <row r="1171">
      <c r="A1171" s="1">
        <v>1169.0</v>
      </c>
      <c r="B1171" s="1" t="s">
        <v>4270</v>
      </c>
      <c r="C1171" s="1" t="s">
        <v>4351</v>
      </c>
      <c r="D1171" s="1" t="s">
        <v>4352</v>
      </c>
      <c r="E1171" s="2" t="str">
        <f>IFERROR(__xludf.DUMMYFUNCTION("GOOGLETRANSLATE(C1171, ""en"", ""th"")"),"อัตราส่วนของผู้ป่วยชายต่อหญิงในผู้ที่มีปริมาณกรดยูริกผิดปกติเป็นเท่าใด")</f>
        <v>อัตราส่วนของผู้ป่วยชายต่อหญิงในผู้ที่มีปริมาณกรดยูริกผิดปกติเป็นเท่าใด</v>
      </c>
      <c r="F1171" s="1" t="s">
        <v>4353</v>
      </c>
      <c r="G1171" s="1" t="s">
        <v>4354</v>
      </c>
      <c r="H1171" s="1" t="s">
        <v>101</v>
      </c>
    </row>
    <row r="1172">
      <c r="A1172" s="1">
        <v>1170.0</v>
      </c>
      <c r="B1172" s="1" t="s">
        <v>4270</v>
      </c>
      <c r="C1172" s="1" t="s">
        <v>4355</v>
      </c>
      <c r="D1172" s="1" t="s">
        <v>4356</v>
      </c>
      <c r="E1172" s="2" t="str">
        <f>IFERROR(__xludf.DUMMYFUNCTION("GOOGLETRANSLATE(C1172, ""en"", ""th"")"),"มีผู้ป่วยกี่คนที่ไม่ได้รับการตรวจทางการแพทย์จนกระทั่งอย่างน้อยหนึ่งปีหลังจากการไปโรงพยาบาลครั้งแรก")</f>
        <v>มีผู้ป่วยกี่คนที่ไม่ได้รับการตรวจทางการแพทย์จนกระทั่งอย่างน้อยหนึ่งปีหลังจากการไปโรงพยาบาลครั้งแรก</v>
      </c>
      <c r="F1172" s="1" t="s">
        <v>4357</v>
      </c>
      <c r="G1172" s="1" t="s">
        <v>4358</v>
      </c>
      <c r="H1172" s="1" t="s">
        <v>18</v>
      </c>
    </row>
    <row r="1173">
      <c r="A1173" s="1">
        <v>1171.0</v>
      </c>
      <c r="B1173" s="1" t="s">
        <v>4270</v>
      </c>
      <c r="C1173" s="1" t="s">
        <v>4359</v>
      </c>
      <c r="D1173" s="1" t="s">
        <v>4360</v>
      </c>
      <c r="E1173" s="2" t="str">
        <f>IFERROR(__xludf.DUMMYFUNCTION("GOOGLETRANSLATE(C1173, ""en"", ""th"")"),"ในช่วงระยะเวลาสามปีตั้งแต่ปี พ.ศ. 2533 ถึง พ.ศ. 2536 มีการตรวจผู้ป่วยที่ยังไม่บรรลุนิติภาวะจำนวนกี่ราย")</f>
        <v>ในช่วงระยะเวลาสามปีตั้งแต่ปี พ.ศ. 2533 ถึง พ.ศ. 2536 มีการตรวจผู้ป่วยที่ยังไม่บรรลุนิติภาวะจำนวนกี่ราย</v>
      </c>
      <c r="F1173" s="1" t="s">
        <v>4361</v>
      </c>
      <c r="G1173" s="1" t="s">
        <v>4362</v>
      </c>
      <c r="H1173" s="1" t="s">
        <v>101</v>
      </c>
    </row>
    <row r="1174">
      <c r="A1174" s="1">
        <v>1172.0</v>
      </c>
      <c r="B1174" s="1" t="s">
        <v>4270</v>
      </c>
      <c r="C1174" s="1" t="s">
        <v>4363</v>
      </c>
      <c r="D1174" s="1" t="s">
        <v>4364</v>
      </c>
      <c r="E1174" s="2" t="str">
        <f>IFERROR(__xludf.DUMMYFUNCTION("GOOGLETRANSLATE(C1174, ""en"", ""th"")"),"มีผู้ป่วยชายจำนวนเท่าใดที่มีระดับบิลิรูบินรวมสูง?")</f>
        <v>มีผู้ป่วยชายจำนวนเท่าใดที่มีระดับบิลิรูบินรวมสูง?</v>
      </c>
      <c r="F1174" s="1" t="s">
        <v>4365</v>
      </c>
      <c r="G1174" s="1" t="s">
        <v>4366</v>
      </c>
      <c r="H1174" s="1" t="s">
        <v>13</v>
      </c>
    </row>
    <row r="1175">
      <c r="A1175" s="1">
        <v>1173.0</v>
      </c>
      <c r="B1175" s="1" t="s">
        <v>4270</v>
      </c>
      <c r="C1175" s="1" t="s">
        <v>4367</v>
      </c>
      <c r="D1175" s="1" t="s">
        <v>4368</v>
      </c>
      <c r="E1175" s="2" t="str">
        <f>IFERROR(__xludf.DUMMYFUNCTION("GOOGLETRANSLATE(C1175, ""en"", ""th"")"),"ความเจ็บป่วยที่พบบ่อยที่สุดที่แพทย์ระบุในผู้ป่วยที่ทำห้องปฏิบัติการระหว่างวันที่ 1/1/1985 ถึง 31/12/1995 คืออะไร")</f>
        <v>ความเจ็บป่วยที่พบบ่อยที่สุดที่แพทย์ระบุในผู้ป่วยที่ทำห้องปฏิบัติการระหว่างวันที่ 1/1/1985 ถึง 31/12/1995 คืออะไร</v>
      </c>
      <c r="F1175" s="1" t="s">
        <v>4369</v>
      </c>
      <c r="G1175" s="1" t="s">
        <v>4370</v>
      </c>
      <c r="H1175" s="1" t="s">
        <v>101</v>
      </c>
    </row>
    <row r="1176">
      <c r="A1176" s="1">
        <v>1174.0</v>
      </c>
      <c r="B1176" s="1" t="s">
        <v>4270</v>
      </c>
      <c r="C1176" s="1" t="s">
        <v>4371</v>
      </c>
      <c r="D1176" s="1" t="s">
        <v>4372</v>
      </c>
      <c r="E1176" s="2" t="str">
        <f>IFERROR(__xludf.DUMMYFUNCTION("GOOGLETRANSLATE(C1176, ""en"", ""th"")"),"อายุเฉลี่ยของผู้ป่วย ณ ปี พ.ศ. 2542 ที่ตรวจในห้องปฏิบัติการในเดือนตุลาคม พ.ศ. 2534 เป็นเท่าใด")</f>
        <v>อายุเฉลี่ยของผู้ป่วย ณ ปี พ.ศ. 2542 ที่ตรวจในห้องปฏิบัติการในเดือนตุลาคม พ.ศ. 2534 เป็นเท่าใด</v>
      </c>
      <c r="F1176" s="1" t="s">
        <v>4373</v>
      </c>
      <c r="G1176" s="1" t="s">
        <v>4374</v>
      </c>
      <c r="H1176" s="1" t="s">
        <v>18</v>
      </c>
    </row>
    <row r="1177">
      <c r="A1177" s="1">
        <v>1175.0</v>
      </c>
      <c r="B1177" s="1" t="s">
        <v>4270</v>
      </c>
      <c r="C1177" s="1" t="s">
        <v>4375</v>
      </c>
      <c r="D1177" s="1" t="s">
        <v>4376</v>
      </c>
      <c r="E1177" s="2" t="str">
        <f>IFERROR(__xludf.DUMMYFUNCTION("GOOGLETRANSLATE(C1177, ""en"", ""th"")"),"ผู้ป่วยที่มีจำนวนฮีโมโกลบินสูงสุด ณ เวลาที่ตรวจคืออายุเท่าใด และแพทย์จะวินิจฉัยอย่างไร?")</f>
        <v>ผู้ป่วยที่มีจำนวนฮีโมโกลบินสูงสุด ณ เวลาที่ตรวจคืออายุเท่าใด และแพทย์จะวินิจฉัยอย่างไร?</v>
      </c>
      <c r="F1177" s="1" t="s">
        <v>4377</v>
      </c>
      <c r="G1177" s="1" t="s">
        <v>4378</v>
      </c>
      <c r="H1177" s="1" t="s">
        <v>18</v>
      </c>
    </row>
    <row r="1178">
      <c r="A1178" s="1">
        <v>1176.0</v>
      </c>
      <c r="B1178" s="1" t="s">
        <v>4270</v>
      </c>
      <c r="C1178" s="1" t="s">
        <v>4379</v>
      </c>
      <c r="D1178" s="1" t="s">
        <v>4380</v>
      </c>
      <c r="E1178" s="2" t="str">
        <f>IFERROR(__xludf.DUMMYFUNCTION("GOOGLETRANSLATE(C1178, ""en"", ""th"")"),"ระดับความเข้มข้นของแอนติบอดีต้านนิวเคลียสสำหรับผู้ป่วย id 3605340 เมื่อวันที่ 2/12/1996 เป็นเท่าใด")</f>
        <v>ระดับความเข้มข้นของแอนติบอดีต้านนิวเคลียสสำหรับผู้ป่วย id 3605340 เมื่อวันที่ 2/12/1996 เป็นเท่าใด</v>
      </c>
      <c r="F1178" s="1" t="s">
        <v>4381</v>
      </c>
      <c r="G1178" s="1" t="s">
        <v>4382</v>
      </c>
      <c r="H1178" s="1" t="s">
        <v>13</v>
      </c>
    </row>
    <row r="1179">
      <c r="A1179" s="1">
        <v>1177.0</v>
      </c>
      <c r="B1179" s="1" t="s">
        <v>4270</v>
      </c>
      <c r="C1179" s="1" t="s">
        <v>4383</v>
      </c>
      <c r="D1179" s="1" t="s">
        <v>4384</v>
      </c>
      <c r="E1179" s="2" t="str">
        <f>IFERROR(__xludf.DUMMYFUNCTION("GOOGLETRANSLATE(C1179, ""en"", ""th"")"),"สถานะคอเลสเตอรอลรวมของผู้ป่วยรหัส 2927464 เมื่อวันที่ 1995-9-4 อยู่ในระดับปกติหรือไม่?")</f>
        <v>สถานะคอเลสเตอรอลรวมของผู้ป่วยรหัส 2927464 เมื่อวันที่ 1995-9-4 อยู่ในระดับปกติหรือไม่?</v>
      </c>
      <c r="F1179" s="1" t="s">
        <v>4385</v>
      </c>
      <c r="G1179" s="1" t="s">
        <v>4386</v>
      </c>
      <c r="H1179" s="1" t="s">
        <v>13</v>
      </c>
    </row>
    <row r="1180">
      <c r="A1180" s="1">
        <v>1178.0</v>
      </c>
      <c r="B1180" s="1" t="s">
        <v>4270</v>
      </c>
      <c r="C1180" s="1" t="s">
        <v>4387</v>
      </c>
      <c r="D1180" s="1" t="s">
        <v>4388</v>
      </c>
      <c r="E1180" s="2" t="str">
        <f>IFERROR(__xludf.DUMMYFUNCTION("GOOGLETRANSLATE(C1180, ""en"", ""th"")"),"เพศของผู้ป่วยที่ได้รับการวินิจฉัยโรคเอออร์ติติสกลุ่มแรกคืออะไร?")</f>
        <v>เพศของผู้ป่วยที่ได้รับการวินิจฉัยโรคเอออร์ติติสกลุ่มแรกคืออะไร?</v>
      </c>
      <c r="F1180" s="1" t="s">
        <v>4389</v>
      </c>
      <c r="G1180" s="1" t="s">
        <v>4390</v>
      </c>
      <c r="H1180" s="1" t="s">
        <v>13</v>
      </c>
    </row>
    <row r="1181">
      <c r="A1181" s="1">
        <v>1179.0</v>
      </c>
      <c r="B1181" s="1" t="s">
        <v>4270</v>
      </c>
      <c r="C1181" s="1" t="s">
        <v>4391</v>
      </c>
      <c r="D1181" s="1" t="s">
        <v>4392</v>
      </c>
      <c r="E1181" s="2" t="str">
        <f>IFERROR(__xludf.DUMMYFUNCTION("GOOGLETRANSLATE(C1181, ""en"", ""th"")"),"สำหรับผู้ป่วยที่ได้รับการวินิจฉัยว่าเป็นโรค SLE เมื่อวันที่ 2/19/62 สถานะความเข้มข้นของแอนติบอดีต่อต้าน Cardiolipin ของเขา/เธอในวันที่ 11/1993 เป็นเท่าใด")</f>
        <v>สำหรับผู้ป่วยที่ได้รับการวินิจฉัยว่าเป็นโรค SLE เมื่อวันที่ 2/19/62 สถานะความเข้มข้นของแอนติบอดีต่อต้าน Cardiolipin ของเขา/เธอในวันที่ 11/1993 เป็นเท่าใด</v>
      </c>
      <c r="F1181" s="1" t="s">
        <v>4393</v>
      </c>
      <c r="G1181" s="1" t="s">
        <v>4394</v>
      </c>
      <c r="H1181" s="1" t="s">
        <v>18</v>
      </c>
    </row>
    <row r="1182">
      <c r="A1182" s="1">
        <v>1180.0</v>
      </c>
      <c r="B1182" s="1" t="s">
        <v>4270</v>
      </c>
      <c r="C1182" s="1" t="s">
        <v>4395</v>
      </c>
      <c r="D1182" s="1" t="s">
        <v>4396</v>
      </c>
      <c r="E1182" s="2" t="str">
        <f>IFERROR(__xludf.DUMMYFUNCTION("GOOGLETRANSLATE(C1182, ""en"", ""th"")"),"ผู้ป่วยเป็นชายหรือหญิงที่มีสถานะ ALT glutamic pylvic transaminase ได้ 9 คะแนนในวันที่ 1992-6-55 หรือไม่")</f>
        <v>ผู้ป่วยเป็นชายหรือหญิงที่มีสถานะ ALT glutamic pylvic transaminase ได้ 9 คะแนนในวันที่ 1992-6-55 หรือไม่</v>
      </c>
      <c r="F1182" s="1" t="s">
        <v>4397</v>
      </c>
      <c r="G1182" s="1" t="s">
        <v>4398</v>
      </c>
      <c r="H1182" s="1" t="s">
        <v>18</v>
      </c>
    </row>
    <row r="1183">
      <c r="A1183" s="1">
        <v>1181.0</v>
      </c>
      <c r="B1183" s="1" t="s">
        <v>4270</v>
      </c>
      <c r="C1183" s="1" t="s">
        <v>4399</v>
      </c>
      <c r="D1183" s="1" t="s">
        <v>4400</v>
      </c>
      <c r="E1183" s="2" t="str">
        <f>IFERROR(__xludf.DUMMYFUNCTION("GOOGLETRANSLATE(C1183, ""en"", ""th"")"),"สำหรับคนไข้ที่มีผลการตรวจระดับกรดยูริกในห้องปฏิบัติการเท่ากับ 8.4 เมื่อวันที่ 2534-10-64 ตอนนั้นอายุเท่าไหร่?")</f>
        <v>สำหรับคนไข้ที่มีผลการตรวจระดับกรดยูริกในห้องปฏิบัติการเท่ากับ 8.4 เมื่อวันที่ 2534-10-64 ตอนนั้นอายุเท่าไหร่?</v>
      </c>
      <c r="F1183" s="1" t="s">
        <v>4401</v>
      </c>
      <c r="G1183" s="1" t="s">
        <v>4402</v>
      </c>
      <c r="H1183" s="1" t="s">
        <v>18</v>
      </c>
    </row>
    <row r="1184">
      <c r="A1184" s="1">
        <v>1182.0</v>
      </c>
      <c r="B1184" s="1" t="s">
        <v>4270</v>
      </c>
      <c r="C1184" s="1" t="s">
        <v>4403</v>
      </c>
      <c r="D1184" s="1" t="s">
        <v>4404</v>
      </c>
      <c r="E1184" s="2" t="str">
        <f>IFERROR(__xludf.DUMMYFUNCTION("GOOGLETRANSLATE(C1184, ""en"", ""th"")"),"สำหรับคนไข้ที่มาโรงพยาบาลครั้งแรกเมื่อวันที่ 6/6/56 และได้รับการวินิจฉัยว่าเป็นโรค SJS จำนวนการตรวจทางห้องปฏิบัติการในปี 2538 ทั้งหมดเป็นเท่าใด")</f>
        <v>สำหรับคนไข้ที่มาโรงพยาบาลครั้งแรกเมื่อวันที่ 6/6/56 และได้รับการวินิจฉัยว่าเป็นโรค SJS จำนวนการตรวจทางห้องปฏิบัติการในปี 2538 ทั้งหมดเป็นเท่าใด</v>
      </c>
      <c r="F1184" s="1" t="s">
        <v>4405</v>
      </c>
      <c r="G1184" s="1" t="s">
        <v>4406</v>
      </c>
      <c r="H1184" s="1" t="s">
        <v>18</v>
      </c>
    </row>
    <row r="1185">
      <c r="A1185" s="1">
        <v>1183.0</v>
      </c>
      <c r="B1185" s="1" t="s">
        <v>4270</v>
      </c>
      <c r="C1185" s="1" t="s">
        <v>4407</v>
      </c>
      <c r="D1185" s="3" t="s">
        <v>4408</v>
      </c>
      <c r="E1185" s="2" t="str">
        <f>IFERROR(__xludf.DUMMYFUNCTION("GOOGLETRANSLATE(C1185, ""en"", ""th"")"),"สำหรับผู้ป่วยที่ได้รับการวินิจฉัยว่าเป็นโรค SLE เมื่อวันที่ 1/1/2540 การวินิจฉัยเดิมเมื่อมาโรงพยาบาลครั้งแรกเป็นอย่างไร?")</f>
        <v>สำหรับผู้ป่วยที่ได้รับการวินิจฉัยว่าเป็นโรค SLE เมื่อวันที่ 1/1/2540 การวินิจฉัยเดิมเมื่อมาโรงพยาบาลครั้งแรกเป็นอย่างไร?</v>
      </c>
      <c r="F1185" s="1" t="s">
        <v>4409</v>
      </c>
      <c r="G1185" s="1" t="s">
        <v>4410</v>
      </c>
      <c r="H1185" s="1" t="s">
        <v>101</v>
      </c>
    </row>
    <row r="1186">
      <c r="A1186" s="1">
        <v>1184.0</v>
      </c>
      <c r="B1186" s="1" t="s">
        <v>4270</v>
      </c>
      <c r="C1186" s="1" t="s">
        <v>4411</v>
      </c>
      <c r="E1186" s="2" t="str">
        <f>IFERROR(__xludf.DUMMYFUNCTION("GOOGLETRANSLATE(C1186, ""en"", ""th"")"),"คนไข้ที่เกิดวันที่ 1 พ.ศ. 2502/3/2559/3/27 มีอาการอย่างไรระหว่างตรวจวันที่ 1993/9/27?")</f>
        <v>คนไข้ที่เกิดวันที่ 1 พ.ศ. 2502/3/2559/3/27 มีอาการอย่างไรระหว่างตรวจวันที่ 1993/9/27?</v>
      </c>
      <c r="G1186" s="1" t="s">
        <v>4412</v>
      </c>
      <c r="H1186" s="1" t="s">
        <v>13</v>
      </c>
    </row>
    <row r="1187">
      <c r="A1187" s="1">
        <v>1185.0</v>
      </c>
      <c r="B1187" s="1" t="s">
        <v>4270</v>
      </c>
      <c r="C1187" s="1" t="s">
        <v>4413</v>
      </c>
      <c r="D1187" s="1" t="s">
        <v>4414</v>
      </c>
      <c r="E1187" s="2" t="str">
        <f>IFERROR(__xludf.DUMMYFUNCTION("GOOGLETRANSLATE(C1187, ""en"", ""th"")"),"คนไข้ที่เกิดวันที่ 2/2/61 อัตราคอเลสเตอรอลรวมในช่วงเดือนพฤศจิกายนถึงธันวาคม 2524 ลดลงเท่าใด")</f>
        <v>คนไข้ที่เกิดวันที่ 2/2/61 อัตราคอเลสเตอรอลรวมในช่วงเดือนพฤศจิกายนถึงธันวาคม 2524 ลดลงเท่าใด</v>
      </c>
      <c r="F1187" s="1" t="s">
        <v>4415</v>
      </c>
      <c r="G1187" s="1" t="s">
        <v>4416</v>
      </c>
      <c r="H1187" s="1" t="s">
        <v>101</v>
      </c>
    </row>
    <row r="1188">
      <c r="A1188" s="1">
        <v>1186.0</v>
      </c>
      <c r="B1188" s="1" t="s">
        <v>4270</v>
      </c>
      <c r="C1188" s="1" t="s">
        <v>4417</v>
      </c>
      <c r="D1188" s="3" t="s">
        <v>4418</v>
      </c>
      <c r="E1188" s="2" t="str">
        <f>IFERROR(__xludf.DUMMYFUNCTION("GOOGLETRANSLATE(C1188, ""en"", ""th"")"),"แสดงรายการผู้ป่วยทั้งหมดตาม ID ที่ได้รับการวินิจฉัยว่าเป็นโรค Behcet และมีการตรวจระหว่างวันที่ 01/01/197 ถึง 31/12/1997")</f>
        <v>แสดงรายการผู้ป่วยทั้งหมดตาม ID ที่ได้รับการวินิจฉัยว่าเป็นโรค Behcet และมีการตรวจระหว่างวันที่ 01/01/197 ถึง 31/12/1997</v>
      </c>
      <c r="F1188" s="1" t="s">
        <v>4419</v>
      </c>
      <c r="G1188" s="1" t="s">
        <v>4420</v>
      </c>
      <c r="H1188" s="1" t="s">
        <v>18</v>
      </c>
    </row>
    <row r="1189">
      <c r="A1189" s="1">
        <v>1187.0</v>
      </c>
      <c r="B1189" s="1" t="s">
        <v>4270</v>
      </c>
      <c r="C1189" s="1" t="s">
        <v>4421</v>
      </c>
      <c r="D1189" s="1" t="s">
        <v>4422</v>
      </c>
      <c r="E1189" s="2" t="str">
        <f>IFERROR(__xludf.DUMMYFUNCTION("GOOGLETRANSLATE(C1189, ""en"", ""th"")"),"มีผู้ป่วยกี่รายที่ได้รับการตรวจระหว่าง 1/6/1987 ถึง 1/31/1987 มีระดับ GPT มากกว่า 30 และระดับ ALB น้อยกว่า 4 แสดงรายการตาม ID ของพวกเขา")</f>
        <v>มีผู้ป่วยกี่รายที่ได้รับการตรวจระหว่าง 1/6/1987 ถึง 1/31/1987 มีระดับ GPT มากกว่า 30 และระดับ ALB น้อยกว่า 4 แสดงรายการตาม ID ของพวกเขา</v>
      </c>
      <c r="F1189" s="1" t="s">
        <v>4423</v>
      </c>
      <c r="G1189" s="1" t="s">
        <v>4424</v>
      </c>
      <c r="H1189" s="1" t="s">
        <v>18</v>
      </c>
    </row>
    <row r="1190">
      <c r="A1190" s="1">
        <v>1188.0</v>
      </c>
      <c r="B1190" s="1" t="s">
        <v>4270</v>
      </c>
      <c r="C1190" s="1" t="s">
        <v>4425</v>
      </c>
      <c r="D1190" s="1" t="s">
        <v>4426</v>
      </c>
      <c r="E1190" s="2" t="str">
        <f>IFERROR(__xludf.DUMMYFUNCTION("GOOGLETRANSLATE(C1190, ""en"", ""th"")"),"คนไข้หญิงที่เกิดในปี 2507 เข้ารักษาในโรงพยาบาลกี่คน? แสดงรายการตาม ID")</f>
        <v>คนไข้หญิงที่เกิดในปี 2507 เข้ารักษาในโรงพยาบาลกี่คน? แสดงรายการตาม ID</v>
      </c>
      <c r="F1190" s="1" t="s">
        <v>4427</v>
      </c>
      <c r="G1190" s="1" t="s">
        <v>4428</v>
      </c>
      <c r="H1190" s="1" t="s">
        <v>13</v>
      </c>
    </row>
    <row r="1191">
      <c r="A1191" s="1">
        <v>1189.0</v>
      </c>
      <c r="B1191" s="1" t="s">
        <v>4270</v>
      </c>
      <c r="C1191" s="1" t="s">
        <v>4429</v>
      </c>
      <c r="D1191" s="1" t="s">
        <v>4430</v>
      </c>
      <c r="E1191" s="2" t="str">
        <f>IFERROR(__xludf.DUMMYFUNCTION("GOOGLETRANSLATE(C1191, ""en"", ""th"")"),"ผู้ป่วยที่มีระดับการเกิดลิ่มเลือดอุดตันระดับ 2 และรูปแบบ ANA เพียง S เท่านั้น มีระดับการป้องกันคาร์ดิโอลิปในแอนติบอดี (IgM) สูงกว่าค่าเฉลี่ย 20% กี่ราย")</f>
        <v>ผู้ป่วยที่มีระดับการเกิดลิ่มเลือดอุดตันระดับ 2 และรูปแบบ ANA เพียง S เท่านั้น มีระดับการป้องกันคาร์ดิโอลิปในแอนติบอดี (IgM) สูงกว่าค่าเฉลี่ย 20% กี่ราย</v>
      </c>
      <c r="F1191" s="1" t="s">
        <v>4431</v>
      </c>
      <c r="G1191" s="1" t="s">
        <v>4432</v>
      </c>
      <c r="H1191" s="1" t="s">
        <v>101</v>
      </c>
    </row>
    <row r="1192">
      <c r="A1192" s="1">
        <v>1190.0</v>
      </c>
      <c r="B1192" s="1" t="s">
        <v>4270</v>
      </c>
      <c r="C1192" s="1" t="s">
        <v>4433</v>
      </c>
      <c r="D1192" s="1" t="s">
        <v>4434</v>
      </c>
      <c r="E1192" s="2" t="str">
        <f>IFERROR(__xludf.DUMMYFUNCTION("GOOGLETRANSLATE(C1192, ""en"", ""th"")"),"ผู้ป่วยที่มีระดับโปรตีนในปัสสาวะในช่วงปกติมีระดับกรดยูริกต่ำกว่าช่วงปกติกี่เปอร์เซ็นต์")</f>
        <v>ผู้ป่วยที่มีระดับโปรตีนในปัสสาวะในช่วงปกติมีระดับกรดยูริกต่ำกว่าช่วงปกติกี่เปอร์เซ็นต์</v>
      </c>
      <c r="F1192" s="1" t="s">
        <v>4435</v>
      </c>
      <c r="G1192" s="1" t="s">
        <v>4436</v>
      </c>
      <c r="H1192" s="1" t="s">
        <v>101</v>
      </c>
    </row>
    <row r="1193">
      <c r="A1193" s="1">
        <v>1191.0</v>
      </c>
      <c r="B1193" s="1" t="s">
        <v>4270</v>
      </c>
      <c r="C1193" s="1" t="s">
        <v>4437</v>
      </c>
      <c r="D1193" s="1" t="s">
        <v>4438</v>
      </c>
      <c r="E1193" s="2" t="str">
        <f>IFERROR(__xludf.DUMMYFUNCTION("GOOGLETRANSLATE(C1193, ""en"", ""th"")"),"ผู้ป่วยชายที่มาโรงพยาบาลครั้งแรกในปี พ.ศ. 2524 ที่ได้รับการวินิจฉัยว่าเป็น BEHCET มีกี่เปอร์เซ็นต์")</f>
        <v>ผู้ป่วยชายที่มาโรงพยาบาลครั้งแรกในปี พ.ศ. 2524 ที่ได้รับการวินิจฉัยว่าเป็น BEHCET มีกี่เปอร์เซ็นต์</v>
      </c>
      <c r="F1193" s="1" t="s">
        <v>4439</v>
      </c>
      <c r="G1193" s="1" t="s">
        <v>4440</v>
      </c>
      <c r="H1193" s="1" t="s">
        <v>101</v>
      </c>
    </row>
    <row r="1194">
      <c r="A1194" s="1">
        <v>1192.0</v>
      </c>
      <c r="B1194" s="1" t="s">
        <v>4270</v>
      </c>
      <c r="C1194" s="1" t="s">
        <v>4441</v>
      </c>
      <c r="D1194" s="1" t="s">
        <v>4442</v>
      </c>
      <c r="E1194" s="2" t="str">
        <f>IFERROR(__xludf.DUMMYFUNCTION("GOOGLETRANSLATE(C1194, ""en"", ""th"")"),"รายชื่อผู้ป่วยทั้งหมดที่ติดตามผลที่คลินิกผู้ป่วยนอกที่เข้ารับการตรวจในห้องปฏิบัติการเมื่อเดือนตุลาคม พ.ศ. 2534 และมีระดับบิลิรูบินในเลือดรวมอยู่ในช่วงปกติ")</f>
        <v>รายชื่อผู้ป่วยทั้งหมดที่ติดตามผลที่คลินิกผู้ป่วยนอกที่เข้ารับการตรวจในห้องปฏิบัติการเมื่อเดือนตุลาคม พ.ศ. 2534 และมีระดับบิลิรูบินในเลือดรวมอยู่ในช่วงปกติ</v>
      </c>
      <c r="F1194" s="1" t="s">
        <v>4443</v>
      </c>
      <c r="G1194" s="1" t="s">
        <v>4444</v>
      </c>
      <c r="H1194" s="1" t="s">
        <v>101</v>
      </c>
    </row>
    <row r="1195">
      <c r="A1195" s="1">
        <v>1193.0</v>
      </c>
      <c r="B1195" s="1" t="s">
        <v>4270</v>
      </c>
      <c r="C1195" s="1" t="s">
        <v>4445</v>
      </c>
      <c r="D1195" s="1" t="s">
        <v>4446</v>
      </c>
      <c r="E1195" s="2" t="str">
        <f>IFERROR(__xludf.DUMMYFUNCTION("GOOGLETRANSLATE(C1195, ""en"", ""th"")"),"หากไม่รวมผู้ป่วยรูปแบบ P เท่านั้น ANA มีผู้หญิงที่เกิดระหว่างปี 1980 ถึง 1989 กี่คนที่เหลือ")</f>
        <v>หากไม่รวมผู้ป่วยรูปแบบ P เท่านั้น ANA มีผู้หญิงที่เกิดระหว่างปี 1980 ถึง 1989 กี่คนที่เหลือ</v>
      </c>
      <c r="F1195" s="1" t="s">
        <v>4447</v>
      </c>
      <c r="G1195" s="1" t="s">
        <v>4448</v>
      </c>
      <c r="H1195" s="1" t="s">
        <v>18</v>
      </c>
    </row>
    <row r="1196">
      <c r="A1196" s="1">
        <v>1194.0</v>
      </c>
      <c r="B1196" s="1" t="s">
        <v>4270</v>
      </c>
      <c r="C1196" s="1" t="s">
        <v>4449</v>
      </c>
      <c r="D1196" s="1" t="s">
        <v>4450</v>
      </c>
      <c r="E1196" s="2" t="str">
        <f>IFERROR(__xludf.DUMMYFUNCTION("GOOGLETRANSLATE(C1196, ""en"", ""th"")"),"ผู้ป่วยเพศใดที่ได้รับการวินิจฉัยว่าเป็นโรค PSS ในการตรวจสุขภาพและในการตรวจทางห้องปฏิบัติการมีระดับเลือดของ C-reactive protein de 2+, createnine 1 และ LDH 123")</f>
        <v>ผู้ป่วยเพศใดที่ได้รับการวินิจฉัยว่าเป็นโรค PSS ในการตรวจสุขภาพและในการตรวจทางห้องปฏิบัติการมีระดับเลือดของ C-reactive protein de 2+, createnine 1 และ LDH 123</v>
      </c>
      <c r="F1196" s="1" t="s">
        <v>4451</v>
      </c>
      <c r="G1196" s="1" t="s">
        <v>4452</v>
      </c>
      <c r="H1196" s="1" t="s">
        <v>101</v>
      </c>
    </row>
    <row r="1197">
      <c r="A1197" s="1">
        <v>1195.0</v>
      </c>
      <c r="B1197" s="1" t="s">
        <v>4270</v>
      </c>
      <c r="C1197" s="1" t="s">
        <v>4453</v>
      </c>
      <c r="D1197" s="1" t="s">
        <v>4454</v>
      </c>
      <c r="E1197" s="2" t="str">
        <f>IFERROR(__xludf.DUMMYFUNCTION("GOOGLETRANSLATE(C1197, ""en"", ""th"")"),"ระดับอัลบูมินในเลือดโดยเฉลี่ยสำหรับผู้ป่วยหญิงที่มี PLT มากกว่า 400 ที่ได้รับการวินิจฉัยว่าเป็นโรค SLE คือเท่าใด")</f>
        <v>ระดับอัลบูมินในเลือดโดยเฉลี่ยสำหรับผู้ป่วยหญิงที่มี PLT มากกว่า 400 ที่ได้รับการวินิจฉัยว่าเป็นโรค SLE คือเท่าใด</v>
      </c>
      <c r="F1197" s="1" t="s">
        <v>4455</v>
      </c>
      <c r="G1197" s="1" t="s">
        <v>4456</v>
      </c>
      <c r="H1197" s="1" t="s">
        <v>18</v>
      </c>
    </row>
    <row r="1198">
      <c r="A1198" s="1">
        <v>1196.0</v>
      </c>
      <c r="B1198" s="1" t="s">
        <v>4270</v>
      </c>
      <c r="C1198" s="1" t="s">
        <v>4457</v>
      </c>
      <c r="D1198" s="1" t="s">
        <v>4458</v>
      </c>
      <c r="E1198" s="2" t="str">
        <f>IFERROR(__xludf.DUMMYFUNCTION("GOOGLETRANSLATE(C1198, ""en"", ""th"")"),"สัญญาณที่พบบ่อยที่สุดของผู้ป่วยโรค SLE คืออะไร?")</f>
        <v>สัญญาณที่พบบ่อยที่สุดของผู้ป่วยโรค SLE คืออะไร?</v>
      </c>
      <c r="F1198" s="1" t="s">
        <v>4459</v>
      </c>
      <c r="G1198" s="1" t="s">
        <v>4460</v>
      </c>
      <c r="H1198" s="1" t="s">
        <v>13</v>
      </c>
    </row>
    <row r="1199">
      <c r="A1199" s="1">
        <v>1197.0</v>
      </c>
      <c r="B1199" s="1" t="s">
        <v>4270</v>
      </c>
      <c r="C1199" s="1" t="s">
        <v>4461</v>
      </c>
      <c r="D1199" s="1" t="s">
        <v>4462</v>
      </c>
      <c r="E1199" s="2" t="str">
        <f>IFERROR(__xludf.DUMMYFUNCTION("GOOGLETRANSLATE(C1199, ""en"", ""th"")"),"ข้อมูลทางการแพทย์ของผู้ป่วยหมายเลข 48473 ได้รับการบันทึกไว้ครั้งแรกเมื่อใด และเธอเป็นโรคอะไร")</f>
        <v>ข้อมูลทางการแพทย์ของผู้ป่วยหมายเลข 48473 ได้รับการบันทึกไว้ครั้งแรกเมื่อใด และเธอเป็นโรคอะไร</v>
      </c>
      <c r="F1199" s="1" t="s">
        <v>4463</v>
      </c>
      <c r="G1199" s="1" t="s">
        <v>4464</v>
      </c>
      <c r="H1199" s="1" t="s">
        <v>13</v>
      </c>
    </row>
    <row r="1200">
      <c r="A1200" s="1">
        <v>1198.0</v>
      </c>
      <c r="B1200" s="1" t="s">
        <v>4270</v>
      </c>
      <c r="C1200" s="1" t="s">
        <v>4465</v>
      </c>
      <c r="D1200" s="1" t="s">
        <v>4466</v>
      </c>
      <c r="E1200" s="2" t="str">
        <f>IFERROR(__xludf.DUMMYFUNCTION("GOOGLETRANSLATE(C1200, ""en"", ""th"")"),"มีผู้ป่วยหญิงกี่รายที่ได้รับการวินิจฉัย APS?")</f>
        <v>มีผู้ป่วยหญิงกี่รายที่ได้รับการวินิจฉัย APS?</v>
      </c>
      <c r="F1200" s="1" t="s">
        <v>4467</v>
      </c>
      <c r="G1200" s="1" t="s">
        <v>4468</v>
      </c>
      <c r="H1200" s="1" t="s">
        <v>13</v>
      </c>
    </row>
    <row r="1201">
      <c r="A1201" s="1">
        <v>1199.0</v>
      </c>
      <c r="B1201" s="1" t="s">
        <v>4270</v>
      </c>
      <c r="C1201" s="1" t="s">
        <v>4469</v>
      </c>
      <c r="D1201" s="1" t="s">
        <v>4470</v>
      </c>
      <c r="E1201" s="2" t="str">
        <f>IFERROR(__xludf.DUMMYFUNCTION("GOOGLETRANSLATE(C1201, ""en"", ""th"")"),"ผู้ป่วยที่เข้ารับการตรวจในปี 2540 มีระดับโปรตีนอยู่นอกช่วงปกติกี่ราย?")</f>
        <v>ผู้ป่วยที่เข้ารับการตรวจในปี 2540 มีระดับโปรตีนอยู่นอกช่วงปกติกี่ราย?</v>
      </c>
      <c r="F1201" s="1" t="s">
        <v>4471</v>
      </c>
      <c r="G1201" s="1" t="s">
        <v>4472</v>
      </c>
      <c r="H1201" s="1" t="s">
        <v>13</v>
      </c>
    </row>
    <row r="1202">
      <c r="A1202" s="1">
        <v>1200.0</v>
      </c>
      <c r="B1202" s="1" t="s">
        <v>4270</v>
      </c>
      <c r="C1202" s="1" t="s">
        <v>4473</v>
      </c>
      <c r="D1202" s="1" t="s">
        <v>4474</v>
      </c>
      <c r="E1202" s="2" t="str">
        <f>IFERROR(__xludf.DUMMYFUNCTION("GOOGLETRANSLATE(C1202, ""en"", ""th"")"),"ผู้ป่วยที่มีสัญญาณของภาวะเกล็ดเลือดต่ำได้รับการวินิจฉัย SLE ในสัดส่วนเท่าใด")</f>
        <v>ผู้ป่วยที่มีสัญญาณของภาวะเกล็ดเลือดต่ำได้รับการวินิจฉัย SLE ในสัดส่วนเท่าใด</v>
      </c>
      <c r="F1202" s="1" t="s">
        <v>4475</v>
      </c>
      <c r="G1202" s="1" t="s">
        <v>4476</v>
      </c>
      <c r="H1202" s="1" t="s">
        <v>18</v>
      </c>
    </row>
    <row r="1203">
      <c r="A1203" s="1">
        <v>1201.0</v>
      </c>
      <c r="B1203" s="1" t="s">
        <v>4270</v>
      </c>
      <c r="C1203" s="1" t="s">
        <v>4477</v>
      </c>
      <c r="D1203" s="1" t="s">
        <v>4478</v>
      </c>
      <c r="E1203" s="2" t="str">
        <f>IFERROR(__xludf.DUMMYFUNCTION("GOOGLETRANSLATE(C1203, ""en"", ""th"")"),"ผู้ป่วยที่เกิดในปี 1980 และได้รับการวินิจฉัยว่าเป็นโรค RA เป็นผู้หญิงกี่เปอร์เซ็นต์")</f>
        <v>ผู้ป่วยที่เกิดในปี 1980 และได้รับการวินิจฉัยว่าเป็นโรค RA เป็นผู้หญิงกี่เปอร์เซ็นต์</v>
      </c>
      <c r="F1203" s="1" t="s">
        <v>4479</v>
      </c>
      <c r="G1203" s="1" t="s">
        <v>4480</v>
      </c>
      <c r="H1203" s="1" t="s">
        <v>18</v>
      </c>
    </row>
    <row r="1204">
      <c r="A1204" s="1">
        <v>1202.0</v>
      </c>
      <c r="B1204" s="1" t="s">
        <v>4270</v>
      </c>
      <c r="C1204" s="1" t="s">
        <v>4481</v>
      </c>
      <c r="D1204" s="1" t="s">
        <v>4482</v>
      </c>
      <c r="E1204" s="2" t="str">
        <f>IFERROR(__xludf.DUMMYFUNCTION("GOOGLETRANSLATE(C1204, ""en"", ""th"")"),"มีผู้ป่วยชายกี่คนที่เข้ารับการตรวจระหว่างปี พ.ศ. 2538 ถึง พ.ศ. 2540 และได้รับการวินิจฉัยว่าเป็นโรคเบห์เซ็ตในเวลาต่อมา และไม่ได้พักรักษาตัวในโรงพยาบาลเพื่อรับการรักษา")</f>
        <v>มีผู้ป่วยชายกี่คนที่เข้ารับการตรวจระหว่างปี พ.ศ. 2538 ถึง พ.ศ. 2540 และได้รับการวินิจฉัยว่าเป็นโรคเบห์เซ็ตในเวลาต่อมา และไม่ได้พักรักษาตัวในโรงพยาบาลเพื่อรับการรักษา</v>
      </c>
      <c r="F1204" s="1" t="s">
        <v>4483</v>
      </c>
      <c r="G1204" s="1" t="s">
        <v>4484</v>
      </c>
      <c r="H1204" s="1" t="s">
        <v>101</v>
      </c>
    </row>
    <row r="1205">
      <c r="A1205" s="1">
        <v>1203.0</v>
      </c>
      <c r="B1205" s="1" t="s">
        <v>4270</v>
      </c>
      <c r="C1205" s="1" t="s">
        <v>4485</v>
      </c>
      <c r="D1205" s="1" t="s">
        <v>4486</v>
      </c>
      <c r="E1205" s="2" t="str">
        <f>IFERROR(__xludf.DUMMYFUNCTION("GOOGLETRANSLATE(C1205, ""en"", ""th"")"),"ผู้ป่วยเพศหญิงมีเม็ดเลือดขาวต่ำกว่า 3.5 มีกี่ราย?")</f>
        <v>ผู้ป่วยเพศหญิงมีเม็ดเลือดขาวต่ำกว่า 3.5 มีกี่ราย?</v>
      </c>
      <c r="F1205" s="1" t="s">
        <v>4487</v>
      </c>
      <c r="G1205" s="1" t="s">
        <v>4488</v>
      </c>
      <c r="H1205" s="1" t="s">
        <v>13</v>
      </c>
    </row>
    <row r="1206">
      <c r="A1206" s="1">
        <v>1204.0</v>
      </c>
      <c r="B1206" s="1" t="s">
        <v>4270</v>
      </c>
      <c r="C1206" s="1" t="s">
        <v>4489</v>
      </c>
      <c r="D1206" s="1" t="s">
        <v>4490</v>
      </c>
      <c r="E1206" s="2" t="str">
        <f>IFERROR(__xludf.DUMMYFUNCTION("GOOGLETRANSLATE(C1206, ""en"", ""th"")"),"ใช้เวลานานเท่าใดหลังจากที่ผู้ป่วยหมายเลข 821298 มาถึงโรงพยาบาลเป็นครั้งแรกก่อนที่การประเมินของเธอจะเริ่มขึ้น?")</f>
        <v>ใช้เวลานานเท่าใดหลังจากที่ผู้ป่วยหมายเลข 821298 มาถึงโรงพยาบาลเป็นครั้งแรกก่อนที่การประเมินของเธอจะเริ่มขึ้น?</v>
      </c>
      <c r="F1206" s="1" t="s">
        <v>4491</v>
      </c>
      <c r="G1206" s="1" t="s">
        <v>4492</v>
      </c>
      <c r="H1206" s="1" t="s">
        <v>13</v>
      </c>
    </row>
    <row r="1207">
      <c r="A1207" s="1">
        <v>1205.0</v>
      </c>
      <c r="B1207" s="1" t="s">
        <v>4270</v>
      </c>
      <c r="C1207" s="1" t="s">
        <v>4493</v>
      </c>
      <c r="D1207" s="1" t="s">
        <v>4494</v>
      </c>
      <c r="E1207" s="2" t="str">
        <f>IFERROR(__xludf.DUMMYFUNCTION("GOOGLETRANSLATE(C1207, ""en"", ""th"")"),"คนไข้กรดยูริกหมายเลข 57266 อยู่ในเกณฑ์ปกติหรือไม่?")</f>
        <v>คนไข้กรดยูริกหมายเลข 57266 อยู่ในเกณฑ์ปกติหรือไม่?</v>
      </c>
      <c r="F1207" s="1" t="s">
        <v>4495</v>
      </c>
      <c r="G1207" s="1" t="s">
        <v>4496</v>
      </c>
      <c r="H1207" s="1" t="s">
        <v>18</v>
      </c>
    </row>
    <row r="1208">
      <c r="A1208" s="1">
        <v>1206.0</v>
      </c>
      <c r="B1208" s="1" t="s">
        <v>4270</v>
      </c>
      <c r="C1208" s="1" t="s">
        <v>4497</v>
      </c>
      <c r="D1208" s="1" t="s">
        <v>4498</v>
      </c>
      <c r="E1208" s="2" t="str">
        <f>IFERROR(__xludf.DUMMYFUNCTION("GOOGLETRANSLATE(C1208, ""en"", ""th"")"),"เมื่อใดจะมีการตรวจทางห้องปฏิบัติการของผู้ป่วย '48473' โดยที่ดัชนี AST glutamic oxaloacetic transaminase (GOT) ของเขา/เธอ อยู่เหนือช่วงปกติ")</f>
        <v>เมื่อใดจะมีการตรวจทางห้องปฏิบัติการของผู้ป่วย '48473' โดยที่ดัชนี AST glutamic oxaloacetic transaminase (GOT) ของเขา/เธอ อยู่เหนือช่วงปกติ</v>
      </c>
      <c r="F1208" s="1" t="s">
        <v>4499</v>
      </c>
      <c r="G1208" s="1" t="s">
        <v>4500</v>
      </c>
      <c r="H1208" s="1" t="s">
        <v>13</v>
      </c>
    </row>
    <row r="1209">
      <c r="A1209" s="1">
        <v>1207.0</v>
      </c>
      <c r="B1209" s="1" t="s">
        <v>4270</v>
      </c>
      <c r="C1209" s="1" t="s">
        <v>4501</v>
      </c>
      <c r="D1209" s="1" t="s">
        <v>4502</v>
      </c>
      <c r="E1209" s="2" t="str">
        <f>IFERROR(__xludf.DUMMYFUNCTION("GOOGLETRANSLATE(C1209, ""en"", ""th"")"),"รายชื่อผู้ป่วยทั้งหมดที่มีเพศและวันเกิดซึ่งมีดัชนี AST glutamic oxaloacetic transaminase (GOT) อยู่ในช่วงปกติสำหรับการตรวจ loboratory ในปี 1994")</f>
        <v>รายชื่อผู้ป่วยทั้งหมดที่มีเพศและวันเกิดซึ่งมีดัชนี AST glutamic oxaloacetic transaminase (GOT) อยู่ในช่วงปกติสำหรับการตรวจ loboratory ในปี 1994</v>
      </c>
      <c r="F1209" s="1" t="s">
        <v>4503</v>
      </c>
      <c r="G1209" s="1" t="s">
        <v>4504</v>
      </c>
      <c r="H1209" s="1" t="s">
        <v>18</v>
      </c>
    </row>
    <row r="1210">
      <c r="A1210" s="1">
        <v>1208.0</v>
      </c>
      <c r="B1210" s="1" t="s">
        <v>4270</v>
      </c>
      <c r="C1210" s="1" t="s">
        <v>4505</v>
      </c>
      <c r="D1210" s="1" t="s">
        <v>4506</v>
      </c>
      <c r="E1210" s="2" t="str">
        <f>IFERROR(__xludf.DUMMYFUNCTION("GOOGLETRANSLATE(C1210, ""en"", ""th"")"),"ระบุรหัสสำหรับผู้ป่วยชายที่มี ALT glutamic pylvic transaminase (GPT) ที่มีประวัติ ALT glutamic pylvic transaminase (GPT) เกินช่วงปกติ")</f>
        <v>ระบุรหัสสำหรับผู้ป่วยชายที่มี ALT glutamic pylvic transaminase (GPT) ที่มีประวัติ ALT glutamic pylvic transaminase (GPT) เกินช่วงปกติ</v>
      </c>
      <c r="F1210" s="1" t="s">
        <v>4507</v>
      </c>
      <c r="G1210" s="1" t="s">
        <v>4508</v>
      </c>
      <c r="H1210" s="1" t="s">
        <v>18</v>
      </c>
    </row>
    <row r="1211">
      <c r="A1211" s="1">
        <v>1209.0</v>
      </c>
      <c r="B1211" s="1" t="s">
        <v>4270</v>
      </c>
      <c r="C1211" s="1" t="s">
        <v>4509</v>
      </c>
      <c r="D1211" s="1" t="s">
        <v>4510</v>
      </c>
      <c r="E1211" s="2" t="str">
        <f>IFERROR(__xludf.DUMMYFUNCTION("GOOGLETRANSLATE(C1211, ""en"", ""th"")"),"โปรดจัดให้มีการวินิจฉัยผู้ป่วยที่มี ALT glutamic pylvic transaminase เกินกว่าช่วงปกติโดยเรียงลำดับวันเดือนปีเกิดจากน้อยไปมาก")</f>
        <v>โปรดจัดให้มีการวินิจฉัยผู้ป่วยที่มี ALT glutamic pylvic transaminase เกินกว่าช่วงปกติโดยเรียงลำดับวันเดือนปีเกิดจากน้อยไปมาก</v>
      </c>
      <c r="F1211" s="1" t="s">
        <v>4511</v>
      </c>
      <c r="G1211" s="1" t="s">
        <v>4512</v>
      </c>
      <c r="H1211" s="1" t="s">
        <v>18</v>
      </c>
    </row>
    <row r="1212">
      <c r="A1212" s="1">
        <v>1210.0</v>
      </c>
      <c r="B1212" s="1" t="s">
        <v>4270</v>
      </c>
      <c r="C1212" s="1" t="s">
        <v>4513</v>
      </c>
      <c r="D1212" s="1" t="s">
        <v>4514</v>
      </c>
      <c r="E1212" s="2" t="str">
        <f>IFERROR(__xludf.DUMMYFUNCTION("GOOGLETRANSLATE(C1212, ""en"", ""th"")"),"ดัชนีเฉลี่ยของแลคเตตดีไฮโดรจีเนส (LDH) สำหรับผู้ป่วยทุกรายที่มีแลคเตตดีไฮโดรจีเนส (LDH) อยู่ในช่วงปกติคือเท่าใด")</f>
        <v>ดัชนีเฉลี่ยของแลคเตตดีไฮโดรจีเนส (LDH) สำหรับผู้ป่วยทุกรายที่มีแลคเตตดีไฮโดรจีเนส (LDH) อยู่ในช่วงปกติคือเท่าใด</v>
      </c>
      <c r="F1212" s="1" t="s">
        <v>4515</v>
      </c>
      <c r="G1212" s="1" t="s">
        <v>4516</v>
      </c>
      <c r="H1212" s="1" t="s">
        <v>13</v>
      </c>
    </row>
    <row r="1213">
      <c r="A1213" s="1">
        <v>1211.0</v>
      </c>
      <c r="B1213" s="1" t="s">
        <v>4270</v>
      </c>
      <c r="C1213" s="1" t="s">
        <v>4517</v>
      </c>
      <c r="D1213" s="1" t="s">
        <v>4518</v>
      </c>
      <c r="E1213" s="2" t="str">
        <f>IFERROR(__xludf.DUMMYFUNCTION("GOOGLETRANSLATE(C1213, ""en"", ""th"")"),"ระบุ ID และอายุของผู้ป่วยที่มีแลคเตตดีไฮโดรจีเนส (LDH) ระหว่าง 100-300 ดัชนีที่สูงกว่าช่วงปกติ")</f>
        <v>ระบุ ID และอายุของผู้ป่วยที่มีแลคเตตดีไฮโดรจีเนส (LDH) ระหว่าง 100-300 ดัชนีที่สูงกว่าช่วงปกติ</v>
      </c>
      <c r="F1213" s="1" t="s">
        <v>4519</v>
      </c>
      <c r="G1213" s="1" t="s">
        <v>4520</v>
      </c>
      <c r="H1213" s="1" t="s">
        <v>18</v>
      </c>
    </row>
    <row r="1214">
      <c r="A1214" s="1">
        <v>1212.0</v>
      </c>
      <c r="B1214" s="1" t="s">
        <v>4270</v>
      </c>
      <c r="C1214" s="1" t="s">
        <v>4521</v>
      </c>
      <c r="D1214" s="1" t="s">
        <v>4522</v>
      </c>
      <c r="E1214" s="2" t="str">
        <f>IFERROR(__xludf.DUMMYFUNCTION("GOOGLETRANSLATE(C1214, ""en"", ""th"")"),"สำหรับผู้ป่วยอัลคาไลโฟฟาเตส (ALP) ที่อยู่ในช่วงปกติ จะได้รับการรักษาแบบผู้ป่วยในหรือผู้ป่วยนอก?")</f>
        <v>สำหรับผู้ป่วยอัลคาไลโฟฟาเตส (ALP) ที่อยู่ในช่วงปกติ จะได้รับการรักษาแบบผู้ป่วยในหรือผู้ป่วยนอก?</v>
      </c>
      <c r="F1214" s="1" t="s">
        <v>4523</v>
      </c>
      <c r="G1214" s="1" t="s">
        <v>4524</v>
      </c>
      <c r="H1214" s="1" t="s">
        <v>18</v>
      </c>
    </row>
    <row r="1215">
      <c r="A1215" s="1">
        <v>1213.0</v>
      </c>
      <c r="B1215" s="1" t="s">
        <v>4270</v>
      </c>
      <c r="C1215" s="1" t="s">
        <v>4525</v>
      </c>
      <c r="D1215" s="1" t="s">
        <v>4526</v>
      </c>
      <c r="E1215" s="2" t="str">
        <f>IFERROR(__xludf.DUMMYFUNCTION("GOOGLETRANSLATE(C1215, ""en"", ""th"")"),"ระบุหมายเลขประจำตัวผู้ป่วยที่เกิดวันที่ 1 เมษายน พ.ศ.2525 อัลคาไลโฟฟาเตส (ALP) ของเขา/เธอ อยู่ในเกณฑ์ปกติหรือไม่?")</f>
        <v>ระบุหมายเลขประจำตัวผู้ป่วยที่เกิดวันที่ 1 เมษายน พ.ศ.2525 อัลคาไลโฟฟาเตส (ALP) ของเขา/เธอ อยู่ในเกณฑ์ปกติหรือไม่?</v>
      </c>
      <c r="F1215" s="1" t="s">
        <v>4527</v>
      </c>
      <c r="G1215" s="1" t="s">
        <v>4528</v>
      </c>
      <c r="H1215" s="1" t="s">
        <v>18</v>
      </c>
    </row>
    <row r="1216">
      <c r="A1216" s="1">
        <v>1214.0</v>
      </c>
      <c r="B1216" s="1" t="s">
        <v>4270</v>
      </c>
      <c r="C1216" s="1" t="s">
        <v>4529</v>
      </c>
      <c r="D1216" s="1" t="s">
        <v>4530</v>
      </c>
      <c r="E1216" s="2" t="str">
        <f>IFERROR(__xludf.DUMMYFUNCTION("GOOGLETRANSLATE(C1216, ""en"", ""th"")"),"รายชื่อ ID เพศ และวันเดือนปีเกิดของผู้ป่วยที่มีโปรตีนรวม (TP) ต่ำกว่าช่วงล่างของดัชนีปกติ")</f>
        <v>รายชื่อ ID เพศ และวันเดือนปีเกิดของผู้ป่วยที่มีโปรตีนรวม (TP) ต่ำกว่าช่วงล่างของดัชนีปกติ</v>
      </c>
      <c r="F1216" s="1" t="s">
        <v>4531</v>
      </c>
      <c r="G1216" s="1" t="s">
        <v>4532</v>
      </c>
      <c r="H1216" s="1" t="s">
        <v>13</v>
      </c>
    </row>
    <row r="1217">
      <c r="A1217" s="1">
        <v>1215.0</v>
      </c>
      <c r="B1217" s="1" t="s">
        <v>4270</v>
      </c>
      <c r="C1217" s="1" t="s">
        <v>4533</v>
      </c>
      <c r="D1217" s="1" t="s">
        <v>4534</v>
      </c>
      <c r="E1217" s="2" t="str">
        <f>IFERROR(__xludf.DUMMYFUNCTION("GOOGLETRANSLATE(C1217, ""en"", ""th"")"),"สำหรับคนไข้เพศหญิงที่มี Total Protein (TP) เกินค่าดัชนีปกติ ค่า TP Idex ของคนไข้หญิงจะเบี่ยงเบนจากค่าปกติเป็นเท่าใด")</f>
        <v>สำหรับคนไข้เพศหญิงที่มี Total Protein (TP) เกินค่าดัชนีปกติ ค่า TP Idex ของคนไข้หญิงจะเบี่ยงเบนจากค่าปกติเป็นเท่าใด</v>
      </c>
      <c r="F1217" s="1" t="s">
        <v>4535</v>
      </c>
      <c r="G1217" s="1" t="s">
        <v>4536</v>
      </c>
      <c r="H1217" s="1" t="s">
        <v>18</v>
      </c>
    </row>
    <row r="1218">
      <c r="A1218" s="1">
        <v>1216.0</v>
      </c>
      <c r="B1218" s="1" t="s">
        <v>4270</v>
      </c>
      <c r="C1218" s="1" t="s">
        <v>4537</v>
      </c>
      <c r="D1218" s="1" t="s">
        <v>4538</v>
      </c>
      <c r="E1218" s="2" t="str">
        <f>IFERROR(__xludf.DUMMYFUNCTION("GOOGLETRANSLATE(C1218, ""en"", ""th"")"),"เรียงลำดับผู้ป่วยทั้งหมดตามวันเกิดสำหรับผู้ป่วยชายที่มีอัลบูมินไม่อยู่ในขอบเขตจากมากไปน้อย")</f>
        <v>เรียงลำดับผู้ป่วยทั้งหมดตามวันเกิดสำหรับผู้ป่วยชายที่มีอัลบูมินไม่อยู่ในขอบเขตจากมากไปน้อย</v>
      </c>
      <c r="F1218" s="1" t="s">
        <v>4539</v>
      </c>
      <c r="G1218" s="1" t="s">
        <v>4540</v>
      </c>
      <c r="H1218" s="1" t="s">
        <v>13</v>
      </c>
    </row>
    <row r="1219">
      <c r="A1219" s="1">
        <v>1217.0</v>
      </c>
      <c r="B1219" s="1" t="s">
        <v>4270</v>
      </c>
      <c r="C1219" s="1" t="s">
        <v>4541</v>
      </c>
      <c r="D1219" s="1" t="s">
        <v>4542</v>
      </c>
      <c r="E1219" s="2" t="str">
        <f>IFERROR(__xludf.DUMMYFUNCTION("GOOGLETRANSLATE(C1219, ""en"", ""th"")"),"สำหรับผู้ป่วยทุกคนที่เกิดในปี 1982 ให้ระบุว่าอัลบูมินอยู่ในช่วงปกติหรือไม่")</f>
        <v>สำหรับผู้ป่วยทุกคนที่เกิดในปี 1982 ให้ระบุว่าอัลบูมินอยู่ในช่วงปกติหรือไม่</v>
      </c>
      <c r="F1219" s="1" t="s">
        <v>4543</v>
      </c>
      <c r="G1219" s="1" t="s">
        <v>4544</v>
      </c>
      <c r="H1219" s="1" t="s">
        <v>18</v>
      </c>
    </row>
    <row r="1220">
      <c r="A1220" s="1">
        <v>1218.0</v>
      </c>
      <c r="B1220" s="1" t="s">
        <v>4270</v>
      </c>
      <c r="C1220" s="1" t="s">
        <v>4545</v>
      </c>
      <c r="D1220" s="1" t="s">
        <v>4546</v>
      </c>
      <c r="E1220" s="2" t="str">
        <f>IFERROR(__xludf.DUMMYFUNCTION("GOOGLETRANSLATE(C1220, ""en"", ""th"")"),"คนไข้หญิงที่มีกรดยูริก (UA) เกินค่าปกติมีกี่เปอร์เซ็นต์?")</f>
        <v>คนไข้หญิงที่มีกรดยูริก (UA) เกินค่าปกติมีกี่เปอร์เซ็นต์?</v>
      </c>
      <c r="F1220" s="1" t="s">
        <v>4547</v>
      </c>
      <c r="G1220" s="1" t="s">
        <v>4548</v>
      </c>
      <c r="H1220" s="1" t="s">
        <v>18</v>
      </c>
    </row>
    <row r="1221">
      <c r="A1221" s="1">
        <v>1219.0</v>
      </c>
      <c r="B1221" s="1" t="s">
        <v>4270</v>
      </c>
      <c r="C1221" s="1" t="s">
        <v>4549</v>
      </c>
      <c r="D1221" s="1" t="s">
        <v>4550</v>
      </c>
      <c r="E1221" s="2" t="str">
        <f>IFERROR(__xludf.DUMMYFUNCTION("GOOGLETRANSLATE(C1221, ""en"", ""th"")"),"สำหรับคนไข้ที่มีกรดยูริกปกติ (UA) ทุกราย ค่าดัชนี UA เฉลี่ยจากผลการตรวจทางห้องปฏิบัติการล่าสุดคือเท่าใด")</f>
        <v>สำหรับคนไข้ที่มีกรดยูริกปกติ (UA) ทุกราย ค่าดัชนี UA เฉลี่ยจากผลการตรวจทางห้องปฏิบัติการล่าสุดคือเท่าใด</v>
      </c>
      <c r="F1221" s="1" t="s">
        <v>4551</v>
      </c>
      <c r="G1221" s="1" t="s">
        <v>4552</v>
      </c>
      <c r="H1221" s="1" t="s">
        <v>18</v>
      </c>
    </row>
    <row r="1222">
      <c r="A1222" s="1">
        <v>1220.0</v>
      </c>
      <c r="B1222" s="1" t="s">
        <v>4270</v>
      </c>
      <c r="C1222" s="1" t="s">
        <v>4553</v>
      </c>
      <c r="D1222" s="1" t="s">
        <v>4554</v>
      </c>
      <c r="E1222" s="2" t="str">
        <f>IFERROR(__xludf.DUMMYFUNCTION("GOOGLETRANSLATE(C1222, ""en"", ""th"")"),"ระบุ ID เพศ และวันเกิดของผู้ป่วยที่มียูเรียไนโตรเจน (UN) อยู่ในขอบเขตของการผ่านหรือไม่")</f>
        <v>ระบุ ID เพศ และวันเกิดของผู้ป่วยที่มียูเรียไนโตรเจน (UN) อยู่ในขอบเขตของการผ่านหรือไม่</v>
      </c>
      <c r="F1222" s="1" t="s">
        <v>4555</v>
      </c>
      <c r="G1222" s="1" t="s">
        <v>4556</v>
      </c>
      <c r="H1222" s="1" t="s">
        <v>13</v>
      </c>
    </row>
    <row r="1223">
      <c r="A1223" s="1">
        <v>1221.0</v>
      </c>
      <c r="B1223" s="1" t="s">
        <v>4270</v>
      </c>
      <c r="C1223" s="1" t="s">
        <v>4557</v>
      </c>
      <c r="D1223" s="1" t="s">
        <v>4558</v>
      </c>
      <c r="E1223" s="2" t="str">
        <f>IFERROR(__xludf.DUMMYFUNCTION("GOOGLETRANSLATE(C1223, ""en"", ""th"")"),"ระบุ ID เพศ วันเกิดของผู้ป่วยทั้งหมดที่ได้รับการวินิจฉัยว่าเป็นโรค 'RA' ซึ่งอยู่ในดัชนีปกติของ UN")</f>
        <v>ระบุ ID เพศ วันเกิดของผู้ป่วยทั้งหมดที่ได้รับการวินิจฉัยว่าเป็นโรค 'RA' ซึ่งอยู่ในดัชนีปกติของ UN</v>
      </c>
      <c r="F1223" s="1" t="s">
        <v>4559</v>
      </c>
      <c r="G1223" s="1" t="s">
        <v>4560</v>
      </c>
      <c r="H1223" s="1" t="s">
        <v>13</v>
      </c>
    </row>
    <row r="1224">
      <c r="A1224" s="1">
        <v>1222.0</v>
      </c>
      <c r="B1224" s="1" t="s">
        <v>4270</v>
      </c>
      <c r="C1224" s="1" t="s">
        <v>4561</v>
      </c>
      <c r="D1224" s="1" t="s">
        <v>4562</v>
      </c>
      <c r="E1224" s="2" t="str">
        <f>IFERROR(__xludf.DUMMYFUNCTION("GOOGLETRANSLATE(C1224, ""en"", ""th"")"),"ผู้ป่วยชายที่มีดัชนีครีเอตินีนอยู่นอกช่วงปกติมีกี่ราย?")</f>
        <v>ผู้ป่วยชายที่มีดัชนีครีเอตินีนอยู่นอกช่วงปกติมีกี่ราย?</v>
      </c>
      <c r="F1224" s="1" t="s">
        <v>4563</v>
      </c>
      <c r="G1224" s="1" t="s">
        <v>4564</v>
      </c>
      <c r="H1224" s="1" t="s">
        <v>13</v>
      </c>
    </row>
    <row r="1225">
      <c r="A1225" s="1">
        <v>1223.0</v>
      </c>
      <c r="B1225" s="1" t="s">
        <v>4270</v>
      </c>
      <c r="C1225" s="1" t="s">
        <v>4565</v>
      </c>
      <c r="D1225" s="1" t="s">
        <v>4566</v>
      </c>
      <c r="E1225" s="2" t="str">
        <f>IFERROR(__xludf.DUMMYFUNCTION("GOOGLETRANSLATE(C1225, ""en"", ""th"")"),"มีผู้ป่วยชายที่มีครีเอตินีนไม่อยู่ในช่วงปกติมากกว่าผู้หญิงหรือไม่? จริงหรือเท็จ?")</f>
        <v>มีผู้ป่วยชายที่มีครีเอตินีนไม่อยู่ในช่วงปกติมากกว่าผู้หญิงหรือไม่? จริงหรือเท็จ?</v>
      </c>
      <c r="F1225" s="1" t="s">
        <v>4567</v>
      </c>
      <c r="G1225" s="1" t="s">
        <v>4568</v>
      </c>
      <c r="H1225" s="1" t="s">
        <v>101</v>
      </c>
    </row>
    <row r="1226">
      <c r="A1226" s="1">
        <v>1224.0</v>
      </c>
      <c r="B1226" s="1" t="s">
        <v>4270</v>
      </c>
      <c r="C1226" s="1" t="s">
        <v>4569</v>
      </c>
      <c r="D1226" s="1" t="s">
        <v>4570</v>
      </c>
      <c r="E1226" s="2" t="str">
        <f>IFERROR(__xludf.DUMMYFUNCTION("GOOGLETRANSLATE(C1226, ""en"", ""th"")"),"ระดับบิลิรูบินรวมสูงสุดที่บันทึกไว้คือเท่าใด? ระบุรายละเอียดผู้ป่วยด้วย ID เพศ และวันเกิดด้วยดัชนีนั้น")</f>
        <v>ระดับบิลิรูบินรวมสูงสุดที่บันทึกไว้คือเท่าใด? ระบุรายละเอียดผู้ป่วยด้วย ID เพศ และวันเกิดด้วยดัชนีนั้น</v>
      </c>
      <c r="F1226" s="1" t="s">
        <v>4571</v>
      </c>
      <c r="G1226" s="1" t="s">
        <v>4572</v>
      </c>
      <c r="H1226" s="1" t="s">
        <v>13</v>
      </c>
    </row>
    <row r="1227">
      <c r="A1227" s="1">
        <v>1225.0</v>
      </c>
      <c r="B1227" s="1" t="s">
        <v>4270</v>
      </c>
      <c r="C1227" s="1" t="s">
        <v>4573</v>
      </c>
      <c r="D1227" s="1" t="s">
        <v>4574</v>
      </c>
      <c r="E1227" s="2" t="str">
        <f>IFERROR(__xludf.DUMMYFUNCTION("GOOGLETRANSLATE(C1227, ""en"", ""th"")"),"รายชื่อและจัดกลุ่มผู้ป่วยทั้งหมดตามเพศสำหรับระดับบิลิรูบินรวม (T-BIL) ที่ไม่อยู่ในช่วงปกติ")</f>
        <v>รายชื่อและจัดกลุ่มผู้ป่วยทั้งหมดตามเพศสำหรับระดับบิลิรูบินรวม (T-BIL) ที่ไม่อยู่ในช่วงปกติ</v>
      </c>
      <c r="F1227" s="1" t="s">
        <v>4575</v>
      </c>
      <c r="G1227" s="1" t="s">
        <v>4576</v>
      </c>
      <c r="H1227" s="1" t="s">
        <v>18</v>
      </c>
    </row>
    <row r="1228">
      <c r="A1228" s="1">
        <v>1226.0</v>
      </c>
      <c r="B1228" s="1" t="s">
        <v>4270</v>
      </c>
      <c r="C1228" s="1" t="s">
        <v>4577</v>
      </c>
      <c r="D1228" s="1" t="s">
        <v>4578</v>
      </c>
      <c r="E1228" s="2" t="str">
        <f>IFERROR(__xludf.DUMMYFUNCTION("GOOGLETRANSLATE(C1228, ""en"", ""th"")"),"ใครคือผู้ป่วยที่มีอายุมากที่สุดที่มีปริมาณคอเลสเตอรอลรวมสูงสุด (T-CHO) ระบุรหัสผู้ป่วยและดัชนี T-CHO")</f>
        <v>ใครคือผู้ป่วยที่มีอายุมากที่สุดที่มีปริมาณคอเลสเตอรอลรวมสูงสุด (T-CHO) ระบุรหัสผู้ป่วยและดัชนี T-CHO</v>
      </c>
      <c r="F1228" s="1" t="s">
        <v>4579</v>
      </c>
      <c r="G1228" s="1" t="s">
        <v>4580</v>
      </c>
      <c r="H1228" s="1" t="s">
        <v>13</v>
      </c>
    </row>
    <row r="1229">
      <c r="A1229" s="1">
        <v>1227.0</v>
      </c>
      <c r="B1229" s="1" t="s">
        <v>4270</v>
      </c>
      <c r="C1229" s="1" t="s">
        <v>4581</v>
      </c>
      <c r="D1229" s="1" t="s">
        <v>4582</v>
      </c>
      <c r="E1229" s="2" t="str">
        <f>IFERROR(__xludf.DUMMYFUNCTION("GOOGLETRANSLATE(C1229, ""en"", ""th"")"),"ผู้ป่วยชายที่มีคอเลสเตอรอลสูงอายุเฉลี่ยคือเท่าไร?")</f>
        <v>ผู้ป่วยชายที่มีคอเลสเตอรอลสูงอายุเฉลี่ยคือเท่าไร?</v>
      </c>
      <c r="F1229" s="1" t="s">
        <v>4583</v>
      </c>
      <c r="G1229" s="1" t="s">
        <v>4584</v>
      </c>
      <c r="H1229" s="1" t="s">
        <v>18</v>
      </c>
    </row>
    <row r="1230">
      <c r="A1230" s="1">
        <v>1228.0</v>
      </c>
      <c r="B1230" s="1" t="s">
        <v>4270</v>
      </c>
      <c r="C1230" s="1" t="s">
        <v>4585</v>
      </c>
      <c r="D1230" s="1" t="s">
        <v>4586</v>
      </c>
      <c r="E1230" s="2" t="str">
        <f>IFERROR(__xludf.DUMMYFUNCTION("GOOGLETRANSLATE(C1230, ""en"", ""th"")"),"ระบุรายชื่อผู้ป่วยและการวินิจฉัยว่ามีดัชนีไตรกลีเซอไรด์ (TG) มากกว่า 100 ของค่าปกติ?")</f>
        <v>ระบุรายชื่อผู้ป่วยและการวินิจฉัยว่ามีดัชนีไตรกลีเซอไรด์ (TG) มากกว่า 100 ของค่าปกติ?</v>
      </c>
      <c r="F1230" s="1" t="s">
        <v>4587</v>
      </c>
      <c r="G1230" s="1" t="s">
        <v>4588</v>
      </c>
      <c r="H1230" s="1" t="s">
        <v>13</v>
      </c>
    </row>
    <row r="1231">
      <c r="A1231" s="1">
        <v>1229.0</v>
      </c>
      <c r="B1231" s="1" t="s">
        <v>4270</v>
      </c>
      <c r="C1231" s="1" t="s">
        <v>4589</v>
      </c>
      <c r="D1231" s="1" t="s">
        <v>4590</v>
      </c>
      <c r="E1231" s="2" t="str">
        <f>IFERROR(__xludf.DUMMYFUNCTION("GOOGLETRANSLATE(C1231, ""en"", ""th"")"),"สำหรับคนไข้ที่มีระดับไตรกลีเซอไรด์ (TG) เกินค่าปกติทุกราย อายุมากกว่า 50 ปี จะมีกี่คน?")</f>
        <v>สำหรับคนไข้ที่มีระดับไตรกลีเซอไรด์ (TG) เกินค่าปกติทุกราย อายุมากกว่า 50 ปี จะมีกี่คน?</v>
      </c>
      <c r="F1231" s="1" t="s">
        <v>4591</v>
      </c>
      <c r="G1231" s="1" t="s">
        <v>4592</v>
      </c>
      <c r="H1231" s="1" t="s">
        <v>18</v>
      </c>
    </row>
    <row r="1232">
      <c r="A1232" s="1">
        <v>1230.0</v>
      </c>
      <c r="B1232" s="1" t="s">
        <v>4270</v>
      </c>
      <c r="C1232" s="1" t="s">
        <v>4593</v>
      </c>
      <c r="D1232" s="1" t="s">
        <v>4594</v>
      </c>
      <c r="E1232" s="2" t="str">
        <f>IFERROR(__xludf.DUMMYFUNCTION("GOOGLETRANSLATE(C1232, ""en"", ""th"")"),"รายชื่อผู้ป่วยนอกทั้งหมดที่อยู่ในช่วงปกติของ creatinine phosphokinase ให้ฉันระบุรหัสที่ชัดเจน")</f>
        <v>รายชื่อผู้ป่วยนอกทั้งหมดที่อยู่ในช่วงปกติของ creatinine phosphokinase ให้ฉันระบุรหัสที่ชัดเจน</v>
      </c>
      <c r="F1232" s="1" t="s">
        <v>4595</v>
      </c>
      <c r="G1232" s="1" t="s">
        <v>4596</v>
      </c>
      <c r="H1232" s="1" t="s">
        <v>13</v>
      </c>
    </row>
    <row r="1233">
      <c r="A1233" s="1">
        <v>1231.0</v>
      </c>
      <c r="B1233" s="1" t="s">
        <v>4270</v>
      </c>
      <c r="C1233" s="1" t="s">
        <v>4597</v>
      </c>
      <c r="D1233" s="1" t="s">
        <v>4598</v>
      </c>
      <c r="E1233" s="2" t="str">
        <f>IFERROR(__xludf.DUMMYFUNCTION("GOOGLETRANSLATE(C1233, ""en"", ""th"")"),"ผู้ป่วยที่เกิดระหว่างปี พ.ศ. 2479-2499 มีผู้ป่วยชายที่มีครีเอตินีน ฟอสโฟไคเนส เกินค่าปกติกี่คน?")</f>
        <v>ผู้ป่วยที่เกิดระหว่างปี พ.ศ. 2479-2499 มีผู้ป่วยชายที่มีครีเอตินีน ฟอสโฟไคเนส เกินค่าปกติกี่คน?</v>
      </c>
      <c r="F1233" s="1" t="s">
        <v>4599</v>
      </c>
      <c r="G1233" s="1" t="s">
        <v>4600</v>
      </c>
      <c r="H1233" s="1" t="s">
        <v>101</v>
      </c>
    </row>
    <row r="1234">
      <c r="A1234" s="1">
        <v>1232.0</v>
      </c>
      <c r="B1234" s="1" t="s">
        <v>4270</v>
      </c>
      <c r="C1234" s="1" t="s">
        <v>4601</v>
      </c>
      <c r="D1234" s="1" t="s">
        <v>4602</v>
      </c>
      <c r="E1234" s="2" t="str">
        <f>IFERROR(__xludf.DUMMYFUNCTION("GOOGLETRANSLATE(C1234, ""en"", ""th"")"),"ระบุข้อมูลประจำตัว เพศ และอายุของผู้ป่วยที่มีระดับน้ำตาลในเลือด (GLU) ไม่อยู่ในช่วงปกติ แต่มีระดับคอเลสเตอรอลรวม (T-CHO) อยู่ในช่วงปกติ")</f>
        <v>ระบุข้อมูลประจำตัว เพศ และอายุของผู้ป่วยที่มีระดับน้ำตาลในเลือด (GLU) ไม่อยู่ในช่วงปกติ แต่มีระดับคอเลสเตอรอลรวม (T-CHO) อยู่ในช่วงปกติ</v>
      </c>
      <c r="F1234" s="1" t="s">
        <v>4603</v>
      </c>
      <c r="G1234" s="1" t="s">
        <v>4604</v>
      </c>
      <c r="H1234" s="1" t="s">
        <v>101</v>
      </c>
    </row>
    <row r="1235">
      <c r="A1235" s="1">
        <v>1233.0</v>
      </c>
      <c r="B1235" s="1" t="s">
        <v>4270</v>
      </c>
      <c r="C1235" s="1" t="s">
        <v>4605</v>
      </c>
      <c r="D1235" s="1" t="s">
        <v>4606</v>
      </c>
      <c r="E1235" s="2" t="str">
        <f>IFERROR(__xludf.DUMMYFUNCTION("GOOGLETRANSLATE(C1235, ""en"", ""th"")"),"ระบุ ID ของผู้ป่วยแต่ละรายและดัชนีระดับน้ำตาลในเลือด (GLU) ที่อยู่ในช่วงปกติสำหรับผู้ป่วยที่มีการบันทึกข้อมูลครั้งแรกในปี 1991")</f>
        <v>ระบุ ID ของผู้ป่วยแต่ละรายและดัชนีระดับน้ำตาลในเลือด (GLU) ที่อยู่ในช่วงปกติสำหรับผู้ป่วยที่มีการบันทึกข้อมูลครั้งแรกในปี 1991</v>
      </c>
      <c r="F1235" s="1" t="s">
        <v>4607</v>
      </c>
      <c r="G1235" s="1" t="s">
        <v>4608</v>
      </c>
      <c r="H1235" s="1" t="s">
        <v>18</v>
      </c>
    </row>
    <row r="1236">
      <c r="A1236" s="1">
        <v>1234.0</v>
      </c>
      <c r="B1236" s="1" t="s">
        <v>4270</v>
      </c>
      <c r="C1236" s="1" t="s">
        <v>4609</v>
      </c>
      <c r="D1236" s="1" t="s">
        <v>4610</v>
      </c>
      <c r="E1236" s="2" t="str">
        <f>IFERROR(__xludf.DUMMYFUNCTION("GOOGLETRANSLATE(C1236, ""en"", ""th"")"),"ระบุรหัสผู้ป่วย เพศ และวันเกิดที่มีจำนวนเม็ดเลือดขาวผิดปกติ จัดกลุ่มตามเพศและรายชื่อผู้ป่วยตามอายุตามลำดับจากน้อยไปมาก")</f>
        <v>ระบุรหัสผู้ป่วย เพศ และวันเกิดที่มีจำนวนเม็ดเลือดขาวผิดปกติ จัดกลุ่มตามเพศและรายชื่อผู้ป่วยตามอายุตามลำดับจากน้อยไปมาก</v>
      </c>
      <c r="F1236" s="1" t="s">
        <v>4611</v>
      </c>
      <c r="G1236" s="1" t="s">
        <v>4612</v>
      </c>
      <c r="H1236" s="1" t="s">
        <v>18</v>
      </c>
    </row>
    <row r="1237">
      <c r="A1237" s="1">
        <v>1235.0</v>
      </c>
      <c r="B1237" s="1" t="s">
        <v>4270</v>
      </c>
      <c r="C1237" s="1" t="s">
        <v>4613</v>
      </c>
      <c r="D1237" s="1" t="s">
        <v>4614</v>
      </c>
      <c r="E1237" s="2" t="str">
        <f>IFERROR(__xludf.DUMMYFUNCTION("GOOGLETRANSLATE(C1237, ""en"", ""th"")"),"ผู้ป่วยโรคเม็ดเลือดแดงล่างมีการวินิจฉัยอย่างไร? ระบุบัตรประจำตัวและอายุของพวกเขา")</f>
        <v>ผู้ป่วยโรคเม็ดเลือดแดงล่างมีการวินิจฉัยอย่างไร? ระบุบัตรประจำตัวและอายุของพวกเขา</v>
      </c>
      <c r="F1237" s="1" t="s">
        <v>4615</v>
      </c>
      <c r="G1237" s="1" t="s">
        <v>4616</v>
      </c>
      <c r="H1237" s="1" t="s">
        <v>18</v>
      </c>
    </row>
    <row r="1238">
      <c r="A1238" s="1">
        <v>1236.0</v>
      </c>
      <c r="B1238" s="1" t="s">
        <v>4270</v>
      </c>
      <c r="C1238" s="1" t="s">
        <v>4617</v>
      </c>
      <c r="D1238" s="1" t="s">
        <v>4618</v>
      </c>
      <c r="E1238" s="2" t="str">
        <f>IFERROR(__xludf.DUMMYFUNCTION("GOOGLETRANSLATE(C1238, ""en"", ""th"")"),"สำหรับคนไข้หญิงอายุ 50 ปีขึ้นไป ที่มีเม็ดเลือดแดงผิดปกติ ระบุว่าพวกเขาเข้ารับการรักษาในโรงพยาบาลหรือไม่")</f>
        <v>สำหรับคนไข้หญิงอายุ 50 ปีขึ้นไป ที่มีเม็ดเลือดแดงผิดปกติ ระบุว่าพวกเขาเข้ารับการรักษาในโรงพยาบาลหรือไม่</v>
      </c>
      <c r="F1238" s="1" t="s">
        <v>4619</v>
      </c>
      <c r="G1238" s="1" t="s">
        <v>4620</v>
      </c>
      <c r="H1238" s="1" t="s">
        <v>101</v>
      </c>
    </row>
    <row r="1239">
      <c r="A1239" s="1">
        <v>1237.0</v>
      </c>
      <c r="B1239" s="1" t="s">
        <v>4270</v>
      </c>
      <c r="C1239" s="1" t="s">
        <v>4621</v>
      </c>
      <c r="D1239" s="1" t="s">
        <v>4622</v>
      </c>
      <c r="E1239" s="2" t="str">
        <f>IFERROR(__xludf.DUMMYFUNCTION("GOOGLETRANSLATE(C1239, ""en"", ""th"")"),"ในบรรดาผู้ป่วยนอกทั้งหมด ให้ระบุผู้ที่มีระดับฮีโมโกลบินต่ำ ระบุ ID ที่แตกต่างกันและเพศของพวกเขา")</f>
        <v>ในบรรดาผู้ป่วยนอกทั้งหมด ให้ระบุผู้ที่มีระดับฮีโมโกลบินต่ำ ระบุ ID ที่แตกต่างกันและเพศของพวกเขา</v>
      </c>
      <c r="F1239" s="1" t="s">
        <v>4623</v>
      </c>
      <c r="G1239" s="1" t="s">
        <v>4624</v>
      </c>
      <c r="H1239" s="1" t="s">
        <v>13</v>
      </c>
    </row>
    <row r="1240">
      <c r="A1240" s="1">
        <v>1238.0</v>
      </c>
      <c r="B1240" s="1" t="s">
        <v>4270</v>
      </c>
      <c r="C1240" s="1" t="s">
        <v>4625</v>
      </c>
      <c r="D1240" s="1" t="s">
        <v>4626</v>
      </c>
      <c r="E1240" s="2" t="str">
        <f>IFERROR(__xludf.DUMMYFUNCTION("GOOGLETRANSLATE(C1240, ""en"", ""th"")"),"ในบรรดาผู้ป่วยที่ได้รับการวินิจฉัยว่าเป็นโรค SLE ซึ่งเป็นอายุมากที่สุดที่มีระดับฮีโมโกลบินปกติ ระบุบัตรประจำตัวและเพศ")</f>
        <v>ในบรรดาผู้ป่วยที่ได้รับการวินิจฉัยว่าเป็นโรค SLE ซึ่งเป็นอายุมากที่สุดที่มีระดับฮีโมโกลบินปกติ ระบุบัตรประจำตัวและเพศ</v>
      </c>
      <c r="F1240" s="1" t="s">
        <v>4627</v>
      </c>
      <c r="G1240" s="1" t="s">
        <v>4628</v>
      </c>
      <c r="H1240" s="1" t="s">
        <v>18</v>
      </c>
    </row>
    <row r="1241">
      <c r="A1241" s="1">
        <v>1239.0</v>
      </c>
      <c r="B1241" s="1" t="s">
        <v>4270</v>
      </c>
      <c r="C1241" s="1" t="s">
        <v>4629</v>
      </c>
      <c r="D1241" s="1" t="s">
        <v>4630</v>
      </c>
      <c r="E1241" s="2" t="str">
        <f>IFERROR(__xludf.DUMMYFUNCTION("GOOGLETRANSLATE(C1241, ""en"", ""th"")"),"ตั้งชื่อ ID และอายุของผู้ป่วยที่มีการตรวจทางห้องปฏิบัติการตั้งแต่ 2 ครั้งขึ้นไปซึ่งแสดงว่าระดับฮีมาโตคลิตเกินช่วงปกติ")</f>
        <v>ตั้งชื่อ ID และอายุของผู้ป่วยที่มีการตรวจทางห้องปฏิบัติการตั้งแต่ 2 ครั้งขึ้นไปซึ่งแสดงว่าระดับฮีมาโตคลิตเกินช่วงปกติ</v>
      </c>
      <c r="F1241" s="1" t="s">
        <v>4631</v>
      </c>
      <c r="G1241" s="1" t="s">
        <v>4632</v>
      </c>
      <c r="H1241" s="1" t="s">
        <v>101</v>
      </c>
    </row>
    <row r="1242">
      <c r="A1242" s="1">
        <v>1240.0</v>
      </c>
      <c r="B1242" s="1" t="s">
        <v>4270</v>
      </c>
      <c r="C1242" s="1" t="s">
        <v>4633</v>
      </c>
      <c r="D1242" s="1" t="s">
        <v>4634</v>
      </c>
      <c r="E1242" s="2" t="str">
        <f>IFERROR(__xludf.DUMMYFUNCTION("GOOGLETRANSLATE(C1242, ""en"", ""th"")"),"จากการตรวจในห้องปฏิบัติการเมื่อปี พ.ศ. 2534 ระดับฮีมาโตคลิตเฉลี่ยที่ต่ำกว่าช่วงปกติคือเท่าใด")</f>
        <v>จากการตรวจในห้องปฏิบัติการเมื่อปี พ.ศ. 2534 ระดับฮีมาโตคลิตเฉลี่ยที่ต่ำกว่าช่วงปกติคือเท่าใด</v>
      </c>
      <c r="F1242" s="1" t="s">
        <v>4635</v>
      </c>
      <c r="G1242" s="1" t="s">
        <v>4636</v>
      </c>
      <c r="H1242" s="1" t="s">
        <v>18</v>
      </c>
    </row>
    <row r="1243">
      <c r="A1243" s="1">
        <v>1241.0</v>
      </c>
      <c r="B1243" s="1" t="s">
        <v>4270</v>
      </c>
      <c r="C1243" s="1" t="s">
        <v>4637</v>
      </c>
      <c r="D1243" s="1" t="s">
        <v>4638</v>
      </c>
      <c r="E1243" s="2" t="str">
        <f>IFERROR(__xludf.DUMMYFUNCTION("GOOGLETRANSLATE(C1243, ""en"", ""th"")"),"สำหรับผู้ป่วยที่มีระดับเกล็ดเลือดผิดปกติ ให้ระบุจำนวนผู้ป่วยที่มีระดับเกล็ดเลือดต่ำกว่าปกติ เทียบกับจำนวนคนไข้ที่เกินเกณฑ์ปกติเป็นอย่างไรบ้าง?")</f>
        <v>สำหรับผู้ป่วยที่มีระดับเกล็ดเลือดผิดปกติ ให้ระบุจำนวนผู้ป่วยที่มีระดับเกล็ดเลือดต่ำกว่าปกติ เทียบกับจำนวนคนไข้ที่เกินเกณฑ์ปกติเป็นอย่างไรบ้าง?</v>
      </c>
      <c r="F1243" s="1" t="s">
        <v>4639</v>
      </c>
      <c r="G1243" s="1" t="s">
        <v>4640</v>
      </c>
      <c r="H1243" s="1" t="s">
        <v>101</v>
      </c>
    </row>
    <row r="1244">
      <c r="A1244" s="1">
        <v>1242.0</v>
      </c>
      <c r="B1244" s="1" t="s">
        <v>4270</v>
      </c>
      <c r="C1244" s="1" t="s">
        <v>4641</v>
      </c>
      <c r="D1244" s="1" t="s">
        <v>4642</v>
      </c>
      <c r="E1244" s="2" t="str">
        <f>IFERROR(__xludf.DUMMYFUNCTION("GOOGLETRANSLATE(C1244, ""en"", ""th"")"),"สำหรับการตรวจทางห้องปฏิบัติการในปี พ.ศ. 2527 ให้ระบุผู้ป่วยทุกรายที่อายุต่ำกว่า 50 ปี และมีระดับเกล็ดเลือดปกติ")</f>
        <v>สำหรับการตรวจทางห้องปฏิบัติการในปี พ.ศ. 2527 ให้ระบุผู้ป่วยทุกรายที่อายุต่ำกว่า 50 ปี และมีระดับเกล็ดเลือดปกติ</v>
      </c>
      <c r="F1244" s="1" t="s">
        <v>4643</v>
      </c>
      <c r="G1244" s="1" t="s">
        <v>4644</v>
      </c>
      <c r="H1244" s="1" t="s">
        <v>101</v>
      </c>
    </row>
    <row r="1245">
      <c r="A1245" s="1">
        <v>1243.0</v>
      </c>
      <c r="B1245" s="1" t="s">
        <v>4270</v>
      </c>
      <c r="C1245" s="1" t="s">
        <v>4645</v>
      </c>
      <c r="D1245" s="1" t="s">
        <v>4646</v>
      </c>
      <c r="E1245" s="2" t="str">
        <f>IFERROR(__xludf.DUMMYFUNCTION("GOOGLETRANSLATE(C1245, ""en"", ""th"")"),"คนไข้ทุกรายที่อายุมากกว่า 55 ปี ผู้หญิงที่มี prothrombin time (PT) ผิดปกติมีกี่เปอร์เซ็นต์?")</f>
        <v>คนไข้ทุกรายที่อายุมากกว่า 55 ปี ผู้หญิงที่มี prothrombin time (PT) ผิดปกติมีกี่เปอร์เซ็นต์?</v>
      </c>
      <c r="F1245" s="1" t="s">
        <v>4647</v>
      </c>
      <c r="G1245" s="1" t="s">
        <v>4648</v>
      </c>
      <c r="H1245" s="1" t="s">
        <v>101</v>
      </c>
    </row>
    <row r="1246">
      <c r="A1246" s="1">
        <v>1244.0</v>
      </c>
      <c r="B1246" s="1" t="s">
        <v>4270</v>
      </c>
      <c r="C1246" s="1" t="s">
        <v>4649</v>
      </c>
      <c r="D1246" s="1" t="s">
        <v>4650</v>
      </c>
      <c r="E1246" s="2" t="str">
        <f>IFERROR(__xludf.DUMMYFUNCTION("GOOGLETRANSLATE(C1246, ""en"", ""th"")"),"รายชื่อผู้ป่วยทั้งหมดที่มาโรงพยาบาลครั้งแรกหลังปี 2535 โดยมีระดับ prothrombin time (PT) ที่เป็นปกติ")</f>
        <v>รายชื่อผู้ป่วยทั้งหมดที่มาโรงพยาบาลครั้งแรกหลังปี 2535 โดยมีระดับ prothrombin time (PT) ที่เป็นปกติ</v>
      </c>
      <c r="F1246" s="1" t="s">
        <v>4651</v>
      </c>
      <c r="G1246" s="1" t="s">
        <v>4652</v>
      </c>
      <c r="H1246" s="1" t="s">
        <v>18</v>
      </c>
    </row>
    <row r="1247">
      <c r="A1247" s="1">
        <v>1245.0</v>
      </c>
      <c r="B1247" s="1" t="s">
        <v>4270</v>
      </c>
      <c r="C1247" s="1" t="s">
        <v>4653</v>
      </c>
      <c r="D1247" s="1" t="s">
        <v>4654</v>
      </c>
      <c r="E1247" s="2" t="str">
        <f>IFERROR(__xludf.DUMMYFUNCTION("GOOGLETRANSLATE(C1247, ""en"", ""th"")"),"สำหรับการทดสอบที่ทำหลังวันที่ 1/1/1997 มีกี่การทดสอบที่เป็นผลมาจากระยะเวลาของ prothrom bin ที่ถูกปิดใช้งานบางส่วน")</f>
        <v>สำหรับการทดสอบที่ทำหลังวันที่ 1/1/1997 มีกี่การทดสอบที่เป็นผลมาจากระยะเวลาของ prothrom bin ที่ถูกปิดใช้งานบางส่วน</v>
      </c>
      <c r="F1247" s="1" t="s">
        <v>4655</v>
      </c>
      <c r="G1247" s="1" t="s">
        <v>4656</v>
      </c>
      <c r="H1247" s="1" t="s">
        <v>18</v>
      </c>
    </row>
    <row r="1248">
      <c r="A1248" s="1">
        <v>1246.0</v>
      </c>
      <c r="B1248" s="1" t="s">
        <v>4270</v>
      </c>
      <c r="C1248" s="1" t="s">
        <v>4657</v>
      </c>
      <c r="D1248" s="1" t="s">
        <v>4658</v>
      </c>
      <c r="E1248" s="2" t="str">
        <f>IFERROR(__xludf.DUMMYFUNCTION("GOOGLETRANSLATE(C1248, ""en"", ""th"")"),"สำหรับคนไข้ที่เอนไซม์ prothrom bin time ทำงานผิดปกติ มีกี่รายที่ไม่มีภาวะลิ่มเลือดอุดตัน?")</f>
        <v>สำหรับคนไข้ที่เอนไซม์ prothrom bin time ทำงานผิดปกติ มีกี่รายที่ไม่มีภาวะลิ่มเลือดอุดตัน?</v>
      </c>
      <c r="F1248" s="1" t="s">
        <v>4659</v>
      </c>
      <c r="G1248" s="1" t="s">
        <v>4660</v>
      </c>
      <c r="H1248" s="1" t="s">
        <v>18</v>
      </c>
    </row>
    <row r="1249">
      <c r="A1249" s="1">
        <v>1247.0</v>
      </c>
      <c r="B1249" s="1" t="s">
        <v>4270</v>
      </c>
      <c r="C1249" s="1" t="s">
        <v>4661</v>
      </c>
      <c r="D1249" s="1" t="s">
        <v>4662</v>
      </c>
      <c r="E1249" s="2" t="str">
        <f>IFERROR(__xludf.DUMMYFUNCTION("GOOGLETRANSLATE(C1249, ""en"", ""th"")"),"ในบรรดาคนไข้ชายที่มีระดับเม็ดเลือดขาวปกติ มีกี่รายที่มีระดับไฟบริโนเจนผิดปกติ?")</f>
        <v>ในบรรดาคนไข้ชายที่มีระดับเม็ดเลือดขาวปกติ มีกี่รายที่มีระดับไฟบริโนเจนผิดปกติ?</v>
      </c>
      <c r="F1249" s="1" t="s">
        <v>4663</v>
      </c>
      <c r="G1249" s="1" t="s">
        <v>4664</v>
      </c>
      <c r="H1249" s="1" t="s">
        <v>101</v>
      </c>
    </row>
    <row r="1250">
      <c r="A1250" s="1">
        <v>1248.0</v>
      </c>
      <c r="B1250" s="1" t="s">
        <v>4270</v>
      </c>
      <c r="C1250" s="1" t="s">
        <v>4665</v>
      </c>
      <c r="D1250" s="1" t="s">
        <v>4666</v>
      </c>
      <c r="E1250" s="2" t="str">
        <f>IFERROR(__xludf.DUMMYFUNCTION("GOOGLETRANSLATE(C1250, ""en"", ""th"")"),"ผู้ป่วยที่เกิดหลังปี 1980/1/1 มีกี่รายที่มีระดับไฟบริโนเจนผิดปกติ?")</f>
        <v>ผู้ป่วยที่เกิดหลังปี 1980/1/1 มีกี่รายที่มีระดับไฟบริโนเจนผิดปกติ?</v>
      </c>
      <c r="F1250" s="1" t="s">
        <v>4667</v>
      </c>
      <c r="G1250" s="1" t="s">
        <v>4668</v>
      </c>
      <c r="H1250" s="1" t="s">
        <v>18</v>
      </c>
    </row>
    <row r="1251">
      <c r="A1251" s="1">
        <v>1249.0</v>
      </c>
      <c r="B1251" s="1" t="s">
        <v>4270</v>
      </c>
      <c r="C1251" s="1" t="s">
        <v>4669</v>
      </c>
      <c r="D1251" s="1" t="s">
        <v>4670</v>
      </c>
      <c r="E1251" s="2" t="str">
        <f>IFERROR(__xludf.DUMMYFUNCTION("GOOGLETRANSLATE(C1251, ""en"", ""th"")"),"กรุณาระบุชื่อโรคของผู้ป่วยที่มีระดับโปรตีนในปัสสาวะสูงกว่าปกติ")</f>
        <v>กรุณาระบุชื่อโรคของผู้ป่วยที่มีระดับโปรตีนในปัสสาวะสูงกว่าปกติ</v>
      </c>
      <c r="F1251" s="1" t="s">
        <v>4671</v>
      </c>
      <c r="G1251" s="1" t="s">
        <v>4672</v>
      </c>
      <c r="H1251" s="1" t="s">
        <v>13</v>
      </c>
    </row>
    <row r="1252">
      <c r="A1252" s="1">
        <v>1250.0</v>
      </c>
      <c r="B1252" s="1" t="s">
        <v>4270</v>
      </c>
      <c r="C1252" s="1" t="s">
        <v>4673</v>
      </c>
      <c r="D1252" s="1" t="s">
        <v>4674</v>
      </c>
      <c r="E1252" s="2" t="str">
        <f>IFERROR(__xludf.DUMMYFUNCTION("GOOGLETRANSLATE(C1252, ""en"", ""th"")"),"ผู้ป่วยรายใดมีระดับโปรตีนในปัสสาวะปกติและได้รับการวินิจฉัยว่าเป็นโรค SLE กรุณาระบุบัตรประจำตัวคนไข้ของเขาหรือเธอ")</f>
        <v>ผู้ป่วยรายใดมีระดับโปรตีนในปัสสาวะปกติและได้รับการวินิจฉัยว่าเป็นโรค SLE กรุณาระบุบัตรประจำตัวคนไข้ของเขาหรือเธอ</v>
      </c>
      <c r="F1252" s="1" t="s">
        <v>4675</v>
      </c>
      <c r="G1252" s="1" t="s">
        <v>4676</v>
      </c>
      <c r="H1252" s="1" t="s">
        <v>18</v>
      </c>
    </row>
    <row r="1253">
      <c r="A1253" s="1">
        <v>1251.0</v>
      </c>
      <c r="B1253" s="1" t="s">
        <v>4270</v>
      </c>
      <c r="C1253" s="1" t="s">
        <v>4677</v>
      </c>
      <c r="D1253" s="1" t="s">
        <v>4678</v>
      </c>
      <c r="E1253" s="2" t="str">
        <f>IFERROR(__xludf.DUMMYFUNCTION("GOOGLETRANSLATE(C1253, ""en"", ""th"")"),"คนไข้ที่มีค่า Ig G สูงกว่าปกติมีกี่ราย?")</f>
        <v>คนไข้ที่มีค่า Ig G สูงกว่าปกติมีกี่ราย?</v>
      </c>
      <c r="F1253" s="1" t="s">
        <v>4679</v>
      </c>
      <c r="G1253" s="1" t="s">
        <v>4680</v>
      </c>
      <c r="H1253" s="1" t="s">
        <v>13</v>
      </c>
    </row>
    <row r="1254">
      <c r="A1254" s="1">
        <v>1252.0</v>
      </c>
      <c r="B1254" s="1" t="s">
        <v>4270</v>
      </c>
      <c r="C1254" s="1" t="s">
        <v>4681</v>
      </c>
      <c r="D1254" s="1" t="s">
        <v>4682</v>
      </c>
      <c r="E1254" s="2" t="str">
        <f>IFERROR(__xludf.DUMMYFUNCTION("GOOGLETRANSLATE(C1254, ""en"", ""th"")"),"ในบรรดาผู้ป่วยที่มีระดับ Ig G ปกติ มีอาการกี่ราย?")</f>
        <v>ในบรรดาผู้ป่วยที่มีระดับ Ig G ปกติ มีอาการกี่ราย?</v>
      </c>
      <c r="F1254" s="1" t="s">
        <v>4683</v>
      </c>
      <c r="G1254" s="1" t="s">
        <v>4684</v>
      </c>
      <c r="H1254" s="1" t="s">
        <v>18</v>
      </c>
    </row>
    <row r="1255">
      <c r="A1255" s="1">
        <v>1253.0</v>
      </c>
      <c r="B1255" s="1" t="s">
        <v>4270</v>
      </c>
      <c r="C1255" s="1" t="s">
        <v>4685</v>
      </c>
      <c r="D1255" s="1" t="s">
        <v>4686</v>
      </c>
      <c r="E1255" s="2" t="str">
        <f>IFERROR(__xludf.DUMMYFUNCTION("GOOGLETRANSLATE(C1255, ""en"", ""th"")"),"สำหรับคนไข้ที่มีค่า Ig A สูงสุดในช่วงปกติ จะวินิจฉัยได้อย่างไร?")</f>
        <v>สำหรับคนไข้ที่มีค่า Ig A สูงสุดในช่วงปกติ จะวินิจฉัยได้อย่างไร?</v>
      </c>
      <c r="F1255" s="1" t="s">
        <v>4687</v>
      </c>
      <c r="G1255" s="1" t="s">
        <v>4688</v>
      </c>
      <c r="H1255" s="1" t="s">
        <v>13</v>
      </c>
    </row>
    <row r="1256">
      <c r="A1256" s="1">
        <v>1254.0</v>
      </c>
      <c r="B1256" s="1" t="s">
        <v>4270</v>
      </c>
      <c r="C1256" s="1" t="s">
        <v>4689</v>
      </c>
      <c r="D1256" s="1" t="s">
        <v>4690</v>
      </c>
      <c r="E1256" s="2" t="str">
        <f>IFERROR(__xludf.DUMMYFUNCTION("GOOGLETRANSLATE(C1256, ""en"", ""th"")"),"ผู้ป่วยที่มีระดับ Ig A ปกติมาโรงพยาบาลหลัง 1/1/1990 มีกี่ราย?")</f>
        <v>ผู้ป่วยที่มีระดับ Ig A ปกติมาโรงพยาบาลหลัง 1/1/1990 มีกี่ราย?</v>
      </c>
      <c r="F1256" s="1" t="s">
        <v>4691</v>
      </c>
      <c r="G1256" s="1" t="s">
        <v>4692</v>
      </c>
      <c r="H1256" s="1" t="s">
        <v>18</v>
      </c>
    </row>
    <row r="1257">
      <c r="A1257" s="1">
        <v>1255.0</v>
      </c>
      <c r="B1257" s="1" t="s">
        <v>4270</v>
      </c>
      <c r="C1257" s="1" t="s">
        <v>4693</v>
      </c>
      <c r="D1257" s="1" t="s">
        <v>4694</v>
      </c>
      <c r="E1257" s="2" t="str">
        <f>IFERROR(__xludf.DUMMYFUNCTION("GOOGLETRANSLATE(C1257, ""en"", ""th"")"),"สำหรับผู้ป่วยที่มีระดับ Ig M ผิดปกติ ตรวจพบโรคอะไรบ่อยที่สุด?")</f>
        <v>สำหรับผู้ป่วยที่มีระดับ Ig M ผิดปกติ ตรวจพบโรคอะไรบ่อยที่สุด?</v>
      </c>
      <c r="F1257" s="1" t="s">
        <v>4695</v>
      </c>
      <c r="G1257" s="1" t="s">
        <v>4696</v>
      </c>
      <c r="H1257" s="1" t="s">
        <v>18</v>
      </c>
    </row>
    <row r="1258">
      <c r="A1258" s="1">
        <v>1256.0</v>
      </c>
      <c r="B1258" s="1" t="s">
        <v>4270</v>
      </c>
      <c r="C1258" s="1" t="s">
        <v>4697</v>
      </c>
      <c r="D1258" s="1" t="s">
        <v>4698</v>
      </c>
      <c r="E1258" s="2" t="str">
        <f>IFERROR(__xludf.DUMMYFUNCTION("GOOGLETRANSLATE(C1258, ""en"", ""th"")"),"มีผู้ป่วยที่มีโปรตีน C-reactive ผิดปกติจำนวนกี่รายที่ไม่มีการบันทึกข้อมูล")</f>
        <v>มีผู้ป่วยที่มีโปรตีน C-reactive ผิดปกติจำนวนกี่รายที่ไม่มีการบันทึกข้อมูล</v>
      </c>
      <c r="F1258" s="1" t="s">
        <v>4699</v>
      </c>
      <c r="G1258" s="1" t="s">
        <v>4700</v>
      </c>
      <c r="H1258" s="1" t="s">
        <v>18</v>
      </c>
    </row>
    <row r="1259">
      <c r="A1259" s="1">
        <v>1257.0</v>
      </c>
      <c r="B1259" s="1" t="s">
        <v>4270</v>
      </c>
      <c r="C1259" s="1" t="s">
        <v>4701</v>
      </c>
      <c r="D1259" s="1" t="s">
        <v>4702</v>
      </c>
      <c r="E1259" s="2" t="str">
        <f>IFERROR(__xludf.DUMMYFUNCTION("GOOGLETRANSLATE(C1259, ""en"", ""th"")"),"ในคนไข้ที่ระดับครีเอตินีนไม่ปกติ จะมีสักกี่คนที่อายุไม่ถึง 70 บ้างคะ?")</f>
        <v>ในคนไข้ที่ระดับครีเอตินีนไม่ปกติ จะมีสักกี่คนที่อายุไม่ถึง 70 บ้างคะ?</v>
      </c>
      <c r="F1259" s="1" t="s">
        <v>4703</v>
      </c>
      <c r="G1259" s="1" t="s">
        <v>4704</v>
      </c>
      <c r="H1259" s="1" t="s">
        <v>101</v>
      </c>
    </row>
    <row r="1260">
      <c r="A1260" s="1">
        <v>1258.0</v>
      </c>
      <c r="B1260" s="1" t="s">
        <v>4270</v>
      </c>
      <c r="C1260" s="1" t="s">
        <v>4705</v>
      </c>
      <c r="D1260" s="1" t="s">
        <v>4706</v>
      </c>
      <c r="E1260" s="2" t="str">
        <f>IFERROR(__xludf.DUMMYFUNCTION("GOOGLETRANSLATE(C1260, ""en"", ""th"")"),"ผู้ป่วยที่มีปัจจัยรูมาตอยด์ปกติกี่รายที่มีระดับการแข็งตัวของเลือดเป็นบวก?")</f>
        <v>ผู้ป่วยที่มีปัจจัยรูมาตอยด์ปกติกี่รายที่มีระดับการแข็งตัวของเลือดเป็นบวก?</v>
      </c>
      <c r="F1260" s="1" t="s">
        <v>4707</v>
      </c>
      <c r="G1260" s="1" t="s">
        <v>4708</v>
      </c>
      <c r="H1260" s="1" t="s">
        <v>18</v>
      </c>
    </row>
    <row r="1261">
      <c r="A1261" s="1">
        <v>1259.0</v>
      </c>
      <c r="B1261" s="1" t="s">
        <v>4270</v>
      </c>
      <c r="C1261" s="1" t="s">
        <v>4709</v>
      </c>
      <c r="D1261" s="1" t="s">
        <v>4710</v>
      </c>
      <c r="E1261" s="2" t="str">
        <f>IFERROR(__xludf.DUMMYFUNCTION("GOOGLETRANSLATE(C1261, ""en"", ""th"")"),"กรุณาระบุโรคของผู้ป่วยที่เกิดหลังปี 1985-1-1 และมีปัจจัยรูมาตอยด์ปกติ")</f>
        <v>กรุณาระบุโรคของผู้ป่วยที่เกิดหลังปี 1985-1-1 และมีปัจจัยรูมาตอยด์ปกติ</v>
      </c>
      <c r="F1261" s="1" t="s">
        <v>4711</v>
      </c>
      <c r="G1261" s="1" t="s">
        <v>4712</v>
      </c>
      <c r="H1261" s="1" t="s">
        <v>18</v>
      </c>
    </row>
    <row r="1262">
      <c r="A1262" s="1">
        <v>1260.0</v>
      </c>
      <c r="B1262" s="1" t="s">
        <v>4270</v>
      </c>
      <c r="C1262" s="1" t="s">
        <v>4713</v>
      </c>
      <c r="D1262" s="1" t="s">
        <v>4714</v>
      </c>
      <c r="E1262" s="2" t="str">
        <f>IFERROR(__xludf.DUMMYFUNCTION("GOOGLETRANSLATE(C1262, ""en"", ""th"")"),"โปรดระบุ ID ของผู้ป่วยที่มี RF เป็นปกติและมีอายุมากกว่า 60 ปี")</f>
        <v>โปรดระบุ ID ของผู้ป่วยที่มี RF เป็นปกติและมีอายุมากกว่า 60 ปี</v>
      </c>
      <c r="F1262" s="1" t="s">
        <v>4715</v>
      </c>
      <c r="G1262" s="1" t="s">
        <v>4716</v>
      </c>
      <c r="H1262" s="1" t="s">
        <v>13</v>
      </c>
    </row>
    <row r="1263">
      <c r="A1263" s="1">
        <v>1261.0</v>
      </c>
      <c r="B1263" s="1" t="s">
        <v>4270</v>
      </c>
      <c r="C1263" s="1" t="s">
        <v>4717</v>
      </c>
      <c r="D1263" s="1" t="s">
        <v>4718</v>
      </c>
      <c r="E1263" s="2" t="str">
        <f>IFERROR(__xludf.DUMMYFUNCTION("GOOGLETRANSLATE(C1263, ""en"", ""th"")"),"มีคนไข้ RF ปกติที่ไม่มีลิ่มเลือดอุดตันกี่ราย?")</f>
        <v>มีคนไข้ RF ปกติที่ไม่มีลิ่มเลือดอุดตันกี่ราย?</v>
      </c>
      <c r="F1263" s="1" t="s">
        <v>4719</v>
      </c>
      <c r="G1263" s="1" t="s">
        <v>4720</v>
      </c>
      <c r="H1263" s="1" t="s">
        <v>13</v>
      </c>
    </row>
    <row r="1264">
      <c r="A1264" s="1">
        <v>1262.0</v>
      </c>
      <c r="B1264" s="1" t="s">
        <v>4270</v>
      </c>
      <c r="C1264" s="1" t="s">
        <v>4721</v>
      </c>
      <c r="D1264" s="1" t="s">
        <v>4722</v>
      </c>
      <c r="E1264" s="2" t="str">
        <f>IFERROR(__xludf.DUMMYFUNCTION("GOOGLETRANSLATE(C1264, ""en"", ""th"")"),"ผู้ป่วยที่มีระดับเสริม 3 ระดับปกติมีรูปแบบ P ที่พบในแผ่นตรวจ ANA กี่ราย")</f>
        <v>ผู้ป่วยที่มีระดับเสริม 3 ระดับปกติมีรูปแบบ P ที่พบในแผ่นตรวจ ANA กี่ราย</v>
      </c>
      <c r="F1264" s="1" t="s">
        <v>4723</v>
      </c>
      <c r="G1264" s="1" t="s">
        <v>4724</v>
      </c>
      <c r="H1264" s="1" t="s">
        <v>18</v>
      </c>
    </row>
    <row r="1265">
      <c r="A1265" s="1">
        <v>1263.0</v>
      </c>
      <c r="B1265" s="1" t="s">
        <v>4270</v>
      </c>
      <c r="C1265" s="1" t="s">
        <v>4725</v>
      </c>
      <c r="D1265" s="1" t="s">
        <v>4726</v>
      </c>
      <c r="E1265" s="2" t="str">
        <f>IFERROR(__xludf.DUMMYFUNCTION("GOOGLETRANSLATE(C1265, ""en"", ""th"")"),"ในบรรดาคนไข้ที่ระดับ Hematoclit ไม่ปกติ คนไข้คนไหนมีความเข้มข้นของ anti-Cardiolipin antibody สูงที่สุด? กรุณาระบุ ID ของเขาหรือเธอ")</f>
        <v>ในบรรดาคนไข้ที่ระดับ Hematoclit ไม่ปกติ คนไข้คนไหนมีความเข้มข้นของ anti-Cardiolipin antibody สูงที่สุด? กรุณาระบุ ID ของเขาหรือเธอ</v>
      </c>
      <c r="F1265" s="1" t="s">
        <v>4727</v>
      </c>
      <c r="G1265" s="1" t="s">
        <v>4728</v>
      </c>
      <c r="H1265" s="1" t="s">
        <v>18</v>
      </c>
    </row>
    <row r="1266">
      <c r="A1266" s="1">
        <v>1264.0</v>
      </c>
      <c r="B1266" s="1" t="s">
        <v>4270</v>
      </c>
      <c r="C1266" s="1" t="s">
        <v>4729</v>
      </c>
      <c r="D1266" s="1" t="s">
        <v>4730</v>
      </c>
      <c r="E1266" s="2" t="str">
        <f>IFERROR(__xludf.DUMMYFUNCTION("GOOGLETRANSLATE(C1266, ""en"", ""th"")"),"ในบรรดาคนไข้ที่มีลิ่มเลือดในหลอดเลือดดำมีกี่รายที่มีระดับอาหารเสริม 4 ปกติ?")</f>
        <v>ในบรรดาคนไข้ที่มีลิ่มเลือดในหลอดเลือดดำมีกี่รายที่มีระดับอาหารเสริม 4 ปกติ?</v>
      </c>
      <c r="F1266" s="1" t="s">
        <v>4731</v>
      </c>
      <c r="G1266" s="1" t="s">
        <v>4732</v>
      </c>
      <c r="H1266" s="1" t="s">
        <v>18</v>
      </c>
    </row>
    <row r="1267">
      <c r="A1267" s="1">
        <v>1265.0</v>
      </c>
      <c r="B1267" s="1" t="s">
        <v>4270</v>
      </c>
      <c r="C1267" s="1" t="s">
        <v>4733</v>
      </c>
      <c r="D1267" s="1" t="s">
        <v>4734</v>
      </c>
      <c r="E1267" s="2" t="str">
        <f>IFERROR(__xludf.DUMMYFUNCTION("GOOGLETRANSLATE(C1267, ""en"", ""th"")"),"มีผู้ป่วยกี่รายที่มีโปรตีนต้านไรโบนิวเคลียร์ในระดับปกติและได้เข้ารับการรักษาในโรงพยาบาลแล้ว?")</f>
        <v>มีผู้ป่วยกี่รายที่มีโปรตีนต้านไรโบนิวเคลียร์ในระดับปกติและได้เข้ารับการรักษาในโรงพยาบาลแล้ว?</v>
      </c>
      <c r="F1267" s="1" t="s">
        <v>4735</v>
      </c>
      <c r="G1267" s="1" t="s">
        <v>4736</v>
      </c>
      <c r="H1267" s="1" t="s">
        <v>18</v>
      </c>
    </row>
    <row r="1268">
      <c r="A1268" s="1">
        <v>1266.0</v>
      </c>
      <c r="B1268" s="1" t="s">
        <v>4270</v>
      </c>
      <c r="C1268" s="1" t="s">
        <v>4737</v>
      </c>
      <c r="D1268" s="1" t="s">
        <v>4738</v>
      </c>
      <c r="E1268" s="2" t="str">
        <f>IFERROR(__xludf.DUMMYFUNCTION("GOOGLETRANSLATE(C1268, ""en"", ""th"")"),"คนไข้อายุน้อยที่สุดที่มีระดับโปรตีนต่อต้านไรโบนิวเคลียร์ผิดปกติคือคนใด โปรดระบุวันเกิดของเขาหรือเธอ")</f>
        <v>คนไข้อายุน้อยที่สุดที่มีระดับโปรตีนต่อต้านไรโบนิวเคลียร์ผิดปกติคือคนใด โปรดระบุวันเกิดของเขาหรือเธอ</v>
      </c>
      <c r="F1268" s="1" t="s">
        <v>4739</v>
      </c>
      <c r="G1268" s="1" t="s">
        <v>4740</v>
      </c>
      <c r="H1268" s="1" t="s">
        <v>18</v>
      </c>
    </row>
    <row r="1269">
      <c r="A1269" s="1">
        <v>1267.0</v>
      </c>
      <c r="B1269" s="1" t="s">
        <v>4270</v>
      </c>
      <c r="C1269" s="1" t="s">
        <v>4741</v>
      </c>
      <c r="D1269" s="1" t="s">
        <v>4742</v>
      </c>
      <c r="E1269" s="2" t="str">
        <f>IFERROR(__xludf.DUMMYFUNCTION("GOOGLETRANSLATE(C1269, ""en"", ""th"")"),"ในบรรดาคนไข้ที่มี anti-SM ปกติ มีกี่คนที่ไม่มีลิ่มเลือดอุดตัน?")</f>
        <v>ในบรรดาคนไข้ที่มี anti-SM ปกติ มีกี่คนที่ไม่มีลิ่มเลือดอุดตัน?</v>
      </c>
      <c r="F1269" s="1" t="s">
        <v>4743</v>
      </c>
      <c r="G1269" s="1" t="s">
        <v>4744</v>
      </c>
      <c r="H1269" s="1" t="s">
        <v>18</v>
      </c>
    </row>
    <row r="1270">
      <c r="A1270" s="1">
        <v>1268.0</v>
      </c>
      <c r="B1270" s="1" t="s">
        <v>4270</v>
      </c>
      <c r="C1270" s="1" t="s">
        <v>4745</v>
      </c>
      <c r="D1270" s="1" t="s">
        <v>4746</v>
      </c>
      <c r="E1270" s="2" t="str">
        <f>IFERROR(__xludf.DUMMYFUNCTION("GOOGLETRANSLATE(C1270, ""en"", ""th"")"),"สำหรับผู้ป่วยที่มี anti-SM ผิดปกติ โปรดระบุ ID ของทั้งสามคนที่อายุน้อยที่สุด")</f>
        <v>สำหรับผู้ป่วยที่มี anti-SM ผิดปกติ โปรดระบุ ID ของทั้งสามคนที่อายุน้อยที่สุด</v>
      </c>
      <c r="F1270" s="1" t="s">
        <v>4747</v>
      </c>
      <c r="G1270" s="1" t="s">
        <v>4748</v>
      </c>
      <c r="H1270" s="1" t="s">
        <v>13</v>
      </c>
    </row>
    <row r="1271">
      <c r="A1271" s="1">
        <v>1269.0</v>
      </c>
      <c r="B1271" s="1" t="s">
        <v>4270</v>
      </c>
      <c r="C1271" s="1" t="s">
        <v>4749</v>
      </c>
      <c r="D1271" s="1" t="s">
        <v>4750</v>
      </c>
      <c r="E1271" s="2" t="str">
        <f>IFERROR(__xludf.DUMMYFUNCTION("GOOGLETRANSLATE(C1271, ""en"", ""th"")"),"โปรดระบุ ID ของผู้ป่วยที่ได้รับการตรวจหลังวันที่ 1/1/1997 และมี anti-scl70 ปกติ")</f>
        <v>โปรดระบุ ID ของผู้ป่วยที่ได้รับการตรวจหลังวันที่ 1/1/1997 และมี anti-scl70 ปกติ</v>
      </c>
      <c r="F1271" s="1" t="s">
        <v>4751</v>
      </c>
      <c r="G1271" s="1" t="s">
        <v>4752</v>
      </c>
      <c r="H1271" s="1" t="s">
        <v>18</v>
      </c>
    </row>
    <row r="1272">
      <c r="A1272" s="1">
        <v>1270.0</v>
      </c>
      <c r="B1272" s="1" t="s">
        <v>4270</v>
      </c>
      <c r="C1272" s="1" t="s">
        <v>4753</v>
      </c>
      <c r="D1272" s="1" t="s">
        <v>4754</v>
      </c>
      <c r="E1272" s="2" t="str">
        <f>IFERROR(__xludf.DUMMYFUNCTION("GOOGLETRANSLATE(C1272, ""en"", ""th"")"),"คนไข้ที่มี anti-scl70 ปกติ มีกี่รายที่เป็นเพศหญิงและไม่มีอาการ?")</f>
        <v>คนไข้ที่มี anti-scl70 ปกติ มีกี่รายที่เป็นเพศหญิงและไม่มีอาการ?</v>
      </c>
      <c r="F1272" s="1" t="s">
        <v>4755</v>
      </c>
      <c r="G1272" s="1" t="s">
        <v>4756</v>
      </c>
      <c r="H1272" s="1" t="s">
        <v>101</v>
      </c>
    </row>
    <row r="1273">
      <c r="A1273" s="1">
        <v>1271.0</v>
      </c>
      <c r="B1273" s="1" t="s">
        <v>4270</v>
      </c>
      <c r="C1273" s="1" t="s">
        <v>4757</v>
      </c>
      <c r="D1273" s="1" t="s">
        <v>4758</v>
      </c>
      <c r="E1273" s="2" t="str">
        <f>IFERROR(__xludf.DUMMYFUNCTION("GOOGLETRANSLATE(C1273, ""en"", ""th"")"),"มีผู้ป่วยที่มี anti-SSA ปกติกี่คนที่มาโรงพยาบาลก่อนปี 2000")</f>
        <v>มีผู้ป่วยที่มี anti-SSA ปกติกี่คนที่มาโรงพยาบาลก่อนปี 2000</v>
      </c>
      <c r="F1273" s="1" t="s">
        <v>4759</v>
      </c>
      <c r="G1273" s="1" t="s">
        <v>4760</v>
      </c>
      <c r="H1273" s="1" t="s">
        <v>18</v>
      </c>
    </row>
    <row r="1274">
      <c r="A1274" s="1">
        <v>1272.0</v>
      </c>
      <c r="B1274" s="1" t="s">
        <v>4270</v>
      </c>
      <c r="C1274" s="1" t="s">
        <v>4761</v>
      </c>
      <c r="D1274" s="1" t="s">
        <v>4762</v>
      </c>
      <c r="E1274" s="2" t="str">
        <f>IFERROR(__xludf.DUMMYFUNCTION("GOOGLETRANSLATE(C1274, ""en"", ""th"")"),"ผู้ป่วยรายใดเป็นคนไข้รายแรกที่มี anti-SSA ผิดปกติที่มาโรงพยาบาล? โปรดระบุบัตรประจำตัวของเขาหรือเธอ")</f>
        <v>ผู้ป่วยรายใดเป็นคนไข้รายแรกที่มี anti-SSA ผิดปกติที่มาโรงพยาบาล? โปรดระบุบัตรประจำตัวของเขาหรือเธอ</v>
      </c>
      <c r="F1274" s="1" t="s">
        <v>4763</v>
      </c>
      <c r="G1274" s="1" t="s">
        <v>4764</v>
      </c>
      <c r="H1274" s="1" t="s">
        <v>18</v>
      </c>
    </row>
    <row r="1275">
      <c r="A1275" s="1">
        <v>1273.0</v>
      </c>
      <c r="B1275" s="1" t="s">
        <v>4270</v>
      </c>
      <c r="C1275" s="1" t="s">
        <v>4765</v>
      </c>
      <c r="D1275" s="1" t="s">
        <v>4766</v>
      </c>
      <c r="E1275" s="2" t="str">
        <f>IFERROR(__xludf.DUMMYFUNCTION("GOOGLETRANSLATE(C1275, ""en"", ""th"")"),"คนไข้ที่มี anti-SSB ปกติและได้รับการวินิจฉัยว่าเป็นโรค SLE ในการตรวจมีกี่ราย?")</f>
        <v>คนไข้ที่มี anti-SSB ปกติและได้รับการวินิจฉัยว่าเป็นโรค SLE ในการตรวจมีกี่ราย?</v>
      </c>
      <c r="F1275" s="1" t="s">
        <v>4767</v>
      </c>
      <c r="G1275" s="1" t="s">
        <v>4768</v>
      </c>
      <c r="H1275" s="1" t="s">
        <v>18</v>
      </c>
    </row>
    <row r="1276">
      <c r="A1276" s="1">
        <v>1274.0</v>
      </c>
      <c r="B1276" s="1" t="s">
        <v>4270</v>
      </c>
      <c r="C1276" s="1" t="s">
        <v>4769</v>
      </c>
      <c r="D1276" s="1" t="s">
        <v>4770</v>
      </c>
      <c r="E1276" s="2" t="str">
        <f>IFERROR(__xludf.DUMMYFUNCTION("GOOGLETRANSLATE(C1276, ""en"", ""th"")"),"สำหรับคนไข้ที่ SSB ปกติ จะมีอาการอื่น ๆ อีกกี่รายที่สังเกตได้จากการตรวจ?")</f>
        <v>สำหรับคนไข้ที่ SSB ปกติ จะมีอาการอื่น ๆ อีกกี่รายที่สังเกตได้จากการตรวจ?</v>
      </c>
      <c r="F1276" s="1" t="s">
        <v>4771</v>
      </c>
      <c r="G1276" s="1" t="s">
        <v>4772</v>
      </c>
      <c r="H1276" s="1" t="s">
        <v>18</v>
      </c>
    </row>
    <row r="1277">
      <c r="A1277" s="1">
        <v>1275.0</v>
      </c>
      <c r="B1277" s="1" t="s">
        <v>4270</v>
      </c>
      <c r="C1277" s="1" t="s">
        <v>4773</v>
      </c>
      <c r="D1277" s="1" t="s">
        <v>4774</v>
      </c>
      <c r="E1277" s="2" t="str">
        <f>IFERROR(__xludf.DUMMYFUNCTION("GOOGLETRANSLATE(C1277, ""en"", ""th"")"),"ในบรรดาคนไข้ที่มี anti-centromere ในระดับปกติ และ anti-SSB ในระดับปกติ จะมีผู้ชายกี่คน?")</f>
        <v>ในบรรดาคนไข้ที่มี anti-centromere ในระดับปกติ และ anti-SSB ในระดับปกติ จะมีผู้ชายกี่คน?</v>
      </c>
      <c r="F1277" s="1" t="s">
        <v>4775</v>
      </c>
      <c r="G1277" s="1" t="s">
        <v>4776</v>
      </c>
      <c r="H1277" s="1" t="s">
        <v>18</v>
      </c>
    </row>
    <row r="1278">
      <c r="A1278" s="1">
        <v>1276.0</v>
      </c>
      <c r="B1278" s="1" t="s">
        <v>4270</v>
      </c>
      <c r="C1278" s="1" t="s">
        <v>4777</v>
      </c>
      <c r="D1278" s="1" t="s">
        <v>4778</v>
      </c>
      <c r="E1278" s="2" t="str">
        <f>IFERROR(__xludf.DUMMYFUNCTION("GOOGLETRANSLATE(C1278, ""en"", ""th"")"),"สำหรับผู้ป่วยที่มีระดับการต่อต้าน DNA ผิดปกติ โปรดระบุโรคที่ได้รับการวินิจฉัย")</f>
        <v>สำหรับผู้ป่วยที่มีระดับการต่อต้าน DNA ผิดปกติ โปรดระบุโรคที่ได้รับการวินิจฉัย</v>
      </c>
      <c r="F1278" s="1" t="s">
        <v>4779</v>
      </c>
      <c r="G1278" s="1" t="s">
        <v>4780</v>
      </c>
      <c r="H1278" s="1" t="s">
        <v>13</v>
      </c>
    </row>
    <row r="1279">
      <c r="A1279" s="1">
        <v>1277.0</v>
      </c>
      <c r="B1279" s="1" t="s">
        <v>4270</v>
      </c>
      <c r="C1279" s="1" t="s">
        <v>4781</v>
      </c>
      <c r="D1279" s="1" t="s">
        <v>4782</v>
      </c>
      <c r="E1279" s="2" t="str">
        <f>IFERROR(__xludf.DUMMYFUNCTION("GOOGLETRANSLATE(C1279, ""en"", ""th"")"),"มีผู้ป่วยกี่รายที่มีระดับการต่อต้าน DNA ปกติ แต่ข้อมูลของพวกเขาจะไม่ถูกบันทึกไว้")</f>
        <v>มีผู้ป่วยกี่รายที่มีระดับการต่อต้าน DNA ปกติ แต่ข้อมูลของพวกเขาจะไม่ถูกบันทึกไว้</v>
      </c>
      <c r="F1279" s="1" t="s">
        <v>4783</v>
      </c>
      <c r="G1279" s="1" t="s">
        <v>4784</v>
      </c>
      <c r="H1279" s="1" t="s">
        <v>18</v>
      </c>
    </row>
    <row r="1280">
      <c r="A1280" s="1">
        <v>1278.0</v>
      </c>
      <c r="B1280" s="1" t="s">
        <v>4270</v>
      </c>
      <c r="C1280" s="1" t="s">
        <v>4785</v>
      </c>
      <c r="D1280" s="1" t="s">
        <v>4786</v>
      </c>
      <c r="E1280" s="2" t="str">
        <f>IFERROR(__xludf.DUMMYFUNCTION("GOOGLETRANSLATE(C1280, ""en"", ""th"")"),"ในคนไข้ที่มีค่า IGG ปกติ มีกี่คนที่เข้ารับการรักษาในโรงพยาบาล?")</f>
        <v>ในคนไข้ที่มีค่า IGG ปกติ มีกี่คนที่เข้ารับการรักษาในโรงพยาบาล?</v>
      </c>
      <c r="F1280" s="1" t="s">
        <v>4787</v>
      </c>
      <c r="G1280" s="1" t="s">
        <v>4788</v>
      </c>
      <c r="H1280" s="1" t="s">
        <v>13</v>
      </c>
    </row>
    <row r="1281">
      <c r="A1281" s="1">
        <v>1279.0</v>
      </c>
      <c r="B1281" s="1" t="s">
        <v>4270</v>
      </c>
      <c r="C1281" s="1" t="s">
        <v>4789</v>
      </c>
      <c r="D1281" s="1" t="s">
        <v>4790</v>
      </c>
      <c r="E1281" s="2" t="str">
        <f>IFERROR(__xludf.DUMMYFUNCTION("GOOGLETRANSLATE(C1281, ""en"", ""th"")"),"เปอร์เซ็นต์ของผู้ป่วยที่มีระดับกลูตามิกออกซาโลอะซิติกทรานซามิเนสในระดับผิดปกติ แต่เขาหรือเธอได้รับการวินิจฉัยว่าเป็นโรค SLE คือเท่าใด")</f>
        <v>เปอร์เซ็นต์ของผู้ป่วยที่มีระดับกลูตามิกออกซาโลอะซิติกทรานซามิเนสในระดับผิดปกติ แต่เขาหรือเธอได้รับการวินิจฉัยว่าเป็นโรค SLE คือเท่าใด</v>
      </c>
      <c r="F1281" s="1" t="s">
        <v>4791</v>
      </c>
      <c r="G1281" s="1" t="s">
        <v>4792</v>
      </c>
      <c r="H1281" s="1" t="s">
        <v>18</v>
      </c>
    </row>
    <row r="1282">
      <c r="A1282" s="1">
        <v>1280.0</v>
      </c>
      <c r="B1282" s="1" t="s">
        <v>4270</v>
      </c>
      <c r="C1282" s="1" t="s">
        <v>4793</v>
      </c>
      <c r="D1282" s="1" t="s">
        <v>4794</v>
      </c>
      <c r="E1282" s="2" t="str">
        <f>IFERROR(__xludf.DUMMYFUNCTION("GOOGLETRANSLATE(C1282, ""en"", ""th"")"),"ผู้ป่วยชายมี glutamic oxaloacetic transaminase กี่รายในช่วงปกติ?")</f>
        <v>ผู้ป่วยชายมี glutamic oxaloacetic transaminase กี่รายในช่วงปกติ?</v>
      </c>
      <c r="F1282" s="1" t="s">
        <v>4795</v>
      </c>
      <c r="G1282" s="1" t="s">
        <v>4796</v>
      </c>
      <c r="H1282" s="1" t="s">
        <v>13</v>
      </c>
    </row>
    <row r="1283">
      <c r="A1283" s="1">
        <v>1281.0</v>
      </c>
      <c r="B1283" s="1" t="s">
        <v>4270</v>
      </c>
      <c r="C1283" s="1" t="s">
        <v>4797</v>
      </c>
      <c r="D1283" s="1" t="s">
        <v>4798</v>
      </c>
      <c r="E1283" s="2" t="str">
        <f>IFERROR(__xludf.DUMMYFUNCTION("GOOGLETRANSLATE(C1283, ""en"", ""th"")"),"ในบรรดาคนไข้ที่มีระดับ glutamic oxaloacetic transaminase ผิดปกติ ลูกคนสุดท้องเกิดเมื่อใด?")</f>
        <v>ในบรรดาคนไข้ที่มีระดับ glutamic oxaloacetic transaminase ผิดปกติ ลูกคนสุดท้องเกิดเมื่อใด?</v>
      </c>
      <c r="F1283" s="1" t="s">
        <v>4799</v>
      </c>
      <c r="G1283" s="1" t="s">
        <v>4800</v>
      </c>
      <c r="H1283" s="1" t="s">
        <v>18</v>
      </c>
    </row>
    <row r="1284">
      <c r="A1284" s="1">
        <v>1282.0</v>
      </c>
      <c r="B1284" s="1" t="s">
        <v>4270</v>
      </c>
      <c r="C1284" s="1" t="s">
        <v>4801</v>
      </c>
      <c r="D1284" s="1" t="s">
        <v>4802</v>
      </c>
      <c r="E1284" s="2" t="str">
        <f>IFERROR(__xludf.DUMMYFUNCTION("GOOGLETRANSLATE(C1284, ""en"", ""th"")"),"โปรดระบุวันเกิดของผู้ป่วยสามอันดับแรกที่มีกลูตามิกไพลวิคทรานสอะมิเนสสูงที่สุดในช่วงปกติ")</f>
        <v>โปรดระบุวันเกิดของผู้ป่วยสามอันดับแรกที่มีกลูตามิกไพลวิคทรานสอะมิเนสสูงที่สุดในช่วงปกติ</v>
      </c>
      <c r="F1284" s="1" t="s">
        <v>4803</v>
      </c>
      <c r="G1284" s="1" t="s">
        <v>4804</v>
      </c>
      <c r="H1284" s="1" t="s">
        <v>13</v>
      </c>
    </row>
    <row r="1285">
      <c r="A1285" s="1">
        <v>1283.0</v>
      </c>
      <c r="B1285" s="1" t="s">
        <v>4270</v>
      </c>
      <c r="C1285" s="1" t="s">
        <v>4805</v>
      </c>
      <c r="D1285" s="1" t="s">
        <v>4806</v>
      </c>
      <c r="E1285" s="2" t="str">
        <f>IFERROR(__xludf.DUMMYFUNCTION("GOOGLETRANSLATE(C1285, ""en"", ""th"")"),"สำหรับคนไข้ที่มีระดับ glutamic pylvic transaminase ปกติ มีกี่รายที่เป็นเพศชาย?")</f>
        <v>สำหรับคนไข้ที่มีระดับ glutamic pylvic transaminase ปกติ มีกี่รายที่เป็นเพศชาย?</v>
      </c>
      <c r="F1285" s="1" t="s">
        <v>4807</v>
      </c>
      <c r="G1285" s="1" t="s">
        <v>4796</v>
      </c>
      <c r="H1285" s="1" t="s">
        <v>13</v>
      </c>
    </row>
    <row r="1286">
      <c r="A1286" s="1">
        <v>1284.0</v>
      </c>
      <c r="B1286" s="1" t="s">
        <v>4270</v>
      </c>
      <c r="C1286" s="1" t="s">
        <v>4808</v>
      </c>
      <c r="D1286" s="1" t="s">
        <v>4809</v>
      </c>
      <c r="E1286" s="2" t="str">
        <f>IFERROR(__xludf.DUMMYFUNCTION("GOOGLETRANSLATE(C1286, ""en"", ""th"")"),"สำหรับผู้ป่วยที่มีแลคเตตดีไฮโดรจีเนสสูงที่สุดในช่วงปกติ ข้อมูลของเขาหรือเธอจะถูกบันทึกครั้งแรกเมื่อใด")</f>
        <v>สำหรับผู้ป่วยที่มีแลคเตตดีไฮโดรจีเนสสูงที่สุดในช่วงปกติ ข้อมูลของเขาหรือเธอจะถูกบันทึกครั้งแรกเมื่อใด</v>
      </c>
      <c r="F1286" s="1" t="s">
        <v>4810</v>
      </c>
      <c r="G1286" s="1" t="s">
        <v>4811</v>
      </c>
      <c r="H1286" s="1" t="s">
        <v>18</v>
      </c>
    </row>
    <row r="1287">
      <c r="A1287" s="1">
        <v>1285.0</v>
      </c>
      <c r="B1287" s="1" t="s">
        <v>4270</v>
      </c>
      <c r="C1287" s="1" t="s">
        <v>4812</v>
      </c>
      <c r="D1287" s="1" t="s">
        <v>4813</v>
      </c>
      <c r="E1287" s="2" t="str">
        <f>IFERROR(__xludf.DUMMYFUNCTION("GOOGLETRANSLATE(C1287, ""en"", ""th"")"),"ข้อมูลทางการแพทย์ของผู้ป่วยล่าสุดจะถูกบันทึกไว้เมื่อใด? ผู้ป่วยรายนี้ควรมีระดับแลคเตตดีไฮโดรจีเนสผิดปกติ")</f>
        <v>ข้อมูลทางการแพทย์ของผู้ป่วยล่าสุดจะถูกบันทึกไว้เมื่อใด? ผู้ป่วยรายนี้ควรมีระดับแลคเตตดีไฮโดรจีเนสผิดปกติ</v>
      </c>
      <c r="F1287" s="1" t="s">
        <v>4814</v>
      </c>
      <c r="G1287" s="1" t="s">
        <v>4815</v>
      </c>
      <c r="H1287" s="1" t="s">
        <v>18</v>
      </c>
    </row>
    <row r="1288">
      <c r="A1288" s="1">
        <v>1286.0</v>
      </c>
      <c r="B1288" s="1" t="s">
        <v>4270</v>
      </c>
      <c r="C1288" s="1" t="s">
        <v>4816</v>
      </c>
      <c r="D1288" s="1" t="s">
        <v>4817</v>
      </c>
      <c r="E1288" s="2" t="str">
        <f>IFERROR(__xludf.DUMMYFUNCTION("GOOGLETRANSLATE(C1288, ""en"", ""th"")"),"สำหรับผู้ป่วยที่มีระดับอัลคาไลโฟฟาเตสผิดปกติจะเข้ารับการรักษาในโรงพยาบาลได้กี่ราย?")</f>
        <v>สำหรับผู้ป่วยที่มีระดับอัลคาไลโฟฟาเตสผิดปกติจะเข้ารับการรักษาในโรงพยาบาลได้กี่ราย?</v>
      </c>
      <c r="F1288" s="1" t="s">
        <v>4818</v>
      </c>
      <c r="G1288" s="1" t="s">
        <v>4819</v>
      </c>
      <c r="H1288" s="1" t="s">
        <v>13</v>
      </c>
    </row>
    <row r="1289">
      <c r="A1289" s="1">
        <v>1287.0</v>
      </c>
      <c r="B1289" s="1" t="s">
        <v>4270</v>
      </c>
      <c r="C1289" s="1" t="s">
        <v>4820</v>
      </c>
      <c r="D1289" s="1" t="s">
        <v>4821</v>
      </c>
      <c r="E1289" s="2" t="str">
        <f>IFERROR(__xludf.DUMMYFUNCTION("GOOGLETRANSLATE(C1289, ""en"", ""th"")"),"ในบรรดาผู้ป่วยที่ติดตามที่คลินิกผู้ป่วยนอก มีกี่รายที่มีระดับอัลคาไลโฟฟาเตสปกติ?")</f>
        <v>ในบรรดาผู้ป่วยที่ติดตามที่คลินิกผู้ป่วยนอก มีกี่รายที่มีระดับอัลคาไลโฟฟาเตสปกติ?</v>
      </c>
      <c r="F1289" s="1" t="s">
        <v>4822</v>
      </c>
      <c r="G1289" s="1" t="s">
        <v>4823</v>
      </c>
      <c r="H1289" s="1" t="s">
        <v>18</v>
      </c>
    </row>
    <row r="1290">
      <c r="A1290" s="1">
        <v>1288.0</v>
      </c>
      <c r="B1290" s="1" t="s">
        <v>4270</v>
      </c>
      <c r="C1290" s="1" t="s">
        <v>4824</v>
      </c>
      <c r="D1290" s="1" t="s">
        <v>4825</v>
      </c>
      <c r="E1290" s="2" t="str">
        <f>IFERROR(__xludf.DUMMYFUNCTION("GOOGLETRANSLATE(C1290, ""en"", ""th"")"),"โปรดระบุการวินิจฉัยผู้ป่วยที่มีปริมาณโปรตีนรวมต่ำกว่าปกติ")</f>
        <v>โปรดระบุการวินิจฉัยผู้ป่วยที่มีปริมาณโปรตีนรวมต่ำกว่าปกติ</v>
      </c>
      <c r="F1290" s="1" t="s">
        <v>4826</v>
      </c>
      <c r="G1290" s="1" t="s">
        <v>4827</v>
      </c>
      <c r="H1290" s="1" t="s">
        <v>13</v>
      </c>
    </row>
    <row r="1291">
      <c r="A1291" s="1">
        <v>1289.0</v>
      </c>
      <c r="B1291" s="1" t="s">
        <v>4270</v>
      </c>
      <c r="C1291" s="1" t="s">
        <v>4828</v>
      </c>
      <c r="D1291" s="1" t="s">
        <v>4829</v>
      </c>
      <c r="E1291" s="2" t="str">
        <f>IFERROR(__xludf.DUMMYFUNCTION("GOOGLETRANSLATE(C1291, ""en"", ""th"")"),"สำหรับผู้ป่วยที่ได้รับการวินิจฉัยว่าเป็นโรค SJS มีโปรตีนทั้งหมดในระดับปกติกี่ราย?")</f>
        <v>สำหรับผู้ป่วยที่ได้รับการวินิจฉัยว่าเป็นโรค SJS มีโปรตีนทั้งหมดในระดับปกติกี่ราย?</v>
      </c>
      <c r="F1291" s="1" t="s">
        <v>4830</v>
      </c>
      <c r="G1291" s="1" t="s">
        <v>4831</v>
      </c>
      <c r="H1291" s="1" t="s">
        <v>18</v>
      </c>
    </row>
    <row r="1292">
      <c r="A1292" s="1">
        <v>1290.0</v>
      </c>
      <c r="B1292" s="1" t="s">
        <v>4270</v>
      </c>
      <c r="C1292" s="1" t="s">
        <v>4832</v>
      </c>
      <c r="D1292" s="1" t="s">
        <v>4833</v>
      </c>
      <c r="E1292" s="2" t="str">
        <f>IFERROR(__xludf.DUMMYFUNCTION("GOOGLETRANSLATE(C1292, ""en"", ""th"")"),"คนไข้ที่มีอัลบูมินสูงที่สุดในช่วงปกติจะตรวจวันไหน?")</f>
        <v>คนไข้ที่มีอัลบูมินสูงที่สุดในช่วงปกติจะตรวจวันไหน?</v>
      </c>
      <c r="F1292" s="1" t="s">
        <v>4834</v>
      </c>
      <c r="G1292" s="1" t="s">
        <v>4835</v>
      </c>
      <c r="H1292" s="1" t="s">
        <v>13</v>
      </c>
    </row>
    <row r="1293">
      <c r="A1293" s="1">
        <v>1291.0</v>
      </c>
      <c r="B1293" s="1" t="s">
        <v>4270</v>
      </c>
      <c r="C1293" s="1" t="s">
        <v>4836</v>
      </c>
      <c r="D1293" s="1" t="s">
        <v>4837</v>
      </c>
      <c r="E1293" s="2" t="str">
        <f>IFERROR(__xludf.DUMMYFUNCTION("GOOGLETRANSLATE(C1293, ""en"", ""th"")"),"ผู้ป่วยชายมีระดับอัลบูมินและโปรตีนทั้งหมดในระดับปกติกี่คน?")</f>
        <v>ผู้ป่วยชายมีระดับอัลบูมินและโปรตีนทั้งหมดในระดับปกติกี่คน?</v>
      </c>
      <c r="F1293" s="1" t="s">
        <v>4838</v>
      </c>
      <c r="G1293" s="1" t="s">
        <v>4839</v>
      </c>
      <c r="H1293" s="1" t="s">
        <v>18</v>
      </c>
    </row>
    <row r="1294">
      <c r="A1294" s="1">
        <v>1292.0</v>
      </c>
      <c r="B1294" s="1" t="s">
        <v>4270</v>
      </c>
      <c r="C1294" s="1" t="s">
        <v>4840</v>
      </c>
      <c r="D1294" s="1" t="s">
        <v>4841</v>
      </c>
      <c r="E1294" s="2" t="str">
        <f>IFERROR(__xludf.DUMMYFUNCTION("GOOGLETRANSLATE(C1294, ""en"", ""th"")"),"ความเข้มข้นของแอนติบอดีต่อต้าน Cardiolipin ของผู้ป่วยเพศหญิงที่มีระดับกรดยูริกสูงที่สุดในช่วงปกติคือเท่าใด?")</f>
        <v>ความเข้มข้นของแอนติบอดีต่อต้าน Cardiolipin ของผู้ป่วยเพศหญิงที่มีระดับกรดยูริกสูงที่สุดในช่วงปกติคือเท่าใด?</v>
      </c>
      <c r="F1294" s="1" t="s">
        <v>4842</v>
      </c>
      <c r="G1294" s="1" t="s">
        <v>4843</v>
      </c>
      <c r="H1294" s="1" t="s">
        <v>101</v>
      </c>
    </row>
    <row r="1295">
      <c r="A1295" s="1">
        <v>1293.0</v>
      </c>
      <c r="B1295" s="1" t="s">
        <v>4270</v>
      </c>
      <c r="C1295" s="1" t="s">
        <v>4844</v>
      </c>
      <c r="D1295" s="1" t="s">
        <v>4845</v>
      </c>
      <c r="E1295" s="2" t="str">
        <f>IFERROR(__xludf.DUMMYFUNCTION("GOOGLETRANSLATE(C1295, ""en"", ""th"")"),"ระดับความเข้มข้นของแอนติบอดีต่อต้านนิวเคลียสสูงสุดของผู้ป่วยที่มีระดับครีเอตินีนปกติคือเท่าใด")</f>
        <v>ระดับความเข้มข้นของแอนติบอดีต่อต้านนิวเคลียสสูงสุดของผู้ป่วยที่มีระดับครีเอตินีนปกติคือเท่าใด</v>
      </c>
      <c r="F1295" s="1" t="s">
        <v>4846</v>
      </c>
      <c r="G1295" s="1" t="s">
        <v>4847</v>
      </c>
      <c r="H1295" s="1" t="s">
        <v>18</v>
      </c>
    </row>
    <row r="1296">
      <c r="A1296" s="1">
        <v>1294.0</v>
      </c>
      <c r="B1296" s="1" t="s">
        <v>4270</v>
      </c>
      <c r="C1296" s="1" t="s">
        <v>4848</v>
      </c>
      <c r="D1296" s="1" t="s">
        <v>4849</v>
      </c>
      <c r="E1296" s="2" t="str">
        <f>IFERROR(__xludf.DUMMYFUNCTION("GOOGLETRANSLATE(C1296, ""en"", ""th"")"),"โปรดระบุ ID ของผู้ป่วยที่มีระดับครีเอตินีนเป็นปกติและมีระดับความเข้มข้นของแอนติบอดีต่อต้าน Cardiolipin สูงที่สุด")</f>
        <v>โปรดระบุ ID ของผู้ป่วยที่มีระดับครีเอตินีนเป็นปกติและมีระดับความเข้มข้นของแอนติบอดีต่อต้าน Cardiolipin สูงที่สุด</v>
      </c>
      <c r="F1296" s="1" t="s">
        <v>4850</v>
      </c>
      <c r="G1296" s="1" t="s">
        <v>4851</v>
      </c>
      <c r="H1296" s="1" t="s">
        <v>18</v>
      </c>
    </row>
    <row r="1297">
      <c r="A1297" s="1">
        <v>1295.0</v>
      </c>
      <c r="B1297" s="1" t="s">
        <v>4270</v>
      </c>
      <c r="C1297" s="1" t="s">
        <v>4852</v>
      </c>
      <c r="D1297" s="1" t="s">
        <v>4853</v>
      </c>
      <c r="E1297" s="2" t="str">
        <f>IFERROR(__xludf.DUMMYFUNCTION("GOOGLETRANSLATE(C1297, ""en"", ""th"")"),"ในบรรดาผู้ป่วยที่มีบิลิรูบินรวมเกินช่วงปกติ มีกี่รายที่มีรูปแบบอุปกรณ์ต่อพ่วงที่สังเกตได้ในแผ่นตรวจ ANA?")</f>
        <v>ในบรรดาผู้ป่วยที่มีบิลิรูบินรวมเกินช่วงปกติ มีกี่รายที่มีรูปแบบอุปกรณ์ต่อพ่วงที่สังเกตได้ในแผ่นตรวจ ANA?</v>
      </c>
      <c r="F1297" s="1" t="s">
        <v>4854</v>
      </c>
      <c r="G1297" s="1" t="s">
        <v>4855</v>
      </c>
      <c r="H1297" s="1" t="s">
        <v>101</v>
      </c>
    </row>
    <row r="1298">
      <c r="A1298" s="1">
        <v>1296.0</v>
      </c>
      <c r="B1298" s="1" t="s">
        <v>4270</v>
      </c>
      <c r="C1298" s="1" t="s">
        <v>4856</v>
      </c>
      <c r="D1298" s="1" t="s">
        <v>4857</v>
      </c>
      <c r="E1298" s="2" t="str">
        <f>IFERROR(__xludf.DUMMYFUNCTION("GOOGLETRANSLATE(C1298, ""en"", ""th"")"),"ความเข้มข้นของแอนติบอดีต่อต้านนิวเคลียสของผู้ป่วยที่มีบิลิรูบินรวมสูงที่สุดในช่วงปกติคือเท่าใด?")</f>
        <v>ความเข้มข้นของแอนติบอดีต่อต้านนิวเคลียสของผู้ป่วยที่มีบิลิรูบินรวมสูงที่สุดในช่วงปกติคือเท่าใด?</v>
      </c>
      <c r="F1298" s="1" t="s">
        <v>4858</v>
      </c>
      <c r="G1298" s="1" t="s">
        <v>4859</v>
      </c>
      <c r="H1298" s="1" t="s">
        <v>18</v>
      </c>
    </row>
    <row r="1299">
      <c r="A1299" s="1">
        <v>1297.0</v>
      </c>
      <c r="B1299" s="1" t="s">
        <v>4270</v>
      </c>
      <c r="C1299" s="1" t="s">
        <v>4860</v>
      </c>
      <c r="D1299" s="1" t="s">
        <v>4861</v>
      </c>
      <c r="E1299" s="2" t="str">
        <f>IFERROR(__xludf.DUMMYFUNCTION("GOOGLETRANSLATE(C1299, ""en"", ""th"")"),"สำหรับคนไข้ที่มีโคเลสเตอรอลรวมสูงกว่าปกติ มีกี่รายที่มีระดับการแข็งตัวของเลือดเป็นลบ?")</f>
        <v>สำหรับคนไข้ที่มีโคเลสเตอรอลรวมสูงกว่าปกติ มีกี่รายที่มีระดับการแข็งตัวของเลือดเป็นลบ?</v>
      </c>
      <c r="F1299" s="1" t="s">
        <v>4862</v>
      </c>
      <c r="G1299" s="1" t="s">
        <v>4863</v>
      </c>
      <c r="H1299" s="1" t="s">
        <v>18</v>
      </c>
    </row>
    <row r="1300">
      <c r="A1300" s="1">
        <v>1298.0</v>
      </c>
      <c r="B1300" s="1" t="s">
        <v>4270</v>
      </c>
      <c r="C1300" s="1" t="s">
        <v>4864</v>
      </c>
      <c r="D1300" s="1" t="s">
        <v>4865</v>
      </c>
      <c r="E1300" s="2" t="str">
        <f>IFERROR(__xludf.DUMMYFUNCTION("GOOGLETRANSLATE(C1300, ""en"", ""th"")"),"ในบรรดาผู้ป่วยที่มีโคเลสเตอรอลรวมอยู่ในช่วงปกติ มีกี่รายที่มีรูปแบบ P ที่สังเกตได้ในแผ่นตรวจ ANA?")</f>
        <v>ในบรรดาผู้ป่วยที่มีโคเลสเตอรอลรวมอยู่ในช่วงปกติ มีกี่รายที่มีรูปแบบ P ที่สังเกตได้ในแผ่นตรวจ ANA?</v>
      </c>
      <c r="F1300" s="1" t="s">
        <v>4866</v>
      </c>
      <c r="G1300" s="1" t="s">
        <v>4867</v>
      </c>
      <c r="H1300" s="1" t="s">
        <v>18</v>
      </c>
    </row>
    <row r="1301">
      <c r="A1301" s="1">
        <v>1299.0</v>
      </c>
      <c r="B1301" s="1" t="s">
        <v>4270</v>
      </c>
      <c r="C1301" s="1" t="s">
        <v>4868</v>
      </c>
      <c r="D1301" s="1" t="s">
        <v>4869</v>
      </c>
      <c r="E1301" s="2" t="str">
        <f>IFERROR(__xludf.DUMMYFUNCTION("GOOGLETRANSLATE(C1301, ""en"", ""th"")"),"ในกลุ่มผู้ป่วยที่มีระดับไตรกลีเซอไรด์ปกติ มีอาการอื่น ๆ อีกกี่รายที่สังเกตได้?")</f>
        <v>ในกลุ่มผู้ป่วยที่มีระดับไตรกลีเซอไรด์ปกติ มีอาการอื่น ๆ อีกกี่รายที่สังเกตได้?</v>
      </c>
      <c r="F1301" s="1" t="s">
        <v>4870</v>
      </c>
      <c r="G1301" s="1" t="s">
        <v>4871</v>
      </c>
      <c r="H1301" s="1" t="s">
        <v>13</v>
      </c>
    </row>
    <row r="1302">
      <c r="A1302" s="1">
        <v>1300.0</v>
      </c>
      <c r="B1302" s="1" t="s">
        <v>4270</v>
      </c>
      <c r="C1302" s="1" t="s">
        <v>4872</v>
      </c>
      <c r="D1302" s="1" t="s">
        <v>4873</v>
      </c>
      <c r="E1302" s="2" t="str">
        <f>IFERROR(__xludf.DUMMYFUNCTION("GOOGLETRANSLATE(C1302, ""en"", ""th"")"),"ชื่อโรคของผู้ป่วยที่มีระดับไตรกลีเซอไรด์สูงสุดในช่วงปกติคืออะไร?")</f>
        <v>ชื่อโรคของผู้ป่วยที่มีระดับไตรกลีเซอไรด์สูงสุดในช่วงปกติคืออะไร?</v>
      </c>
      <c r="F1302" s="1" t="s">
        <v>4874</v>
      </c>
      <c r="G1302" s="1" t="s">
        <v>4875</v>
      </c>
      <c r="H1302" s="1" t="s">
        <v>18</v>
      </c>
    </row>
    <row r="1303">
      <c r="A1303" s="1">
        <v>1301.0</v>
      </c>
      <c r="B1303" s="1" t="s">
        <v>4270</v>
      </c>
      <c r="C1303" s="1" t="s">
        <v>4876</v>
      </c>
      <c r="D1303" s="1" t="s">
        <v>4877</v>
      </c>
      <c r="E1303" s="2" t="str">
        <f>IFERROR(__xludf.DUMMYFUNCTION("GOOGLETRANSLATE(C1303, ""en"", ""th"")"),"โปรดระบุ ID ของผู้ป่วยที่ไม่มีภาวะลิ่มเลือดอุดตันและมีระดับครีเอตินีนฟอสโฟไคเนสผิดปกติ")</f>
        <v>โปรดระบุ ID ของผู้ป่วยที่ไม่มีภาวะลิ่มเลือดอุดตันและมีระดับครีเอตินีนฟอสโฟไคเนสผิดปกติ</v>
      </c>
      <c r="F1303" s="1" t="s">
        <v>4878</v>
      </c>
      <c r="G1303" s="1" t="s">
        <v>4879</v>
      </c>
      <c r="H1303" s="1" t="s">
        <v>13</v>
      </c>
    </row>
    <row r="1304">
      <c r="A1304" s="1">
        <v>1302.0</v>
      </c>
      <c r="B1304" s="1" t="s">
        <v>4270</v>
      </c>
      <c r="C1304" s="1" t="s">
        <v>4880</v>
      </c>
      <c r="D1304" s="1" t="s">
        <v>4881</v>
      </c>
      <c r="E1304" s="2" t="str">
        <f>IFERROR(__xludf.DUMMYFUNCTION("GOOGLETRANSLATE(C1304, ""en"", ""th"")"),"สำหรับผู้ป่วยที่มีระดับครีเอตินีน ฟอสโฟไคเนส ในระดับปกติ มีกี่รายที่มีระดับการแข็งตัวของเลือดเป็นบวก?")</f>
        <v>สำหรับผู้ป่วยที่มีระดับครีเอตินีน ฟอสโฟไคเนส ในระดับปกติ มีกี่รายที่มีระดับการแข็งตัวของเลือดเป็นบวก?</v>
      </c>
      <c r="F1304" s="1" t="s">
        <v>4882</v>
      </c>
      <c r="G1304" s="1" t="s">
        <v>4883</v>
      </c>
      <c r="H1304" s="1" t="s">
        <v>101</v>
      </c>
    </row>
    <row r="1305">
      <c r="A1305" s="1">
        <v>1303.0</v>
      </c>
      <c r="B1305" s="1" t="s">
        <v>4270</v>
      </c>
      <c r="C1305" s="1" t="s">
        <v>4884</v>
      </c>
      <c r="D1305" s="1" t="s">
        <v>4885</v>
      </c>
      <c r="E1305" s="2" t="str">
        <f>IFERROR(__xludf.DUMMYFUNCTION("GOOGLETRANSLATE(C1305, ""en"", ""th"")"),"วันเกิดคนไข้อายุมากที่สุดที่ระดับน้ำตาลในเลือดผิดปกติคือเมื่อไหร่?")</f>
        <v>วันเกิดคนไข้อายุมากที่สุดที่ระดับน้ำตาลในเลือดผิดปกติคือเมื่อไหร่?</v>
      </c>
      <c r="F1305" s="1" t="s">
        <v>4886</v>
      </c>
      <c r="G1305" s="1" t="s">
        <v>4887</v>
      </c>
      <c r="H1305" s="1" t="s">
        <v>13</v>
      </c>
    </row>
    <row r="1306">
      <c r="A1306" s="1">
        <v>1304.0</v>
      </c>
      <c r="B1306" s="1" t="s">
        <v>4270</v>
      </c>
      <c r="C1306" s="1" t="s">
        <v>4888</v>
      </c>
      <c r="D1306" s="1" t="s">
        <v>4889</v>
      </c>
      <c r="E1306" s="2" t="str">
        <f>IFERROR(__xludf.DUMMYFUNCTION("GOOGLETRANSLATE(C1306, ""en"", ""th"")"),"ในบรรดาคนไข้ระดับน้ำตาลในเลือดปกติจะมีกี่คนที่ไม่มีภาวะลิ่มเลือดอุดตัน?")</f>
        <v>ในบรรดาคนไข้ระดับน้ำตาลในเลือดปกติจะมีกี่คนที่ไม่มีภาวะลิ่มเลือดอุดตัน?</v>
      </c>
      <c r="F1306" s="1" t="s">
        <v>4890</v>
      </c>
      <c r="G1306" s="1" t="s">
        <v>4891</v>
      </c>
      <c r="H1306" s="1" t="s">
        <v>18</v>
      </c>
    </row>
    <row r="1307">
      <c r="A1307" s="1">
        <v>1305.0</v>
      </c>
      <c r="B1307" s="1" t="s">
        <v>4270</v>
      </c>
      <c r="C1307" s="1" t="s">
        <v>4892</v>
      </c>
      <c r="D1307" s="1" t="s">
        <v>4893</v>
      </c>
      <c r="E1307" s="2" t="str">
        <f>IFERROR(__xludf.DUMMYFUNCTION("GOOGLETRANSLATE(C1307, ""en"", ""th"")"),"คนไข้ที่รับเข้าโรงพยาบาลมีระดับเม็ดเลือดขาวปกติกี่คน?")</f>
        <v>คนไข้ที่รับเข้าโรงพยาบาลมีระดับเม็ดเลือดขาวปกติกี่คน?</v>
      </c>
      <c r="F1307" s="1" t="s">
        <v>4894</v>
      </c>
      <c r="G1307" s="1" t="s">
        <v>4895</v>
      </c>
      <c r="H1307" s="1" t="s">
        <v>18</v>
      </c>
    </row>
    <row r="1308">
      <c r="A1308" s="1">
        <v>1306.0</v>
      </c>
      <c r="B1308" s="1" t="s">
        <v>4270</v>
      </c>
      <c r="C1308" s="1" t="s">
        <v>4896</v>
      </c>
      <c r="D1308" s="1" t="s">
        <v>4897</v>
      </c>
      <c r="E1308" s="2" t="str">
        <f>IFERROR(__xludf.DUMMYFUNCTION("GOOGLETRANSLATE(C1308, ""en"", ""th"")"),"ผู้ป่วยโรค SLE ที่มีระดับเม็ดเลือดขาวปกติมีกี่ราย?")</f>
        <v>ผู้ป่วยโรค SLE ที่มีระดับเม็ดเลือดขาวปกติมีกี่ราย?</v>
      </c>
      <c r="F1308" s="1" t="s">
        <v>4898</v>
      </c>
      <c r="G1308" s="1" t="s">
        <v>4899</v>
      </c>
      <c r="H1308" s="1" t="s">
        <v>13</v>
      </c>
    </row>
    <row r="1309">
      <c r="A1309" s="1">
        <v>1307.0</v>
      </c>
      <c r="B1309" s="1" t="s">
        <v>4270</v>
      </c>
      <c r="C1309" s="1" t="s">
        <v>4900</v>
      </c>
      <c r="D1309" s="1" t="s">
        <v>4901</v>
      </c>
      <c r="E1309" s="2" t="str">
        <f>IFERROR(__xludf.DUMMYFUNCTION("GOOGLETRANSLATE(C1309, ""en"", ""th"")"),"โปรดระบุรหัสผู้ป่วยหากเขามีระดับเม็ดเลือดแดงผิดปกติและเข้ารับการติดตามที่คลินิกผู้ป่วยนอก")</f>
        <v>โปรดระบุรหัสผู้ป่วยหากเขามีระดับเม็ดเลือดแดงผิดปกติและเข้ารับการติดตามที่คลินิกผู้ป่วยนอก</v>
      </c>
      <c r="F1309" s="1" t="s">
        <v>4902</v>
      </c>
      <c r="G1309" s="1" t="s">
        <v>4903</v>
      </c>
      <c r="H1309" s="1" t="s">
        <v>101</v>
      </c>
    </row>
    <row r="1310">
      <c r="A1310" s="1">
        <v>1308.0</v>
      </c>
      <c r="B1310" s="1" t="s">
        <v>4270</v>
      </c>
      <c r="C1310" s="1" t="s">
        <v>4904</v>
      </c>
      <c r="D1310" s="1" t="s">
        <v>4905</v>
      </c>
      <c r="E1310" s="2" t="str">
        <f>IFERROR(__xludf.DUMMYFUNCTION("GOOGLETRANSLATE(C1310, ""en"", ""th"")"),"ในบรรดาคนไข้ที่มีระดับเกล็ดเลือดปกติ สังเกตอาการอื่น ๆ อีกกี่ราย?")</f>
        <v>ในบรรดาคนไข้ที่มีระดับเกล็ดเลือดปกติ สังเกตอาการอื่น ๆ อีกกี่ราย?</v>
      </c>
      <c r="F1310" s="1" t="s">
        <v>4906</v>
      </c>
      <c r="G1310" s="1" t="s">
        <v>4907</v>
      </c>
      <c r="H1310" s="1" t="s">
        <v>18</v>
      </c>
    </row>
    <row r="1311">
      <c r="A1311" s="1">
        <v>1309.0</v>
      </c>
      <c r="B1311" s="1" t="s">
        <v>4270</v>
      </c>
      <c r="C1311" s="1" t="s">
        <v>4908</v>
      </c>
      <c r="D1311" s="1" t="s">
        <v>4909</v>
      </c>
      <c r="E1311" s="2" t="str">
        <f>IFERROR(__xludf.DUMMYFUNCTION("GOOGLETRANSLATE(C1311, ""en"", ""th"")"),"โปรดระบุระดับเกล็ดเลือดของผู้ป่วยหากอยู่ในช่วงปกติ และหากเขาหรือเธอได้รับการวินิจฉัยว่าเป็นโรค MCTD")</f>
        <v>โปรดระบุระดับเกล็ดเลือดของผู้ป่วยหากอยู่ในช่วงปกติ และหากเขาหรือเธอได้รับการวินิจฉัยว่าเป็นโรค MCTD</v>
      </c>
      <c r="F1311" s="1" t="s">
        <v>4910</v>
      </c>
      <c r="G1311" s="1" t="s">
        <v>4911</v>
      </c>
      <c r="H1311" s="1" t="s">
        <v>18</v>
      </c>
    </row>
    <row r="1312">
      <c r="A1312" s="1">
        <v>1310.0</v>
      </c>
      <c r="B1312" s="1" t="s">
        <v>4270</v>
      </c>
      <c r="C1312" s="1" t="s">
        <v>4912</v>
      </c>
      <c r="D1312" s="1" t="s">
        <v>4913</v>
      </c>
      <c r="E1312" s="2" t="str">
        <f>IFERROR(__xludf.DUMMYFUNCTION("GOOGLETRANSLATE(C1312, ""en"", ""th"")"),"คนไข้ชายที่มี prothrombin time ปกติ ค่าเฉลี่ยของ prothrombin time คือเท่าไร?")</f>
        <v>คนไข้ชายที่มี prothrombin time ปกติ ค่าเฉลี่ยของ prothrombin time คือเท่าไร?</v>
      </c>
      <c r="F1312" s="1" t="s">
        <v>4914</v>
      </c>
      <c r="G1312" s="1" t="s">
        <v>4915</v>
      </c>
      <c r="H1312" s="1" t="s">
        <v>13</v>
      </c>
    </row>
    <row r="1313">
      <c r="A1313" s="1">
        <v>1311.0</v>
      </c>
      <c r="B1313" s="1" t="s">
        <v>4270</v>
      </c>
      <c r="C1313" s="1" t="s">
        <v>4916</v>
      </c>
      <c r="D1313" s="1" t="s">
        <v>4917</v>
      </c>
      <c r="E1313" s="2" t="str">
        <f>IFERROR(__xludf.DUMMYFUNCTION("GOOGLETRANSLATE(C1313, ""en"", ""th"")"),"คนไข้ที่เป็นโรคลิ่มเลือดอุดตันรุนแรงจะมี prothrombin time ปกติกี่ราย?")</f>
        <v>คนไข้ที่เป็นโรคลิ่มเลือดอุดตันรุนแรงจะมี prothrombin time ปกติกี่ราย?</v>
      </c>
      <c r="F1313" s="1" t="s">
        <v>4918</v>
      </c>
      <c r="G1313" s="1" t="s">
        <v>4919</v>
      </c>
      <c r="H1313" s="1" t="s">
        <v>18</v>
      </c>
    </row>
    <row r="1314">
      <c r="A1314" s="1">
        <v>1312.0</v>
      </c>
      <c r="B1314" s="1" t="s">
        <v>4920</v>
      </c>
      <c r="C1314" s="1" t="s">
        <v>4921</v>
      </c>
      <c r="D1314" s="1" t="s">
        <v>4922</v>
      </c>
      <c r="E1314" s="2" t="str">
        <f>IFERROR(__xludf.DUMMYFUNCTION("GOOGLETRANSLATE(C1314, ""en"", ""th"")"),"วิชาเอกของ Angela Sanders คืออะไร?")</f>
        <v>วิชาเอกของ Angela Sanders คืออะไร?</v>
      </c>
      <c r="F1314" s="1" t="s">
        <v>4923</v>
      </c>
      <c r="G1314" s="1" t="s">
        <v>4924</v>
      </c>
      <c r="H1314" s="1" t="s">
        <v>13</v>
      </c>
    </row>
    <row r="1315">
      <c r="A1315" s="1">
        <v>1313.0</v>
      </c>
      <c r="B1315" s="1" t="s">
        <v>4920</v>
      </c>
      <c r="C1315" s="1" t="s">
        <v>4925</v>
      </c>
      <c r="E1315" s="2" t="str">
        <f>IFERROR(__xludf.DUMMYFUNCTION("GOOGLETRANSLATE(C1315, ""en"", ""th"")"),"นักเรียนใน Student_Club มาจากวิทยาลัยวิศวกรรมศาสตร์มีกี่คน")</f>
        <v>นักเรียนใน Student_Club มาจากวิทยาลัยวิศวกรรมศาสตร์มีกี่คน</v>
      </c>
      <c r="G1315" s="1" t="s">
        <v>4926</v>
      </c>
      <c r="H1315" s="1" t="s">
        <v>13</v>
      </c>
    </row>
    <row r="1316">
      <c r="A1316" s="1">
        <v>1314.0</v>
      </c>
      <c r="B1316" s="1" t="s">
        <v>4920</v>
      </c>
      <c r="C1316" s="1" t="s">
        <v>4927</v>
      </c>
      <c r="D1316" s="1" t="s">
        <v>4928</v>
      </c>
      <c r="E1316" s="2" t="str">
        <f>IFERROR(__xludf.DUMMYFUNCTION("GOOGLETRANSLATE(C1316, ""en"", ""th"")"),"กรุณาระบุชื่อเต็มของนักศึกษาใน Student_Club ที่มาจากภาควิชาศิลปะและการออกแบบ")</f>
        <v>กรุณาระบุชื่อเต็มของนักศึกษาใน Student_Club ที่มาจากภาควิชาศิลปะและการออกแบบ</v>
      </c>
      <c r="F1316" s="1" t="s">
        <v>4929</v>
      </c>
      <c r="G1316" s="1" t="s">
        <v>4930</v>
      </c>
      <c r="H1316" s="1" t="s">
        <v>13</v>
      </c>
    </row>
    <row r="1317">
      <c r="A1317" s="1">
        <v>1315.0</v>
      </c>
      <c r="B1317" s="1" t="s">
        <v>4920</v>
      </c>
      <c r="C1317" s="1" t="s">
        <v>4931</v>
      </c>
      <c r="D1317" s="1" t="s">
        <v>4932</v>
      </c>
      <c r="E1317" s="2" t="str">
        <f>IFERROR(__xludf.DUMMYFUNCTION("GOOGLETRANSLATE(C1317, ""en"", ""th"")"),"Student_Club มีนักเรียนเข้าร่วมงาน ""ฟุตบอลหญิง"" จำนวนกี่คน?")</f>
        <v>Student_Club มีนักเรียนเข้าร่วมงาน "ฟุตบอลหญิง" จำนวนกี่คน?</v>
      </c>
      <c r="F1317" s="1" t="s">
        <v>4933</v>
      </c>
      <c r="G1317" s="1" t="s">
        <v>4934</v>
      </c>
      <c r="H1317" s="1" t="s">
        <v>13</v>
      </c>
    </row>
    <row r="1318">
      <c r="A1318" s="1">
        <v>1316.0</v>
      </c>
      <c r="B1318" s="1" t="s">
        <v>4920</v>
      </c>
      <c r="C1318" s="1" t="s">
        <v>4935</v>
      </c>
      <c r="D1318" s="1" t="s">
        <v>4936</v>
      </c>
      <c r="E1318" s="2" t="str">
        <f>IFERROR(__xludf.DUMMYFUNCTION("GOOGLETRANSLATE(C1318, ""en"", ""th"")"),"กรุณาระบุหมายเลขโทรศัพท์ของนักเรียนจาก Student_Club ที่เข้าร่วมกิจกรรม ""ฟุตบอลหญิง""")</f>
        <v>กรุณาระบุหมายเลขโทรศัพท์ของนักเรียนจาก Student_Club ที่เข้าร่วมกิจกรรม "ฟุตบอลหญิง"</v>
      </c>
      <c r="F1318" s="1" t="s">
        <v>4937</v>
      </c>
      <c r="G1318" s="1" t="s">
        <v>4938</v>
      </c>
      <c r="H1318" s="1" t="s">
        <v>18</v>
      </c>
    </row>
    <row r="1319">
      <c r="A1319" s="1">
        <v>1317.0</v>
      </c>
      <c r="B1319" s="1" t="s">
        <v>4920</v>
      </c>
      <c r="C1319" s="1" t="s">
        <v>4939</v>
      </c>
      <c r="D1319" s="1" t="s">
        <v>4940</v>
      </c>
      <c r="E1319" s="2" t="str">
        <f>IFERROR(__xludf.DUMMYFUNCTION("GOOGLETRANSLATE(C1319, ""en"", ""th"")"),"ในบรรดานักศึกษา Student_Club ที่เข้าร่วมงาน ""ฟุตบอลหญิง"" มีกี่คนที่อยากได้เสื้อยืดขนาดกลาง?")</f>
        <v>ในบรรดานักศึกษา Student_Club ที่เข้าร่วมงาน "ฟุตบอลหญิง" มีกี่คนที่อยากได้เสื้อยืดขนาดกลาง?</v>
      </c>
      <c r="F1319" s="1" t="s">
        <v>4941</v>
      </c>
      <c r="G1319" s="1" t="s">
        <v>4942</v>
      </c>
      <c r="H1319" s="1" t="s">
        <v>18</v>
      </c>
    </row>
    <row r="1320">
      <c r="A1320" s="1">
        <v>1318.0</v>
      </c>
      <c r="B1320" s="1" t="s">
        <v>4920</v>
      </c>
      <c r="C1320" s="1" t="s">
        <v>4943</v>
      </c>
      <c r="D1320" s="1" t="s">
        <v>4944</v>
      </c>
      <c r="E1320" s="2" t="str">
        <f>IFERROR(__xludf.DUMMYFUNCTION("GOOGLETRANSLATE(C1320, ""en"", ""th"")"),"งานใดที่มีนักศึกษาจาก Student_Club เข้าร่วมมากที่สุด?")</f>
        <v>งานใดที่มีนักศึกษาจาก Student_Club เข้าร่วมมากที่สุด?</v>
      </c>
      <c r="F1320" s="1" t="s">
        <v>4945</v>
      </c>
      <c r="G1320" s="1" t="s">
        <v>4946</v>
      </c>
      <c r="H1320" s="1" t="s">
        <v>13</v>
      </c>
    </row>
    <row r="1321">
      <c r="A1321" s="1">
        <v>1319.0</v>
      </c>
      <c r="B1321" s="1" t="s">
        <v>4920</v>
      </c>
      <c r="C1321" s="1" t="s">
        <v>4947</v>
      </c>
      <c r="D1321" s="1" t="s">
        <v>4948</v>
      </c>
      <c r="E1321" s="2" t="str">
        <f>IFERROR(__xludf.DUMMYFUNCTION("GOOGLETRANSLATE(C1321, ""en"", ""th"")"),"รองประธาน Student_Club มาจากวิทยาลัยใด")</f>
        <v>รองประธาน Student_Club มาจากวิทยาลัยใด</v>
      </c>
      <c r="F1321" s="1" t="s">
        <v>4949</v>
      </c>
      <c r="G1321" s="1" t="s">
        <v>4950</v>
      </c>
      <c r="H1321" s="1" t="s">
        <v>13</v>
      </c>
    </row>
    <row r="1322">
      <c r="A1322" s="1">
        <v>1320.0</v>
      </c>
      <c r="B1322" s="1" t="s">
        <v>4920</v>
      </c>
      <c r="C1322" s="1" t="s">
        <v>4951</v>
      </c>
      <c r="E1322" s="2" t="str">
        <f>IFERROR(__xludf.DUMMYFUNCTION("GOOGLETRANSLATE(C1322, ""en"", ""th"")"),"โปรดระบุชื่อกิจกรรมของกิจกรรมทั้งหมดที่ Maya Mclean เข้าร่วม")</f>
        <v>โปรดระบุชื่อกิจกรรมของกิจกรรมทั้งหมดที่ Maya Mclean เข้าร่วม</v>
      </c>
      <c r="G1322" s="1" t="s">
        <v>4952</v>
      </c>
      <c r="H1322" s="1" t="s">
        <v>13</v>
      </c>
    </row>
    <row r="1323">
      <c r="A1323" s="1">
        <v>1321.0</v>
      </c>
      <c r="B1323" s="1" t="s">
        <v>4920</v>
      </c>
      <c r="C1323" s="1" t="s">
        <v>4953</v>
      </c>
      <c r="D1323" s="1" t="s">
        <v>4954</v>
      </c>
      <c r="E1323" s="2" t="str">
        <f>IFERROR(__xludf.DUMMYFUNCTION("GOOGLETRANSLATE(C1323, ""en"", ""th"")"),"Sacha Harrison เข้าร่วมกิจกรรม Student_Club กี่ครั้งในปี 2019")</f>
        <v>Sacha Harrison เข้าร่วมกิจกรรม Student_Club กี่ครั้งในปี 2019</v>
      </c>
      <c r="F1323" s="1" t="s">
        <v>4955</v>
      </c>
      <c r="G1323" s="1" t="s">
        <v>4956</v>
      </c>
      <c r="H1323" s="1" t="s">
        <v>18</v>
      </c>
    </row>
    <row r="1324">
      <c r="A1324" s="1">
        <v>1322.0</v>
      </c>
      <c r="B1324" s="1" t="s">
        <v>4920</v>
      </c>
      <c r="C1324" s="1" t="s">
        <v>4957</v>
      </c>
      <c r="D1324" s="1" t="s">
        <v>4958</v>
      </c>
      <c r="E1324" s="2" t="str">
        <f>IFERROR(__xludf.DUMMYFUNCTION("GOOGLETRANSLATE(C1324, ""en"", ""th"")"),"ในบรรดากิจกรรมที่มีสมาชิก Student_Club มากกว่า 10 คนเข้าร่วม มีการประชุมกี่รายการ?")</f>
        <v>ในบรรดากิจกรรมที่มีสมาชิก Student_Club มากกว่า 10 คนเข้าร่วม มีการประชุมกี่รายการ?</v>
      </c>
      <c r="F1324" s="1" t="s">
        <v>4959</v>
      </c>
      <c r="G1324" s="1" t="s">
        <v>4960</v>
      </c>
      <c r="H1324" s="1" t="s">
        <v>18</v>
      </c>
    </row>
    <row r="1325">
      <c r="A1325" s="1">
        <v>1323.0</v>
      </c>
      <c r="B1325" s="1" t="s">
        <v>4920</v>
      </c>
      <c r="C1325" s="1" t="s">
        <v>4961</v>
      </c>
      <c r="D1325" s="1" t="s">
        <v>4962</v>
      </c>
      <c r="E1325" s="2" t="str">
        <f>IFERROR(__xludf.DUMMYFUNCTION("GOOGLETRANSLATE(C1325, ""en"", ""th"")"),"รายชื่อกิจกรรมทั้งหมดที่มีนักเรียนเข้าร่วมมากกว่า 20 คน แต่ไม่ได้ระดมทุน")</f>
        <v>รายชื่อกิจกรรมทั้งหมดที่มีนักเรียนเข้าร่วมมากกว่า 20 คน แต่ไม่ได้ระดมทุน</v>
      </c>
      <c r="F1325" s="1" t="s">
        <v>4963</v>
      </c>
      <c r="G1325" s="1" t="s">
        <v>4964</v>
      </c>
      <c r="H1325" s="1" t="s">
        <v>18</v>
      </c>
    </row>
    <row r="1326">
      <c r="A1326" s="1">
        <v>1324.0</v>
      </c>
      <c r="B1326" s="1" t="s">
        <v>4920</v>
      </c>
      <c r="C1326" s="1" t="s">
        <v>4965</v>
      </c>
      <c r="D1326" s="1" t="s">
        <v>4966</v>
      </c>
      <c r="E1326" s="2" t="str">
        <f>IFERROR(__xludf.DUMMYFUNCTION("GOOGLETRANSLATE(C1326, ""en"", ""th"")"),"จำนวนผู้เข้าร่วมประชุมโดยเฉลี่ยในปี 2563 เป็นเท่าใด")</f>
        <v>จำนวนผู้เข้าร่วมประชุมโดยเฉลี่ยในปี 2563 เป็นเท่าใด</v>
      </c>
      <c r="F1326" s="1" t="s">
        <v>4967</v>
      </c>
      <c r="G1326" s="1" t="s">
        <v>4968</v>
      </c>
      <c r="H1326" s="1" t="s">
        <v>18</v>
      </c>
    </row>
    <row r="1327">
      <c r="A1327" s="1">
        <v>1325.0</v>
      </c>
      <c r="B1327" s="1" t="s">
        <v>4920</v>
      </c>
      <c r="C1327" s="1" t="s">
        <v>4969</v>
      </c>
      <c r="D1327" s="1" t="s">
        <v>4970</v>
      </c>
      <c r="E1327" s="2" t="str">
        <f>IFERROR(__xludf.DUMMYFUNCTION("GOOGLETRANSLATE(C1327, ""en"", ""th"")"),"สิ่งของที่แพงที่สุดที่ใช้สนับสนุนกิจกรรมของสโมสรคืออะไร?")</f>
        <v>สิ่งของที่แพงที่สุดที่ใช้สนับสนุนกิจกรรมของสโมสรคืออะไร?</v>
      </c>
      <c r="F1327" s="1" t="s">
        <v>4971</v>
      </c>
      <c r="G1327" s="1" t="s">
        <v>4972</v>
      </c>
      <c r="H1327" s="1" t="s">
        <v>13</v>
      </c>
    </row>
    <row r="1328">
      <c r="A1328" s="1">
        <v>1326.0</v>
      </c>
      <c r="B1328" s="1" t="s">
        <v>4920</v>
      </c>
      <c r="C1328" s="1" t="s">
        <v>4973</v>
      </c>
      <c r="D1328" s="3" t="s">
        <v>4974</v>
      </c>
      <c r="E1328" s="2" t="str">
        <f>IFERROR(__xludf.DUMMYFUNCTION("GOOGLETRANSLATE(C1328, ""en"", ""th"")"),"Student_Club มีสาขาวิชาวิศวกรรมสิ่งแวดล้อมกี่คน
")</f>
        <v>Student_Club มีสาขาวิชาวิศวกรรมสิ่งแวดล้อมกี่คน
</v>
      </c>
      <c r="F1328" s="1" t="s">
        <v>4975</v>
      </c>
      <c r="G1328" s="1" t="s">
        <v>4976</v>
      </c>
      <c r="H1328" s="1" t="s">
        <v>13</v>
      </c>
    </row>
    <row r="1329">
      <c r="A1329" s="1">
        <v>1327.0</v>
      </c>
      <c r="B1329" s="1" t="s">
        <v>4920</v>
      </c>
      <c r="C1329" s="1" t="s">
        <v>4977</v>
      </c>
      <c r="D1329" s="1" t="s">
        <v>4978</v>
      </c>
      <c r="E1329" s="2" t="str">
        <f>IFERROR(__xludf.DUMMYFUNCTION("GOOGLETRANSLATE(C1329, ""en"", ""th"")"),"ระบุชื่อเต็มของสมาชิก Student_Club ทุกคนที่เข้าร่วมกิจกรรม ""Laugh Out Loud""")</f>
        <v>ระบุชื่อเต็มของสมาชิก Student_Club ทุกคนที่เข้าร่วมกิจกรรม "Laugh Out Loud"</v>
      </c>
      <c r="F1329" s="1" t="s">
        <v>4979</v>
      </c>
      <c r="G1329" s="1" t="s">
        <v>4980</v>
      </c>
      <c r="H1329" s="1" t="s">
        <v>18</v>
      </c>
    </row>
    <row r="1330">
      <c r="A1330" s="1">
        <v>1328.0</v>
      </c>
      <c r="B1330" s="1" t="s">
        <v>4920</v>
      </c>
      <c r="C1330" s="1" t="s">
        <v>4981</v>
      </c>
      <c r="D1330" s="3" t="s">
        <v>4982</v>
      </c>
      <c r="E1330" s="2" t="str">
        <f>IFERROR(__xludf.DUMMYFUNCTION("GOOGLETRANSLATE(C1330, ""en"", ""th"")"),"ระบุนามสกุลของนักศึกษาทุกคนที่เรียนวิชาเอกกฎหมายและรัฐธรรมนูญศึกษา 
")</f>
        <v>ระบุนามสกุลของนักศึกษาทุกคนที่เรียนวิชาเอกกฎหมายและรัฐธรรมนูญศึกษา 
</v>
      </c>
      <c r="F1330" s="1" t="s">
        <v>4983</v>
      </c>
      <c r="G1330" s="1" t="s">
        <v>4984</v>
      </c>
      <c r="H1330" s="1" t="s">
        <v>13</v>
      </c>
    </row>
    <row r="1331">
      <c r="A1331" s="1">
        <v>1329.0</v>
      </c>
      <c r="B1331" s="1" t="s">
        <v>4920</v>
      </c>
      <c r="C1331" s="1" t="s">
        <v>4985</v>
      </c>
      <c r="E1331" s="2" t="str">
        <f>IFERROR(__xludf.DUMMYFUNCTION("GOOGLETRANSLATE(C1331, ""en"", ""th"")"),"Sherri Ramsey เติบโตขึ้นมาในเขตใด")</f>
        <v>Sherri Ramsey เติบโตขึ้นมาในเขตใด</v>
      </c>
      <c r="G1331" s="1" t="s">
        <v>4986</v>
      </c>
      <c r="H1331" s="1" t="s">
        <v>13</v>
      </c>
    </row>
    <row r="1332">
      <c r="A1332" s="1">
        <v>1330.0</v>
      </c>
      <c r="B1332" s="1" t="s">
        <v>4920</v>
      </c>
      <c r="C1332" s="1" t="s">
        <v>4987</v>
      </c>
      <c r="E1332" s="2" t="str">
        <f>IFERROR(__xludf.DUMMYFUNCTION("GOOGLETRANSLATE(C1332, ""en"", ""th"")"),"วิทยาลัยใดเปิดสอนสาขาวิชาเอกที่ Tyler Hewitt เข้าเรียน?")</f>
        <v>วิทยาลัยใดเปิดสอนสาขาวิชาเอกที่ Tyler Hewitt เข้าเรียน?</v>
      </c>
      <c r="G1332" s="1" t="s">
        <v>4988</v>
      </c>
      <c r="H1332" s="1" t="s">
        <v>13</v>
      </c>
    </row>
    <row r="1333">
      <c r="A1333" s="1">
        <v>1331.0</v>
      </c>
      <c r="B1333" s="1" t="s">
        <v>4920</v>
      </c>
      <c r="C1333" s="1" t="s">
        <v>4989</v>
      </c>
      <c r="D1333" s="3" t="s">
        <v>4990</v>
      </c>
      <c r="E1333" s="2" t="str">
        <f>IFERROR(__xludf.DUMMYFUNCTION("GOOGLETRANSLATE(C1333, ""en"", ""th"")"),"รองอธิการบดีได้รับเงินจำนวนเท่าใด?")</f>
        <v>รองอธิการบดีได้รับเงินจำนวนเท่าใด?</v>
      </c>
      <c r="F1333" s="1" t="s">
        <v>4991</v>
      </c>
      <c r="G1333" s="1" t="s">
        <v>4992</v>
      </c>
      <c r="H1333" s="1" t="s">
        <v>13</v>
      </c>
    </row>
    <row r="1334">
      <c r="A1334" s="1">
        <v>1332.0</v>
      </c>
      <c r="B1334" s="1" t="s">
        <v>4920</v>
      </c>
      <c r="C1334" s="1" t="s">
        <v>4993</v>
      </c>
      <c r="D1334" s="1" t="s">
        <v>4994</v>
      </c>
      <c r="E1334" s="2" t="str">
        <f>IFERROR(__xludf.DUMMYFUNCTION("GOOGLETRANSLATE(C1334, ""en"", ""th"")"),"สมาชิก Student_Club จ่ายค่าอาหารในการประชุมเดือนกันยายนไปเท่าไร?")</f>
        <v>สมาชิก Student_Club จ่ายค่าอาหารในการประชุมเดือนกันยายนไปเท่าไร?</v>
      </c>
      <c r="F1334" s="1" t="s">
        <v>4995</v>
      </c>
      <c r="G1334" s="1" t="s">
        <v>4996</v>
      </c>
      <c r="H1334" s="1" t="s">
        <v>18</v>
      </c>
    </row>
    <row r="1335">
      <c r="A1335" s="1">
        <v>1333.0</v>
      </c>
      <c r="B1335" s="1" t="s">
        <v>4920</v>
      </c>
      <c r="C1335" s="1" t="s">
        <v>4997</v>
      </c>
      <c r="D1335" s="3" t="s">
        <v>4998</v>
      </c>
      <c r="E1335" s="2" t="str">
        <f>IFERROR(__xludf.DUMMYFUNCTION("GOOGLETRANSLATE(C1335, ""en"", ""th"")"),"ประธาน Student_Club เติบโตขึ้นมาในเมืองและรัฐใด?")</f>
        <v>ประธาน Student_Club เติบโตขึ้นมาในเมืองและรัฐใด?</v>
      </c>
      <c r="F1335" s="1" t="s">
        <v>4999</v>
      </c>
      <c r="G1335" s="1" t="s">
        <v>5000</v>
      </c>
      <c r="H1335" s="1" t="s">
        <v>13</v>
      </c>
    </row>
    <row r="1336">
      <c r="A1336" s="1">
        <v>1334.0</v>
      </c>
      <c r="B1336" s="1" t="s">
        <v>4920</v>
      </c>
      <c r="C1336" s="1" t="s">
        <v>5001</v>
      </c>
      <c r="D1336" s="1" t="s">
        <v>5002</v>
      </c>
      <c r="E1336" s="2" t="str">
        <f>IFERROR(__xludf.DUMMYFUNCTION("GOOGLETRANSLATE(C1336, ""en"", ""th"")"),"ระบุชื่อเต็มของสมาชิก Student_Club ที่เติบโตในรัฐอิลลินอยส์")</f>
        <v>ระบุชื่อเต็มของสมาชิก Student_Club ที่เติบโตในรัฐอิลลินอยส์</v>
      </c>
      <c r="F1336" s="1" t="s">
        <v>5003</v>
      </c>
      <c r="G1336" s="1" t="s">
        <v>5004</v>
      </c>
      <c r="H1336" s="1" t="s">
        <v>13</v>
      </c>
    </row>
    <row r="1337">
      <c r="A1337" s="1">
        <v>1335.0</v>
      </c>
      <c r="B1337" s="1" t="s">
        <v>4920</v>
      </c>
      <c r="C1337" s="1" t="s">
        <v>5005</v>
      </c>
      <c r="D1337" s="1" t="s">
        <v>5006</v>
      </c>
      <c r="E1337" s="2" t="str">
        <f>IFERROR(__xludf.DUMMYFUNCTION("GOOGLETRANSLATE(C1337, ""en"", ""th"")"),"สมาชิก Student_Club เสียค่าโฆษณาในการประชุมเดือนกันยายนไปเท่าไร?")</f>
        <v>สมาชิก Student_Club เสียค่าโฆษณาในการประชุมเดือนกันยายนไปเท่าไร?</v>
      </c>
      <c r="F1337" s="1" t="s">
        <v>5007</v>
      </c>
      <c r="G1337" s="1" t="s">
        <v>5008</v>
      </c>
      <c r="H1337" s="1" t="s">
        <v>18</v>
      </c>
    </row>
    <row r="1338">
      <c r="A1338" s="1">
        <v>1336.0</v>
      </c>
      <c r="B1338" s="1" t="s">
        <v>4920</v>
      </c>
      <c r="C1338" s="1" t="s">
        <v>5009</v>
      </c>
      <c r="E1338" s="2" t="str">
        <f>IFERROR(__xludf.DUMMYFUNCTION("GOOGLETRANSLATE(C1338, ""en"", ""th"")"),"แผนกใดที่เปิดสอนวิชาเอกที่เพียร์ซและกุยดี้เข้าเรียน?")</f>
        <v>แผนกใดที่เปิดสอนวิชาเอกที่เพียร์ซและกุยดี้เข้าเรียน?</v>
      </c>
      <c r="G1338" s="1" t="s">
        <v>5010</v>
      </c>
      <c r="H1338" s="1" t="s">
        <v>13</v>
      </c>
    </row>
    <row r="1339">
      <c r="A1339" s="1">
        <v>1337.0</v>
      </c>
      <c r="B1339" s="1" t="s">
        <v>4920</v>
      </c>
      <c r="C1339" s="1" t="s">
        <v>5011</v>
      </c>
      <c r="D1339" s="1" t="s">
        <v>5012</v>
      </c>
      <c r="E1339" s="2" t="str">
        <f>IFERROR(__xludf.DUMMYFUNCTION("GOOGLETRANSLATE(C1339, ""en"", ""th"")"),"งบประมาณรวมสำหรับทุกหมวดหมู่ในงาน ""October Speaker"" คือเท่าใด")</f>
        <v>งบประมาณรวมสำหรับทุกหมวดหมู่ในงาน "October Speaker" คือเท่าใด</v>
      </c>
      <c r="F1339" s="1" t="s">
        <v>5013</v>
      </c>
      <c r="G1339" s="1" t="s">
        <v>5014</v>
      </c>
      <c r="H1339" s="1" t="s">
        <v>13</v>
      </c>
    </row>
    <row r="1340">
      <c r="A1340" s="1">
        <v>1338.0</v>
      </c>
      <c r="B1340" s="1" t="s">
        <v>4920</v>
      </c>
      <c r="C1340" s="1" t="s">
        <v>5015</v>
      </c>
      <c r="D1340" s="1" t="s">
        <v>5016</v>
      </c>
      <c r="E1340" s="2" t="str">
        <f>IFERROR(__xludf.DUMMYFUNCTION("GOOGLETRANSLATE(C1340, ""en"", ""th"")"),"ค่าใช้จ่ายแต่ละอย่างในการประชุมเดือนตุลาคม 8 ตุลาคม 2562 ได้รับการอนุมัติหรือไม่?")</f>
        <v>ค่าใช้จ่ายแต่ละอย่างในการประชุมเดือนตุลาคม 8 ตุลาคม 2562 ได้รับการอนุมัติหรือไม่?</v>
      </c>
      <c r="F1340" s="1" t="s">
        <v>5017</v>
      </c>
      <c r="G1340" s="1" t="s">
        <v>5018</v>
      </c>
      <c r="H1340" s="1" t="s">
        <v>18</v>
      </c>
    </row>
    <row r="1341">
      <c r="A1341" s="1">
        <v>1339.0</v>
      </c>
      <c r="B1341" s="1" t="s">
        <v>4920</v>
      </c>
      <c r="C1341" s="1" t="s">
        <v>5019</v>
      </c>
      <c r="D1341" s="1" t="s">
        <v>5020</v>
      </c>
      <c r="E1341" s="2" t="str">
        <f>IFERROR(__xludf.DUMMYFUNCTION("GOOGLETRANSLATE(C1341, ""en"", ""th"")"),"คำนวณต้นทุนเฉลี่ยทั้งหมดที่ Elijah Allen ใช้ในกิจกรรมในเดือนกันยายนและตุลาคม")</f>
        <v>คำนวณต้นทุนเฉลี่ยทั้งหมดที่ Elijah Allen ใช้ในกิจกรรมในเดือนกันยายนและตุลาคม</v>
      </c>
      <c r="F1341" s="1" t="s">
        <v>5021</v>
      </c>
      <c r="G1341" s="1" t="s">
        <v>5022</v>
      </c>
      <c r="H1341" s="1" t="s">
        <v>101</v>
      </c>
    </row>
    <row r="1342">
      <c r="A1342" s="1">
        <v>1340.0</v>
      </c>
      <c r="B1342" s="1" t="s">
        <v>4920</v>
      </c>
      <c r="C1342" s="1" t="s">
        <v>5023</v>
      </c>
      <c r="D1342" s="1" t="s">
        <v>5024</v>
      </c>
      <c r="E1342" s="2" t="str">
        <f>IFERROR(__xludf.DUMMYFUNCTION("GOOGLETRANSLATE(C1342, ""en"", ""th"")"),"คำนวณส่วนต่างของจำนวนเงินทั้งหมดที่ใช้ในกิจกรรมทั้งหมดโดย Student_Club ในปี 2019 และ 2020")</f>
        <v>คำนวณส่วนต่างของจำนวนเงินทั้งหมดที่ใช้ในกิจกรรมทั้งหมดโดย Student_Club ในปี 2019 และ 2020</v>
      </c>
      <c r="F1342" s="1" t="s">
        <v>5025</v>
      </c>
      <c r="G1342" s="1" t="s">
        <v>5026</v>
      </c>
      <c r="H1342" s="1" t="s">
        <v>18</v>
      </c>
    </row>
    <row r="1343">
      <c r="A1343" s="1">
        <v>1341.0</v>
      </c>
      <c r="B1343" s="1" t="s">
        <v>4920</v>
      </c>
      <c r="C1343" s="1" t="s">
        <v>5027</v>
      </c>
      <c r="D1343" s="3" t="s">
        <v>5028</v>
      </c>
      <c r="E1343" s="2" t="str">
        <f>IFERROR(__xludf.DUMMYFUNCTION("GOOGLETRANSLATE(C1343, ""en"", ""th"")"),"ระบุสถานที่สำหรับ ""Spring Budget Review""")</f>
        <v>ระบุสถานที่สำหรับ "Spring Budget Review"</v>
      </c>
      <c r="F1343" s="1" t="s">
        <v>5029</v>
      </c>
      <c r="G1343" s="1" t="s">
        <v>5030</v>
      </c>
      <c r="H1343" s="1" t="s">
        <v>13</v>
      </c>
    </row>
    <row r="1344">
      <c r="A1344" s="1">
        <v>1342.0</v>
      </c>
      <c r="B1344" s="1" t="s">
        <v>4920</v>
      </c>
      <c r="C1344" s="1" t="s">
        <v>5031</v>
      </c>
      <c r="D1344" s="3" t="s">
        <v>5032</v>
      </c>
      <c r="E1344" s="2" t="str">
        <f>IFERROR(__xludf.DUMMYFUNCTION("GOOGLETRANSLATE(C1344, ""en"", ""th"")"),"""โปสเตอร์"" ในวันที่ 4/9/2019 ราคาเท่าไหร่?")</f>
        <v>"โปสเตอร์" ในวันที่ 4/9/2019 ราคาเท่าไหร่?</v>
      </c>
      <c r="F1344" s="1" t="s">
        <v>5033</v>
      </c>
      <c r="G1344" s="1" t="s">
        <v>5034</v>
      </c>
      <c r="H1344" s="1" t="s">
        <v>13</v>
      </c>
    </row>
    <row r="1345">
      <c r="A1345" s="1">
        <v>1343.0</v>
      </c>
      <c r="B1345" s="1" t="s">
        <v>4920</v>
      </c>
      <c r="C1345" s="1" t="s">
        <v>5035</v>
      </c>
      <c r="D1345" s="1" t="s">
        <v>5036</v>
      </c>
      <c r="E1345" s="2" t="str">
        <f>IFERROR(__xludf.DUMMYFUNCTION("GOOGLETRANSLATE(C1345, ""en"", ""th"")"),"ด้วยงบประมาณที่ใหญ่ที่สุดสำหรับ ""อาหาร"" จะเหลืออะไร?")</f>
        <v>ด้วยงบประมาณที่ใหญ่ที่สุดสำหรับ "อาหาร" จะเหลืออะไร?</v>
      </c>
      <c r="F1345" s="1" t="s">
        <v>5037</v>
      </c>
      <c r="G1345" s="1" t="s">
        <v>5038</v>
      </c>
      <c r="H1345" s="1" t="s">
        <v>13</v>
      </c>
    </row>
    <row r="1346">
      <c r="A1346" s="1">
        <v>1344.0</v>
      </c>
      <c r="B1346" s="1" t="s">
        <v>4920</v>
      </c>
      <c r="C1346" s="1" t="s">
        <v>5039</v>
      </c>
      <c r="D1346" s="1" t="s">
        <v>5040</v>
      </c>
      <c r="E1346" s="2" t="str">
        <f>IFERROR(__xludf.DUMMYFUNCTION("GOOGLETRANSLATE(C1346, ""en"", ""th"")"),"บันทึกการระดมทุนในวันที่ 2019/9/57 คืออะไร")</f>
        <v>บันทึกการระดมทุนในวันที่ 2019/9/57 คืออะไร</v>
      </c>
      <c r="F1346" s="1" t="s">
        <v>5041</v>
      </c>
      <c r="G1346" s="1" t="s">
        <v>5042</v>
      </c>
      <c r="H1346" s="1" t="s">
        <v>13</v>
      </c>
    </row>
    <row r="1347">
      <c r="A1347" s="1">
        <v>1345.0</v>
      </c>
      <c r="B1347" s="1" t="s">
        <v>4920</v>
      </c>
      <c r="C1347" s="1" t="s">
        <v>5043</v>
      </c>
      <c r="E1347" s="2" t="str">
        <f>IFERROR(__xludf.DUMMYFUNCTION("GOOGLETRANSLATE(C1347, ""en"", ""th"")"),"""วิทยาลัยมนุษยศาสตร์และสังคมศาสตร์"" มีกี่สาขาวิชา?")</f>
        <v>"วิทยาลัยมนุษยศาสตร์และสังคมศาสตร์" มีกี่สาขาวิชา?</v>
      </c>
      <c r="G1347" s="1" t="s">
        <v>5044</v>
      </c>
      <c r="H1347" s="1" t="s">
        <v>13</v>
      </c>
    </row>
    <row r="1348">
      <c r="A1348" s="1">
        <v>1346.0</v>
      </c>
      <c r="B1348" s="1" t="s">
        <v>4920</v>
      </c>
      <c r="C1348" s="1" t="s">
        <v>5045</v>
      </c>
      <c r="D1348" s="1" t="s">
        <v>5046</v>
      </c>
      <c r="E1348" s="2" t="str">
        <f>IFERROR(__xludf.DUMMYFUNCTION("GOOGLETRANSLATE(C1348, ""en"", ""th"")"),"แจ้งหมายเลขโทรศัพท์ของ ""คาร์โล จาคอบส์""")</f>
        <v>แจ้งหมายเลขโทรศัพท์ของ "คาร์โล จาคอบส์"</v>
      </c>
      <c r="F1348" s="1" t="s">
        <v>5047</v>
      </c>
      <c r="G1348" s="1" t="s">
        <v>5048</v>
      </c>
      <c r="H1348" s="1" t="s">
        <v>13</v>
      </c>
    </row>
    <row r="1349">
      <c r="A1349" s="1">
        <v>1347.0</v>
      </c>
      <c r="B1349" s="1" t="s">
        <v>4920</v>
      </c>
      <c r="C1349" s="1" t="s">
        <v>5049</v>
      </c>
      <c r="D1349" s="1" t="s">
        <v>5050</v>
      </c>
      <c r="E1349" s="2" t="str">
        <f>IFERROR(__xludf.DUMMYFUNCTION("GOOGLETRANSLATE(C1349, ""en"", ""th"")"),"บอกเขตบ้านเกิดของ ""อเดลา โอ'กัลลาเกอร์""")</f>
        <v>บอกเขตบ้านเกิดของ "อเดลา โอ'กัลลาเกอร์"</v>
      </c>
      <c r="F1349" s="1" t="s">
        <v>5051</v>
      </c>
      <c r="G1349" s="1" t="s">
        <v>5052</v>
      </c>
      <c r="H1349" s="1" t="s">
        <v>13</v>
      </c>
    </row>
    <row r="1350">
      <c r="A1350" s="1">
        <v>1348.0</v>
      </c>
      <c r="B1350" s="1" t="s">
        <v>4920</v>
      </c>
      <c r="C1350" s="1" t="s">
        <v>5053</v>
      </c>
      <c r="D1350" s="3" t="s">
        <v>5054</v>
      </c>
      <c r="E1350" s="2" t="str">
        <f>IFERROR(__xludf.DUMMYFUNCTION("GOOGLETRANSLATE(C1350, ""en"", ""th"")"),"งบประมาณทั้งหมดสำหรับ ""การประชุมเดือนพฤศจิกายน"" มีกี่รายที่เกินงบประมาณ?")</f>
        <v>งบประมาณทั้งหมดสำหรับ "การประชุมเดือนพฤศจิกายน" มีกี่รายที่เกินงบประมาณ?</v>
      </c>
      <c r="F1350" s="1" t="s">
        <v>5055</v>
      </c>
      <c r="G1350" s="1" t="s">
        <v>5056</v>
      </c>
      <c r="H1350" s="1" t="s">
        <v>13</v>
      </c>
    </row>
    <row r="1351">
      <c r="A1351" s="1">
        <v>1349.0</v>
      </c>
      <c r="B1351" s="1" t="s">
        <v>4920</v>
      </c>
      <c r="C1351" s="1" t="s">
        <v>5057</v>
      </c>
      <c r="D1351" s="3" t="s">
        <v>5058</v>
      </c>
      <c r="E1351" s="2" t="str">
        <f>IFERROR(__xludf.DUMMYFUNCTION("GOOGLETRANSLATE(C1351, ""en"", ""th"")"),"ระบุจำนวนงบประมาณทั้งหมดสำหรับงาน ""วิทยากรเดือนกันยายน""")</f>
        <v>ระบุจำนวนงบประมาณทั้งหมดสำหรับงาน "วิทยากรเดือนกันยายน"</v>
      </c>
      <c r="F1351" s="1" t="s">
        <v>5059</v>
      </c>
      <c r="G1351" s="1" t="s">
        <v>5060</v>
      </c>
      <c r="H1351" s="1" t="s">
        <v>13</v>
      </c>
    </row>
    <row r="1352">
      <c r="A1352" s="1">
        <v>1350.0</v>
      </c>
      <c r="B1352" s="1" t="s">
        <v>4920</v>
      </c>
      <c r="C1352" s="1" t="s">
        <v>5061</v>
      </c>
      <c r="D1352" s="3" t="s">
        <v>5062</v>
      </c>
      <c r="E1352" s="2" t="str">
        <f>IFERROR(__xludf.DUMMYFUNCTION("GOOGLETRANSLATE(C1352, ""en"", ""th"")"),"สถานะงานที่ซื้อ ""โปสการ์ด โปสเตอร์"" เมื่อวันที่ 8/8/2019 เป็นอย่างไร")</f>
        <v>สถานะงานที่ซื้อ "โปสการ์ด โปสเตอร์" เมื่อวันที่ 8/8/2019 เป็นอย่างไร</v>
      </c>
      <c r="F1352" s="1" t="s">
        <v>5063</v>
      </c>
      <c r="G1352" s="1" t="s">
        <v>5064</v>
      </c>
      <c r="H1352" s="1" t="s">
        <v>18</v>
      </c>
    </row>
    <row r="1353">
      <c r="A1353" s="1">
        <v>1351.0</v>
      </c>
      <c r="B1353" s="1" t="s">
        <v>4920</v>
      </c>
      <c r="C1353" s="1" t="s">
        <v>5065</v>
      </c>
      <c r="D1353" s="1" t="s">
        <v>5066</v>
      </c>
      <c r="E1353" s="2" t="str">
        <f>IFERROR(__xludf.DUMMYFUNCTION("GOOGLETRANSLATE(C1353, ""en"", ""th"")"),"วิชาเอกของ Brent Thomason คืออะไร?")</f>
        <v>วิชาเอกของ Brent Thomason คืออะไร?</v>
      </c>
      <c r="F1353" s="1" t="s">
        <v>5067</v>
      </c>
      <c r="G1353" s="1" t="s">
        <v>5068</v>
      </c>
      <c r="H1353" s="1" t="s">
        <v>13</v>
      </c>
    </row>
    <row r="1354">
      <c r="A1354" s="1">
        <v>1352.0</v>
      </c>
      <c r="B1354" s="1" t="s">
        <v>4920</v>
      </c>
      <c r="C1354" s="1" t="s">
        <v>5069</v>
      </c>
      <c r="D1354" s="3" t="s">
        <v>5070</v>
      </c>
      <c r="E1354" s="2" t="str">
        <f>IFERROR(__xludf.DUMMYFUNCTION("GOOGLETRANSLATE(C1354, ""en"", ""th"")"),"สำหรับสมาชิกชมรม ""ธุรกิจ"" เมเจอร์ มีกี่คนที่สวมเสื้อยืดขนาดกลาง?")</f>
        <v>สำหรับสมาชิกชมรม "ธุรกิจ" เมเจอร์ มีกี่คนที่สวมเสื้อยืดขนาดกลาง?</v>
      </c>
      <c r="F1354" s="1" t="s">
        <v>5071</v>
      </c>
      <c r="G1354" s="1" t="s">
        <v>5072</v>
      </c>
      <c r="H1354" s="1" t="s">
        <v>18</v>
      </c>
    </row>
    <row r="1355">
      <c r="A1355" s="1">
        <v>1353.0</v>
      </c>
      <c r="B1355" s="1" t="s">
        <v>4920</v>
      </c>
      <c r="C1355" s="1" t="s">
        <v>5073</v>
      </c>
      <c r="E1355" s="2" t="str">
        <f>IFERROR(__xludf.DUMMYFUNCTION("GOOGLETRANSLATE(C1355, ""en"", ""th"")"),"รหัสไปรษณีย์ของ Christof Nielson คืออะไร")</f>
        <v>รหัสไปรษณีย์ของ Christof Nielson คืออะไร</v>
      </c>
      <c r="G1355" s="1" t="s">
        <v>5074</v>
      </c>
      <c r="H1355" s="1" t="s">
        <v>13</v>
      </c>
    </row>
    <row r="1356">
      <c r="A1356" s="1">
        <v>1354.0</v>
      </c>
      <c r="B1356" s="1" t="s">
        <v>4920</v>
      </c>
      <c r="C1356" s="1" t="s">
        <v>5075</v>
      </c>
      <c r="D1356" s="3" t="s">
        <v>5076</v>
      </c>
      <c r="E1356" s="2" t="str">
        <f>IFERROR(__xludf.DUMMYFUNCTION("GOOGLETRANSLATE(C1356, ""en"", ""th"")"),"ระบุชื่อรองนายกสโมสร")</f>
        <v>ระบุชื่อรองนายกสโมสร</v>
      </c>
      <c r="F1356" s="1" t="s">
        <v>5077</v>
      </c>
      <c r="G1356" s="1" t="s">
        <v>5078</v>
      </c>
      <c r="H1356" s="1" t="s">
        <v>13</v>
      </c>
    </row>
    <row r="1357">
      <c r="A1357" s="1">
        <v>1355.0</v>
      </c>
      <c r="B1357" s="1" t="s">
        <v>4920</v>
      </c>
      <c r="C1357" s="1" t="s">
        <v>5079</v>
      </c>
      <c r="D1357" s="1" t="s">
        <v>5080</v>
      </c>
      <c r="E1357" s="2" t="str">
        <f>IFERROR(__xludf.DUMMYFUNCTION("GOOGLETRANSLATE(C1357, ""en"", ""th"")"),"บ้านเกิดของ ""ซาชา แฮร์ริสัน"" อยู่ที่ไหน?")</f>
        <v>บ้านเกิดของ "ซาชา แฮร์ริสัน" อยู่ที่ไหน?</v>
      </c>
      <c r="F1357" s="1" t="s">
        <v>5081</v>
      </c>
      <c r="G1357" s="1" t="s">
        <v>5082</v>
      </c>
      <c r="H1357" s="1" t="s">
        <v>13</v>
      </c>
    </row>
    <row r="1358">
      <c r="A1358" s="1">
        <v>1356.0</v>
      </c>
      <c r="B1358" s="1" t="s">
        <v>4920</v>
      </c>
      <c r="C1358" s="1" t="s">
        <v>5083</v>
      </c>
      <c r="D1358" s="3" t="s">
        <v>5084</v>
      </c>
      <c r="E1358" s="2" t="str">
        <f>IFERROR(__xludf.DUMMYFUNCTION("GOOGLETRANSLATE(C1358, ""en"", ""th"")"),"ประธานสโมสรอยู่แผนกใด")</f>
        <v>ประธานสโมสรอยู่แผนกใด</v>
      </c>
      <c r="F1358" s="1" t="s">
        <v>4999</v>
      </c>
      <c r="G1358" s="1" t="s">
        <v>5085</v>
      </c>
      <c r="H1358" s="1" t="s">
        <v>13</v>
      </c>
    </row>
    <row r="1359">
      <c r="A1359" s="1">
        <v>1357.0</v>
      </c>
      <c r="B1359" s="1" t="s">
        <v>4920</v>
      </c>
      <c r="C1359" s="1" t="s">
        <v>5086</v>
      </c>
      <c r="D1359" s="1" t="s">
        <v>5087</v>
      </c>
      <c r="E1359" s="2" t="str">
        <f>IFERROR(__xludf.DUMMYFUNCTION("GOOGLETRANSLATE(C1359, ""en"", ""th"")"),"ระบุวันที่ที่ Connor Hilton ชำระค่าธรรมเนียมของเขา/เธอ")</f>
        <v>ระบุวันที่ที่ Connor Hilton ชำระค่าธรรมเนียมของเขา/เธอ</v>
      </c>
      <c r="F1359" s="1" t="s">
        <v>5088</v>
      </c>
      <c r="G1359" s="1" t="s">
        <v>5089</v>
      </c>
      <c r="H1359" s="1" t="s">
        <v>13</v>
      </c>
    </row>
    <row r="1360">
      <c r="A1360" s="1">
        <v>1358.0</v>
      </c>
      <c r="B1360" s="1" t="s">
        <v>4920</v>
      </c>
      <c r="C1360" s="1" t="s">
        <v>5090</v>
      </c>
      <c r="D1360" s="1" t="s">
        <v>5091</v>
      </c>
      <c r="E1360" s="2" t="str">
        <f>IFERROR(__xludf.DUMMYFUNCTION("GOOGLETRANSLATE(C1360, ""en"", ""th"")"),"ใครเป็นคนแรกที่จ่ายเงินค่าธรรมเนียมของเขา/เธอ? บอกชื่อเต็ม..")</f>
        <v>ใครเป็นคนแรกที่จ่ายเงินค่าธรรมเนียมของเขา/เธอ? บอกชื่อเต็ม..</v>
      </c>
      <c r="F1360" s="1" t="s">
        <v>5092</v>
      </c>
      <c r="G1360" s="1" t="s">
        <v>5093</v>
      </c>
      <c r="H1360" s="1" t="s">
        <v>13</v>
      </c>
    </row>
    <row r="1361">
      <c r="A1361" s="1">
        <v>1359.0</v>
      </c>
      <c r="B1361" s="1" t="s">
        <v>4920</v>
      </c>
      <c r="C1361" s="1" t="s">
        <v>5094</v>
      </c>
      <c r="D1361" s="1" t="s">
        <v>5095</v>
      </c>
      <c r="E1361" s="2" t="str">
        <f>IFERROR(__xludf.DUMMYFUNCTION("GOOGLETRANSLATE(C1361, ""en"", ""th"")"),"งบประมาณในการโฆษณาสำหรับการประชุม ""Yearly Kickoff"" มากกว่า ""การประชุมเดือนตุลาคม"" กี่ครั้ง?")</f>
        <v>งบประมาณในการโฆษณาสำหรับการประชุม "Yearly Kickoff" มากกว่า "การประชุมเดือนตุลาคม" กี่ครั้ง?</v>
      </c>
      <c r="F1361" s="1" t="s">
        <v>5096</v>
      </c>
      <c r="G1361" s="1" t="s">
        <v>5097</v>
      </c>
      <c r="H1361" s="1" t="s">
        <v>101</v>
      </c>
    </row>
    <row r="1362">
      <c r="A1362" s="1">
        <v>1360.0</v>
      </c>
      <c r="B1362" s="1" t="s">
        <v>4920</v>
      </c>
      <c r="C1362" s="1" t="s">
        <v>5098</v>
      </c>
      <c r="D1362" s="1" t="s">
        <v>5099</v>
      </c>
      <c r="E1362" s="2" t="str">
        <f>IFERROR(__xludf.DUMMYFUNCTION("GOOGLETRANSLATE(C1362, ""en"", ""th"")"),"งบประมาณในการจอดรถเป็นเปอร์เซ็นต์เท่าใดกับงบประมาณรวมของ ""วิทยากรเดือนพฤศจิกายน""")</f>
        <v>งบประมาณในการจอดรถเป็นเปอร์เซ็นต์เท่าใดกับงบประมาณรวมของ "วิทยากรเดือนพฤศจิกายน"</v>
      </c>
      <c r="F1362" s="1" t="s">
        <v>5100</v>
      </c>
      <c r="G1362" s="1" t="s">
        <v>5101</v>
      </c>
      <c r="H1362" s="1" t="s">
        <v>18</v>
      </c>
    </row>
    <row r="1363">
      <c r="A1363" s="1">
        <v>1361.0</v>
      </c>
      <c r="B1363" s="1" t="s">
        <v>4920</v>
      </c>
      <c r="C1363" s="1" t="s">
        <v>5102</v>
      </c>
      <c r="D1363" s="1" t="s">
        <v>5103</v>
      </c>
      <c r="E1363" s="2" t="str">
        <f>IFERROR(__xludf.DUMMYFUNCTION("GOOGLETRANSLATE(C1363, ""en"", ""th"")"),"ราคารวมของพิซซ่าสำหรับทุกงานคือเท่าไร?")</f>
        <v>ราคารวมของพิซซ่าสำหรับทุกงานคือเท่าไร?</v>
      </c>
      <c r="F1363" s="1" t="s">
        <v>5104</v>
      </c>
      <c r="G1363" s="1" t="s">
        <v>5105</v>
      </c>
      <c r="H1363" s="1" t="s">
        <v>13</v>
      </c>
    </row>
    <row r="1364">
      <c r="A1364" s="1">
        <v>1362.0</v>
      </c>
      <c r="B1364" s="1" t="s">
        <v>4920</v>
      </c>
      <c r="C1364" s="1" t="s">
        <v>5106</v>
      </c>
      <c r="D1364" s="1" t="s">
        <v>5107</v>
      </c>
      <c r="E1364" s="2" t="str">
        <f>IFERROR(__xludf.DUMMYFUNCTION("GOOGLETRANSLATE(C1364, ""en"", ""th"")"),"ออเรนจ์เคาน์ตี้ รัฐเวอร์จิเนีย มีกี่เมือง")</f>
        <v>ออเรนจ์เคาน์ตี้ รัฐเวอร์จิเนีย มีกี่เมือง</v>
      </c>
      <c r="F1364" s="1" t="s">
        <v>5108</v>
      </c>
      <c r="G1364" s="1" t="s">
        <v>5109</v>
      </c>
      <c r="H1364" s="1" t="s">
        <v>13</v>
      </c>
    </row>
    <row r="1365">
      <c r="A1365" s="1">
        <v>1363.0</v>
      </c>
      <c r="B1365" s="1" t="s">
        <v>4920</v>
      </c>
      <c r="C1365" s="1" t="s">
        <v>5110</v>
      </c>
      <c r="E1365" s="2" t="str">
        <f>IFERROR(__xludf.DUMMYFUNCTION("GOOGLETRANSLATE(C1365, ""en"", ""th"")"),"รายชื่อแผนกวิชาของวิทยาลัยมนุษยศาสตร์และสังคมศาสตร์ทั้งหมด")</f>
        <v>รายชื่อแผนกวิชาของวิทยาลัยมนุษยศาสตร์และสังคมศาสตร์ทั้งหมด</v>
      </c>
      <c r="G1365" s="1" t="s">
        <v>5111</v>
      </c>
      <c r="H1365" s="1" t="s">
        <v>13</v>
      </c>
    </row>
    <row r="1366">
      <c r="A1366" s="1">
        <v>1364.0</v>
      </c>
      <c r="B1366" s="1" t="s">
        <v>4920</v>
      </c>
      <c r="C1366" s="1" t="s">
        <v>5112</v>
      </c>
      <c r="D1366" s="1" t="s">
        <v>5113</v>
      </c>
      <c r="E1366" s="2" t="str">
        <f>IFERROR(__xludf.DUMMYFUNCTION("GOOGLETRANSLATE(C1366, ""en"", ""th"")"),"บ้านเกิดของ Amy Firth อยู่ที่ไหน?")</f>
        <v>บ้านเกิดของ Amy Firth อยู่ที่ไหน?</v>
      </c>
      <c r="F1366" s="1" t="s">
        <v>5114</v>
      </c>
      <c r="G1366" s="1" t="s">
        <v>5115</v>
      </c>
      <c r="H1366" s="1" t="s">
        <v>13</v>
      </c>
    </row>
    <row r="1367">
      <c r="A1367" s="1">
        <v>1365.0</v>
      </c>
      <c r="B1367" s="1" t="s">
        <v>4920</v>
      </c>
      <c r="C1367" s="1" t="s">
        <v>5116</v>
      </c>
      <c r="D1367" s="1" t="s">
        <v>5117</v>
      </c>
      <c r="E1367" s="2" t="str">
        <f>IFERROR(__xludf.DUMMYFUNCTION("GOOGLETRANSLATE(C1367, ""en"", ""th"")"),"ค่าใช้จ่ายของงบประมาณที่เหลือน้อยที่สุดคือเท่าไร?")</f>
        <v>ค่าใช้จ่ายของงบประมาณที่เหลือน้อยที่สุดคือเท่าไร?</v>
      </c>
      <c r="F1367" s="1" t="s">
        <v>5118</v>
      </c>
      <c r="G1367" s="1" t="s">
        <v>5119</v>
      </c>
      <c r="H1367" s="1" t="s">
        <v>13</v>
      </c>
    </row>
    <row r="1368">
      <c r="A1368" s="1">
        <v>1366.0</v>
      </c>
      <c r="B1368" s="1" t="s">
        <v>4920</v>
      </c>
      <c r="C1368" s="1" t="s">
        <v>5120</v>
      </c>
      <c r="D1368" s="3" t="s">
        <v>5121</v>
      </c>
      <c r="E1368" s="2" t="str">
        <f>IFERROR(__xludf.DUMMYFUNCTION("GOOGLETRANSLATE(C1368, ""en"", ""th"")"),"รายชื่อสมาชิกทั้งหมดที่เข้าร่วมงาน ""ประชุมเดือนตุลาคม""")</f>
        <v>รายชื่อสมาชิกทั้งหมดที่เข้าร่วมงาน "ประชุมเดือนตุลาคม"</v>
      </c>
      <c r="F1368" s="1" t="s">
        <v>5122</v>
      </c>
      <c r="G1368" s="1" t="s">
        <v>5123</v>
      </c>
      <c r="H1368" s="1" t="s">
        <v>13</v>
      </c>
    </row>
    <row r="1369">
      <c r="A1369" s="1">
        <v>1367.0</v>
      </c>
      <c r="B1369" s="1" t="s">
        <v>4920</v>
      </c>
      <c r="C1369" s="1" t="s">
        <v>5124</v>
      </c>
      <c r="D1369" s="1" t="s">
        <v>5125</v>
      </c>
      <c r="E1369" s="2" t="str">
        <f>IFERROR(__xludf.DUMMYFUNCTION("GOOGLETRANSLATE(C1369, ""en"", ""th"")"),"สมาชิกส่วนใหญ่ไปเรียนที่วิทยาลัยไหน?")</f>
        <v>สมาชิกส่วนใหญ่ไปเรียนที่วิทยาลัยไหน?</v>
      </c>
      <c r="F1369" s="1" t="s">
        <v>5126</v>
      </c>
      <c r="G1369" s="1" t="s">
        <v>5127</v>
      </c>
      <c r="H1369" s="1" t="s">
        <v>13</v>
      </c>
    </row>
    <row r="1370">
      <c r="A1370" s="1">
        <v>1368.0</v>
      </c>
      <c r="B1370" s="1" t="s">
        <v>4920</v>
      </c>
      <c r="C1370" s="1" t="s">
        <v>5128</v>
      </c>
      <c r="D1370" s="1" t="s">
        <v>5129</v>
      </c>
      <c r="E1370" s="2" t="str">
        <f>IFERROR(__xludf.DUMMYFUNCTION("GOOGLETRANSLATE(C1370, ""en"", ""th"")"),"คนที่มีหมายเลขโทรศัพท์ ""809-555-3360"" วิชาอะไร?")</f>
        <v>คนที่มีหมายเลขโทรศัพท์ "809-555-3360" วิชาอะไร?</v>
      </c>
      <c r="F1370" s="1" t="s">
        <v>5130</v>
      </c>
      <c r="G1370" s="1" t="s">
        <v>5131</v>
      </c>
      <c r="H1370" s="1" t="s">
        <v>13</v>
      </c>
    </row>
    <row r="1371">
      <c r="A1371" s="1">
        <v>1369.0</v>
      </c>
      <c r="B1371" s="1" t="s">
        <v>4920</v>
      </c>
      <c r="C1371" s="1" t="s">
        <v>5132</v>
      </c>
      <c r="D1371" s="1" t="s">
        <v>5133</v>
      </c>
      <c r="E1371" s="2" t="str">
        <f>IFERROR(__xludf.DUMMYFUNCTION("GOOGLETRANSLATE(C1371, ""en"", ""th"")"),"งานใดมีงบประมาณสูงสุด?")</f>
        <v>งานใดมีงบประมาณสูงสุด?</v>
      </c>
      <c r="F1371" s="1" t="s">
        <v>5134</v>
      </c>
      <c r="G1371" s="1" t="s">
        <v>5135</v>
      </c>
      <c r="H1371" s="1" t="s">
        <v>13</v>
      </c>
    </row>
    <row r="1372">
      <c r="A1372" s="1">
        <v>1370.0</v>
      </c>
      <c r="B1372" s="1" t="s">
        <v>4920</v>
      </c>
      <c r="C1372" s="1" t="s">
        <v>5136</v>
      </c>
      <c r="D1372" s="1" t="s">
        <v>5137</v>
      </c>
      <c r="E1372" s="2" t="str">
        <f>IFERROR(__xludf.DUMMYFUNCTION("GOOGLETRANSLATE(C1372, ""en"", ""th"")"),"แสดงรายการค่าใช้จ่ายทั้งหมดที่เกิดขึ้นโดยรองประธาน")</f>
        <v>แสดงรายการค่าใช้จ่ายทั้งหมดที่เกิดขึ้นโดยรองประธาน</v>
      </c>
      <c r="F1372" s="1" t="s">
        <v>5138</v>
      </c>
      <c r="G1372" s="1" t="s">
        <v>5139</v>
      </c>
      <c r="H1372" s="1" t="s">
        <v>13</v>
      </c>
    </row>
    <row r="1373">
      <c r="A1373" s="1">
        <v>1371.0</v>
      </c>
      <c r="B1373" s="1" t="s">
        <v>4920</v>
      </c>
      <c r="C1373" s="1" t="s">
        <v>5140</v>
      </c>
      <c r="D1373" s="3" t="s">
        <v>5141</v>
      </c>
      <c r="E1373" s="2" t="str">
        <f>IFERROR(__xludf.DUMMYFUNCTION("GOOGLETRANSLATE(C1373, ""en"", ""th"")"),"มีสมาชิกเข้าร่วมงาน “ฟุตบอลหญิง” กี่คน?")</f>
        <v>มีสมาชิกเข้าร่วมงาน “ฟุตบอลหญิง” กี่คน?</v>
      </c>
      <c r="F1373" s="1" t="s">
        <v>5142</v>
      </c>
      <c r="G1373" s="1" t="s">
        <v>5143</v>
      </c>
      <c r="H1373" s="1" t="s">
        <v>13</v>
      </c>
    </row>
    <row r="1374">
      <c r="A1374" s="1">
        <v>1372.0</v>
      </c>
      <c r="B1374" s="1" t="s">
        <v>4920</v>
      </c>
      <c r="C1374" s="1" t="s">
        <v>5144</v>
      </c>
      <c r="D1374" s="1" t="s">
        <v>5145</v>
      </c>
      <c r="E1374" s="2" t="str">
        <f>IFERROR(__xludf.DUMMYFUNCTION("GOOGLETRANSLATE(C1374, ""en"", ""th"")"),"สมาชิก เคซี่ย์ เมสัน ได้รับรายได้เมื่อไร?")</f>
        <v>สมาชิก เคซี่ย์ เมสัน ได้รับรายได้เมื่อไร?</v>
      </c>
      <c r="F1374" s="1" t="s">
        <v>5146</v>
      </c>
      <c r="G1374" s="1" t="s">
        <v>5147</v>
      </c>
      <c r="H1374" s="1" t="s">
        <v>13</v>
      </c>
    </row>
    <row r="1375">
      <c r="A1375" s="1">
        <v>1373.0</v>
      </c>
      <c r="B1375" s="1" t="s">
        <v>4920</v>
      </c>
      <c r="C1375" s="1" t="s">
        <v>5148</v>
      </c>
      <c r="E1375" s="2" t="str">
        <f>IFERROR(__xludf.DUMMYFUNCTION("GOOGLETRANSLATE(C1375, ""en"", ""th"")"),"บ้านเกิดของสมาชิกมาจากรัฐแมรี่แลนด์มีกี่คน")</f>
        <v>บ้านเกิดของสมาชิกมาจากรัฐแมรี่แลนด์มีกี่คน</v>
      </c>
      <c r="G1375" s="1" t="s">
        <v>5149</v>
      </c>
      <c r="H1375" s="1" t="s">
        <v>13</v>
      </c>
    </row>
    <row r="1376">
      <c r="A1376" s="1">
        <v>1374.0</v>
      </c>
      <c r="B1376" s="1" t="s">
        <v>4920</v>
      </c>
      <c r="C1376" s="1" t="s">
        <v>5150</v>
      </c>
      <c r="E1376" s="2" t="str">
        <f>IFERROR(__xludf.DUMMYFUNCTION("GOOGLETRANSLATE(C1376, ""en"", ""th"")"),"สมาชิกหมายเลขโทรศัพท์ ""954-555-6240"" เข้าร่วมงานทั้งหมดกี่งาน?")</f>
        <v>สมาชิกหมายเลขโทรศัพท์ "954-555-6240" เข้าร่วมงานทั้งหมดกี่งาน?</v>
      </c>
      <c r="G1376" s="1" t="s">
        <v>5151</v>
      </c>
      <c r="H1376" s="1" t="s">
        <v>13</v>
      </c>
    </row>
    <row r="1377">
      <c r="A1377" s="1">
        <v>1375.0</v>
      </c>
      <c r="B1377" s="1" t="s">
        <v>4920</v>
      </c>
      <c r="C1377" s="1" t="s">
        <v>5152</v>
      </c>
      <c r="D1377" s="1" t="s">
        <v>5153</v>
      </c>
      <c r="E1377" s="2" t="str">
        <f>IFERROR(__xludf.DUMMYFUNCTION("GOOGLETRANSLATE(C1377, ""en"", ""th"")"),"รายชื่อสมาชิกทั้งหมดของแผนก ""คณะวิทยาศาสตร์ประยุกต์ เทคโนโลยี และการศึกษา""")</f>
        <v>รายชื่อสมาชิกทั้งหมดของแผนก "คณะวิทยาศาสตร์ประยุกต์ เทคโนโลยี และการศึกษา"</v>
      </c>
      <c r="F1377" s="1" t="s">
        <v>5154</v>
      </c>
      <c r="G1377" s="1" t="s">
        <v>5155</v>
      </c>
      <c r="H1377" s="1" t="s">
        <v>18</v>
      </c>
    </row>
    <row r="1378">
      <c r="A1378" s="1">
        <v>1376.0</v>
      </c>
      <c r="B1378" s="1" t="s">
        <v>4920</v>
      </c>
      <c r="C1378" s="1" t="s">
        <v>5156</v>
      </c>
      <c r="D1378" s="1" t="s">
        <v>5157</v>
      </c>
      <c r="E1378" s="2" t="str">
        <f>IFERROR(__xludf.DUMMYFUNCTION("GOOGLETRANSLATE(C1378, ""en"", ""th"")"),"ในบรรดากิจกรรมปิดทั้งหมด กิจกรรมใดมีอัตราส่วนการใช้จ่ายต่องบประมาณสูงที่สุด")</f>
        <v>ในบรรดากิจกรรมปิดทั้งหมด กิจกรรมใดมีอัตราส่วนการใช้จ่ายต่องบประมาณสูงที่สุด</v>
      </c>
      <c r="F1378" s="1" t="s">
        <v>5158</v>
      </c>
      <c r="G1378" s="1" t="s">
        <v>5159</v>
      </c>
      <c r="H1378" s="1" t="s">
        <v>18</v>
      </c>
    </row>
    <row r="1379">
      <c r="A1379" s="1">
        <v>1377.0</v>
      </c>
      <c r="B1379" s="1" t="s">
        <v>4920</v>
      </c>
      <c r="C1379" s="1" t="s">
        <v>5160</v>
      </c>
      <c r="D1379" s="3" t="s">
        <v>5084</v>
      </c>
      <c r="E1379" s="2" t="str">
        <f>IFERROR(__xludf.DUMMYFUNCTION("GOOGLETRANSLATE(C1379, ""en"", ""th"")"),"มีนักศึกษาดำรงตำแหน่งอธิการบดีกี่คน?")</f>
        <v>มีนักศึกษาดำรงตำแหน่งอธิการบดีกี่คน?</v>
      </c>
      <c r="F1379" s="1" t="s">
        <v>4999</v>
      </c>
      <c r="G1379" s="1" t="s">
        <v>5161</v>
      </c>
      <c r="H1379" s="1" t="s">
        <v>13</v>
      </c>
    </row>
    <row r="1380">
      <c r="A1380" s="1">
        <v>1378.0</v>
      </c>
      <c r="B1380" s="1" t="s">
        <v>4920</v>
      </c>
      <c r="C1380" s="1" t="s">
        <v>5162</v>
      </c>
      <c r="D1380" s="1" t="s">
        <v>5163</v>
      </c>
      <c r="E1380" s="2" t="str">
        <f>IFERROR(__xludf.DUMMYFUNCTION("GOOGLETRANSLATE(C1380, ""en"", ""th"")"),"งบประมาณที่ใช้ในกิจกรรมสูงสุดคือเท่าใด")</f>
        <v>งบประมาณที่ใช้ในกิจกรรมสูงสุดคือเท่าใด</v>
      </c>
      <c r="F1380" s="1" t="s">
        <v>5164</v>
      </c>
      <c r="G1380" s="1" t="s">
        <v>5165</v>
      </c>
      <c r="H1380" s="1" t="s">
        <v>13</v>
      </c>
    </row>
    <row r="1381">
      <c r="A1381" s="1">
        <v>1379.0</v>
      </c>
      <c r="B1381" s="1" t="s">
        <v>4920</v>
      </c>
      <c r="C1381" s="1" t="s">
        <v>5166</v>
      </c>
      <c r="D1381" s="1" t="s">
        <v>5167</v>
      </c>
      <c r="E1381" s="2" t="str">
        <f>IFERROR(__xludf.DUMMYFUNCTION("GOOGLETRANSLATE(C1381, ""en"", ""th"")"),"ในปี 2563 มีการจัดประชุมกี่ครั้ง?")</f>
        <v>ในปี 2563 มีการจัดประชุมกี่ครั้ง?</v>
      </c>
      <c r="F1381" s="1" t="s">
        <v>5168</v>
      </c>
      <c r="G1381" s="1" t="s">
        <v>5169</v>
      </c>
      <c r="H1381" s="1" t="s">
        <v>13</v>
      </c>
    </row>
    <row r="1382">
      <c r="A1382" s="1">
        <v>1380.0</v>
      </c>
      <c r="B1382" s="1" t="s">
        <v>4920</v>
      </c>
      <c r="C1382" s="1" t="s">
        <v>5170</v>
      </c>
      <c r="D1382" s="1" t="s">
        <v>5171</v>
      </c>
      <c r="E1382" s="2" t="str">
        <f>IFERROR(__xludf.DUMMYFUNCTION("GOOGLETRANSLATE(C1382, ""en"", ""th"")"),"เงินทั้งหมดที่ใช้ไปเป็นค่าอาหารเท่าไหร่?")</f>
        <v>เงินทั้งหมดที่ใช้ไปเป็นค่าอาหารเท่าไหร่?</v>
      </c>
      <c r="F1382" s="1" t="s">
        <v>5172</v>
      </c>
      <c r="G1382" s="1" t="s">
        <v>5173</v>
      </c>
      <c r="H1382" s="1" t="s">
        <v>13</v>
      </c>
    </row>
    <row r="1383">
      <c r="A1383" s="1">
        <v>1381.0</v>
      </c>
      <c r="B1383" s="1" t="s">
        <v>4920</v>
      </c>
      <c r="C1383" s="1" t="s">
        <v>5174</v>
      </c>
      <c r="D1383" s="1" t="s">
        <v>5175</v>
      </c>
      <c r="E1383" s="2" t="str">
        <f>IFERROR(__xludf.DUMMYFUNCTION("GOOGLETRANSLATE(C1383, ""en"", ""th"")"),"รายชื่อนักเรียนที่เข้าร่วมกิจกรรมมากกว่า 7 รายการ")</f>
        <v>รายชื่อนักเรียนที่เข้าร่วมกิจกรรมมากกว่า 7 รายการ</v>
      </c>
      <c r="F1383" s="1" t="s">
        <v>5176</v>
      </c>
      <c r="G1383" s="1" t="s">
        <v>5177</v>
      </c>
      <c r="H1383" s="1" t="s">
        <v>18</v>
      </c>
    </row>
    <row r="1384">
      <c r="A1384" s="1">
        <v>1382.0</v>
      </c>
      <c r="B1384" s="1" t="s">
        <v>4920</v>
      </c>
      <c r="C1384" s="1" t="s">
        <v>5178</v>
      </c>
      <c r="D1384" s="1" t="s">
        <v>5179</v>
      </c>
      <c r="E1384" s="2" t="str">
        <f>IFERROR(__xludf.DUMMYFUNCTION("GOOGLETRANSLATE(C1384, ""en"", ""th"")"),"ในบรรดานักศึกษาสาขาวิชาการออกแบบตกแต่งภายในที่เคยเข้าร่วมงาน Community Theatre?")</f>
        <v>ในบรรดานักศึกษาสาขาวิชาการออกแบบตกแต่งภายในที่เคยเข้าร่วมงาน Community Theatre?</v>
      </c>
      <c r="F1384" s="1" t="s">
        <v>5180</v>
      </c>
      <c r="G1384" s="1" t="s">
        <v>5181</v>
      </c>
      <c r="H1384" s="1" t="s">
        <v>18</v>
      </c>
    </row>
    <row r="1385">
      <c r="A1385" s="1">
        <v>1383.0</v>
      </c>
      <c r="B1385" s="1" t="s">
        <v>4920</v>
      </c>
      <c r="C1385" s="1" t="s">
        <v>5182</v>
      </c>
      <c r="D1385" s="1" t="s">
        <v>5183</v>
      </c>
      <c r="E1385" s="2" t="str">
        <f>IFERROR(__xludf.DUMMYFUNCTION("GOOGLETRANSLATE(C1385, ""en"", ""th"")"),"ระบุชื่อนักเรียนจากจอร์จทาวน์ เซาท์แคโรไลนา")</f>
        <v>ระบุชื่อนักเรียนจากจอร์จทาวน์ เซาท์แคโรไลนา</v>
      </c>
      <c r="F1385" s="1" t="s">
        <v>5184</v>
      </c>
      <c r="G1385" s="1" t="s">
        <v>5185</v>
      </c>
      <c r="H1385" s="1" t="s">
        <v>13</v>
      </c>
    </row>
    <row r="1386">
      <c r="A1386" s="1">
        <v>1384.0</v>
      </c>
      <c r="B1386" s="1" t="s">
        <v>4920</v>
      </c>
      <c r="C1386" s="1" t="s">
        <v>5186</v>
      </c>
      <c r="D1386" s="1" t="s">
        <v>5187</v>
      </c>
      <c r="E1386" s="2" t="str">
        <f>IFERROR(__xludf.DUMMYFUNCTION("GOOGLETRANSLATE(C1386, ""en"", ""th"")"),"Grant Gilmour สร้างรายได้ได้เท่าไร?")</f>
        <v>Grant Gilmour สร้างรายได้ได้เท่าไร?</v>
      </c>
      <c r="F1386" s="1" t="s">
        <v>5188</v>
      </c>
      <c r="G1386" s="1" t="s">
        <v>5189</v>
      </c>
      <c r="H1386" s="1" t="s">
        <v>13</v>
      </c>
    </row>
    <row r="1387">
      <c r="A1387" s="1">
        <v>1385.0</v>
      </c>
      <c r="B1387" s="1" t="s">
        <v>4920</v>
      </c>
      <c r="C1387" s="1" t="s">
        <v>5190</v>
      </c>
      <c r="D1387" s="1" t="s">
        <v>5191</v>
      </c>
      <c r="E1387" s="2" t="str">
        <f>IFERROR(__xludf.DUMMYFUNCTION("GOOGLETRANSLATE(C1387, ""en"", ""th"")"),"นักเรียนคนไหนที่สามารถสร้างรายได้มากกว่า $40 ได้?")</f>
        <v>นักเรียนคนไหนที่สามารถสร้างรายได้มากกว่า $40 ได้?</v>
      </c>
      <c r="F1387" s="1" t="s">
        <v>5192</v>
      </c>
      <c r="G1387" s="1" t="s">
        <v>5193</v>
      </c>
      <c r="H1387" s="1" t="s">
        <v>13</v>
      </c>
    </row>
    <row r="1388">
      <c r="A1388" s="1">
        <v>1386.0</v>
      </c>
      <c r="B1388" s="1" t="s">
        <v>4920</v>
      </c>
      <c r="C1388" s="1" t="s">
        <v>5194</v>
      </c>
      <c r="D1388" s="3" t="s">
        <v>5195</v>
      </c>
      <c r="E1388" s="2" t="str">
        <f>IFERROR(__xludf.DUMMYFUNCTION("GOOGLETRANSLATE(C1388, ""en"", ""th"")"),"ค่าใช้จ่ายทั้งหมดสำหรับการเริ่มต้นประจำปีคือเท่าไร?")</f>
        <v>ค่าใช้จ่ายทั้งหมดสำหรับการเริ่มต้นประจำปีคือเท่าไร?</v>
      </c>
      <c r="F1388" s="1" t="s">
        <v>5196</v>
      </c>
      <c r="G1388" s="1" t="s">
        <v>5197</v>
      </c>
      <c r="H1388" s="1" t="s">
        <v>13</v>
      </c>
    </row>
    <row r="1389">
      <c r="A1389" s="1">
        <v>1387.0</v>
      </c>
      <c r="B1389" s="1" t="s">
        <v>4920</v>
      </c>
      <c r="C1389" s="1" t="s">
        <v>5198</v>
      </c>
      <c r="D1389" s="1" t="s">
        <v>5199</v>
      </c>
      <c r="E1389" s="2" t="str">
        <f>IFERROR(__xludf.DUMMYFUNCTION("GOOGLETRANSLATE(C1389, ""en"", ""th"")"),"นักเรียนคนไหนที่ได้รับความไว้วางใจให้จัดการงบประมาณสำหรับการเปิดงานประจำปี?")</f>
        <v>นักเรียนคนไหนที่ได้รับความไว้วางใจให้จัดการงบประมาณสำหรับการเปิดงานประจำปี?</v>
      </c>
      <c r="F1389" s="1" t="s">
        <v>5200</v>
      </c>
      <c r="G1389" s="1" t="s">
        <v>5201</v>
      </c>
      <c r="H1389" s="1" t="s">
        <v>18</v>
      </c>
    </row>
    <row r="1390">
      <c r="A1390" s="1">
        <v>1388.0</v>
      </c>
      <c r="B1390" s="1" t="s">
        <v>4920</v>
      </c>
      <c r="C1390" s="1" t="s">
        <v>5202</v>
      </c>
      <c r="D1390" s="1" t="s">
        <v>5203</v>
      </c>
      <c r="E1390" s="2" t="str">
        <f>IFERROR(__xludf.DUMMYFUNCTION("GOOGLETRANSLATE(C1390, ""en"", ""th"")"),"ซึ่งนักเรียนสามารถสร้างรายได้สูงสุด ระบุชื่อนามสกุลพร้อมแหล่งที่มาของรายได้")</f>
        <v>ซึ่งนักเรียนสามารถสร้างรายได้สูงสุด ระบุชื่อนามสกุลพร้อมแหล่งที่มาของรายได้</v>
      </c>
      <c r="F1390" s="1" t="s">
        <v>5204</v>
      </c>
      <c r="G1390" s="1" t="s">
        <v>5205</v>
      </c>
      <c r="H1390" s="1" t="s">
        <v>18</v>
      </c>
    </row>
    <row r="1391">
      <c r="A1391" s="1">
        <v>1389.0</v>
      </c>
      <c r="B1391" s="1" t="s">
        <v>4920</v>
      </c>
      <c r="C1391" s="1" t="s">
        <v>5206</v>
      </c>
      <c r="D1391" s="1" t="s">
        <v>5207</v>
      </c>
      <c r="E1391" s="2" t="str">
        <f>IFERROR(__xludf.DUMMYFUNCTION("GOOGLETRANSLATE(C1391, ""en"", ""th"")"),"งานไหนมีค่าใช้จ่ายน้อยที่สุด?")</f>
        <v>งานไหนมีค่าใช้จ่ายน้อยที่สุด?</v>
      </c>
      <c r="F1391" s="1" t="s">
        <v>5208</v>
      </c>
      <c r="G1391" s="1" t="s">
        <v>5209</v>
      </c>
      <c r="H1391" s="1" t="s">
        <v>13</v>
      </c>
    </row>
    <row r="1392">
      <c r="A1392" s="1">
        <v>1390.0</v>
      </c>
      <c r="B1392" s="1" t="s">
        <v>4920</v>
      </c>
      <c r="C1392" s="1" t="s">
        <v>5210</v>
      </c>
      <c r="D1392" s="1" t="s">
        <v>5211</v>
      </c>
      <c r="E1392" s="2" t="str">
        <f>IFERROR(__xludf.DUMMYFUNCTION("GOOGLETRANSLATE(C1392, ""en"", ""th"")"),"เมื่อพิจารณาจากค่าใช้จ่ายทั้งหมดสำหรับกิจกรรมทั้งหมด ค่าใช้จ่ายสำหรับกิจกรรม Kickoff ประจำปีเป็นเปอร์เซ็นต์เท่าใด")</f>
        <v>เมื่อพิจารณาจากค่าใช้จ่ายทั้งหมดสำหรับกิจกรรมทั้งหมด ค่าใช้จ่ายสำหรับกิจกรรม Kickoff ประจำปีเป็นเปอร์เซ็นต์เท่าใด</v>
      </c>
      <c r="F1392" s="1" t="s">
        <v>5212</v>
      </c>
      <c r="G1392" s="1" t="s">
        <v>5213</v>
      </c>
      <c r="H1392" s="1" t="s">
        <v>18</v>
      </c>
    </row>
    <row r="1393">
      <c r="A1393" s="1">
        <v>1391.0</v>
      </c>
      <c r="B1393" s="1" t="s">
        <v>4920</v>
      </c>
      <c r="C1393" s="1" t="s">
        <v>5214</v>
      </c>
      <c r="D1393" s="1" t="s">
        <v>5215</v>
      </c>
      <c r="E1393" s="2" t="str">
        <f>IFERROR(__xludf.DUMMYFUNCTION("GOOGLETRANSLATE(C1393, ""en"", ""th"")"),"อัตราส่วนระหว่างนักศึกษาสาขาวิชาการเงินและฟิสิกส์เป็นเท่าใด")</f>
        <v>อัตราส่วนระหว่างนักศึกษาสาขาวิชาการเงินและฟิสิกส์เป็นเท่าใด</v>
      </c>
      <c r="F1393" s="1" t="s">
        <v>5216</v>
      </c>
      <c r="G1393" s="1" t="s">
        <v>5217</v>
      </c>
      <c r="H1393" s="1" t="s">
        <v>13</v>
      </c>
    </row>
    <row r="1394">
      <c r="A1394" s="1">
        <v>1392.0</v>
      </c>
      <c r="B1394" s="1" t="s">
        <v>4920</v>
      </c>
      <c r="C1394" s="1" t="s">
        <v>5218</v>
      </c>
      <c r="D1394" s="1" t="s">
        <v>5219</v>
      </c>
      <c r="E1394" s="2" t="str">
        <f>IFERROR(__xludf.DUMMYFUNCTION("GOOGLETRANSLATE(C1394, ""en"", ""th"")"),"ระบุแหล่งเงินทุนอันดับต้นๆ ที่ได้รับในเดือนกันยายน 2019 ตามจำนวนเงิน")</f>
        <v>ระบุแหล่งเงินทุนอันดับต้นๆ ที่ได้รับในเดือนกันยายน 2019 ตามจำนวนเงิน</v>
      </c>
      <c r="F1394" s="1" t="s">
        <v>5220</v>
      </c>
      <c r="G1394" s="1" t="s">
        <v>5221</v>
      </c>
      <c r="H1394" s="1" t="s">
        <v>13</v>
      </c>
    </row>
    <row r="1395">
      <c r="A1395" s="1">
        <v>1393.0</v>
      </c>
      <c r="B1395" s="1" t="s">
        <v>4920</v>
      </c>
      <c r="C1395" s="1" t="s">
        <v>5222</v>
      </c>
      <c r="D1395" s="1" t="s">
        <v>5223</v>
      </c>
      <c r="E1395" s="2" t="str">
        <f>IFERROR(__xludf.DUMMYFUNCTION("GOOGLETRANSLATE(C1395, ""en"", ""th"")"),"ระบุชื่อเต็มและที่อยู่อีเมลของเลขานุการ Student_Club")</f>
        <v>ระบุชื่อเต็มและที่อยู่อีเมลของเลขานุการ Student_Club</v>
      </c>
      <c r="F1395" s="1" t="s">
        <v>5224</v>
      </c>
      <c r="G1395" s="1" t="s">
        <v>5225</v>
      </c>
      <c r="H1395" s="1" t="s">
        <v>13</v>
      </c>
    </row>
    <row r="1396">
      <c r="A1396" s="1">
        <v>1394.0</v>
      </c>
      <c r="B1396" s="1" t="s">
        <v>4920</v>
      </c>
      <c r="C1396" s="1" t="s">
        <v>5226</v>
      </c>
      <c r="D1396" s="3" t="s">
        <v>5227</v>
      </c>
      <c r="E1396" s="2" t="str">
        <f>IFERROR(__xludf.DUMMYFUNCTION("GOOGLETRANSLATE(C1396, ""en"", ""th"")"),"Student_Club มีสมาชิกสาขาวิชา 'การสอนฟิสิกส์' กี่คน?")</f>
        <v>Student_Club มีสมาชิกสาขาวิชา 'การสอนฟิสิกส์' กี่คน?</v>
      </c>
      <c r="F1396" s="1" t="s">
        <v>5228</v>
      </c>
      <c r="G1396" s="1" t="s">
        <v>5229</v>
      </c>
      <c r="H1396" s="1" t="s">
        <v>13</v>
      </c>
    </row>
    <row r="1397">
      <c r="A1397" s="1">
        <v>1395.0</v>
      </c>
      <c r="B1397" s="1" t="s">
        <v>4920</v>
      </c>
      <c r="C1397" s="1" t="s">
        <v>5230</v>
      </c>
      <c r="D1397" s="1" t="s">
        <v>5231</v>
      </c>
      <c r="E1397" s="2" t="str">
        <f>IFERROR(__xludf.DUMMYFUNCTION("GOOGLETRANSLATE(C1397, ""en"", ""th"")"),"มีสมาชิกเข้าร่วมงาน 'Community Theatre' ในปี 2562 กี่คน?")</f>
        <v>มีสมาชิกเข้าร่วมงาน 'Community Theatre' ในปี 2562 กี่คน?</v>
      </c>
      <c r="F1397" s="1" t="s">
        <v>5232</v>
      </c>
      <c r="G1397" s="1" t="s">
        <v>5233</v>
      </c>
      <c r="H1397" s="1" t="s">
        <v>18</v>
      </c>
    </row>
    <row r="1398">
      <c r="A1398" s="1">
        <v>1396.0</v>
      </c>
      <c r="B1398" s="1" t="s">
        <v>4920</v>
      </c>
      <c r="C1398" s="1" t="s">
        <v>5234</v>
      </c>
      <c r="D1398" s="1" t="s">
        <v>5235</v>
      </c>
      <c r="E1398" s="2" t="str">
        <f>IFERROR(__xludf.DUMMYFUNCTION("GOOGLETRANSLATE(C1398, ""en"", ""th"")"),"ระบุจำนวนกิจกรรมที่ Luisa Guidi เข้าร่วม วิชาเอกของเธอคืออะไร?")</f>
        <v>ระบุจำนวนกิจกรรมที่ Luisa Guidi เข้าร่วม วิชาเอกของเธอคืออะไร?</v>
      </c>
      <c r="F1398" s="1" t="s">
        <v>5236</v>
      </c>
      <c r="G1398" s="1" t="s">
        <v>5237</v>
      </c>
      <c r="H1398" s="1" t="s">
        <v>13</v>
      </c>
    </row>
    <row r="1399">
      <c r="A1399" s="1">
        <v>1397.0</v>
      </c>
      <c r="B1399" s="1" t="s">
        <v>4920</v>
      </c>
      <c r="C1399" s="1" t="s">
        <v>5238</v>
      </c>
      <c r="D1399" s="1" t="s">
        <v>5239</v>
      </c>
      <c r="E1399" s="2" t="str">
        <f>IFERROR(__xludf.DUMMYFUNCTION("GOOGLETRANSLATE(C1399, ""en"", ""th"")"),"Student_Club ใช้จ่ายค่าอาหารสำหรับงานทั่วไปโดยเฉลี่ยเท่าใดในอดีต")</f>
        <v>Student_Club ใช้จ่ายค่าอาหารสำหรับงานทั่วไปโดยเฉลี่ยเท่าใดในอดีต</v>
      </c>
      <c r="F1399" s="1" t="s">
        <v>5240</v>
      </c>
      <c r="G1399" s="1" t="s">
        <v>5241</v>
      </c>
      <c r="H1399" s="1" t="s">
        <v>13</v>
      </c>
    </row>
    <row r="1400">
      <c r="A1400" s="1">
        <v>1398.0</v>
      </c>
      <c r="B1400" s="1" t="s">
        <v>4920</v>
      </c>
      <c r="C1400" s="1" t="s">
        <v>5242</v>
      </c>
      <c r="D1400" s="1" t="s">
        <v>5243</v>
      </c>
      <c r="E1400" s="2" t="str">
        <f>IFERROR(__xludf.DUMMYFUNCTION("GOOGLETRANSLATE(C1400, ""en"", ""th"")"),"ตั้งชื่องานที่มียอดใช้จ่ายด้านการโฆษณาสูงสุด")</f>
        <v>ตั้งชื่องานที่มียอดใช้จ่ายด้านการโฆษณาสูงสุด</v>
      </c>
      <c r="F1400" s="1" t="s">
        <v>5244</v>
      </c>
      <c r="G1400" s="1" t="s">
        <v>5245</v>
      </c>
      <c r="H1400" s="1" t="s">
        <v>18</v>
      </c>
    </row>
    <row r="1401">
      <c r="A1401" s="1">
        <v>1399.0</v>
      </c>
      <c r="B1401" s="1" t="s">
        <v>4920</v>
      </c>
      <c r="C1401" s="1" t="s">
        <v>5246</v>
      </c>
      <c r="D1401" s="1" t="s">
        <v>5247</v>
      </c>
      <c r="E1401" s="2" t="str">
        <f>IFERROR(__xludf.DUMMYFUNCTION("GOOGLETRANSLATE(C1401, ""en"", ""th"")"),"Maya Mclean เข้าร่วมงาน 'Women's Soccer' หรือไม่?")</f>
        <v>Maya Mclean เข้าร่วมงาน 'Women's Soccer' หรือไม่?</v>
      </c>
      <c r="F1401" s="1" t="s">
        <v>5248</v>
      </c>
      <c r="G1401" s="1" t="s">
        <v>5249</v>
      </c>
      <c r="H1401" s="1" t="s">
        <v>18</v>
      </c>
    </row>
    <row r="1402">
      <c r="A1402" s="1">
        <v>1400.0</v>
      </c>
      <c r="B1402" s="1" t="s">
        <v>4920</v>
      </c>
      <c r="C1402" s="1" t="s">
        <v>5250</v>
      </c>
      <c r="D1402" s="1" t="s">
        <v>5251</v>
      </c>
      <c r="E1402" s="2" t="str">
        <f>IFERROR(__xludf.DUMMYFUNCTION("GOOGLETRANSLATE(C1402, ""en"", ""th"")"),"ในบรรดากิจกรรมทั้งหมดที่ Student_Club จัดขึ้นในปี 2019 ให้ค้นหาเปอร์เซ็นต์ส่วนแบ่งของกิจกรรมที่เกี่ยวข้องกับ 'บริการชุมชน'")</f>
        <v>ในบรรดากิจกรรมทั้งหมดที่ Student_Club จัดขึ้นในปี 2019 ให้ค้นหาเปอร์เซ็นต์ส่วนแบ่งของกิจกรรมที่เกี่ยวข้องกับ 'บริการชุมชน'</v>
      </c>
      <c r="F1402" s="1" t="s">
        <v>5252</v>
      </c>
      <c r="G1402" s="1" t="s">
        <v>5253</v>
      </c>
      <c r="H1402" s="1" t="s">
        <v>18</v>
      </c>
    </row>
    <row r="1403">
      <c r="A1403" s="1">
        <v>1401.0</v>
      </c>
      <c r="B1403" s="1" t="s">
        <v>4920</v>
      </c>
      <c r="C1403" s="1" t="s">
        <v>5254</v>
      </c>
      <c r="D1403" s="3" t="s">
        <v>5255</v>
      </c>
      <c r="E1403" s="2" t="str">
        <f>IFERROR(__xludf.DUMMYFUNCTION("GOOGLETRANSLATE(C1403, ""en"", ""th"")"),"ระบุราคาโปสเตอร์งาน 'September Speaker'")</f>
        <v>ระบุราคาโปสเตอร์งาน 'September Speaker'</v>
      </c>
      <c r="F1403" s="1" t="s">
        <v>5256</v>
      </c>
      <c r="G1403" s="1" t="s">
        <v>5257</v>
      </c>
      <c r="H1403" s="1" t="s">
        <v>18</v>
      </c>
    </row>
    <row r="1404">
      <c r="A1404" s="1">
        <v>1402.0</v>
      </c>
      <c r="B1404" s="1" t="s">
        <v>4920</v>
      </c>
      <c r="C1404" s="1" t="s">
        <v>5258</v>
      </c>
      <c r="D1404" s="1" t="s">
        <v>5259</v>
      </c>
      <c r="E1404" s="2" t="str">
        <f>IFERROR(__xludf.DUMMYFUNCTION("GOOGLETRANSLATE(C1404, ""en"", ""th"")"),"เสื้อยืดที่สมาชิกชมรมสั่งกันมากที่สุดคือไซส์อะไร?")</f>
        <v>เสื้อยืดที่สมาชิกชมรมสั่งกันมากที่สุดคือไซส์อะไร?</v>
      </c>
      <c r="F1404" s="1" t="s">
        <v>5260</v>
      </c>
      <c r="G1404" s="1" t="s">
        <v>5261</v>
      </c>
      <c r="H1404" s="1" t="s">
        <v>13</v>
      </c>
    </row>
    <row r="1405">
      <c r="A1405" s="1">
        <v>1403.0</v>
      </c>
      <c r="B1405" s="1" t="s">
        <v>4920</v>
      </c>
      <c r="C1405" s="1" t="s">
        <v>5262</v>
      </c>
      <c r="D1405" s="1" t="s">
        <v>5263</v>
      </c>
      <c r="E1405" s="2" t="str">
        <f>IFERROR(__xludf.DUMMYFUNCTION("GOOGLETRANSLATE(C1405, ""en"", ""th"")"),"ระบุชื่องานปิดที่มีต้นทุนเกินงบประมาณมากที่สุด")</f>
        <v>ระบุชื่องานปิดที่มีต้นทุนเกินงบประมาณมากที่สุด</v>
      </c>
      <c r="F1405" s="1" t="s">
        <v>5264</v>
      </c>
      <c r="G1405" s="1" t="s">
        <v>5265</v>
      </c>
      <c r="H1405" s="1" t="s">
        <v>18</v>
      </c>
    </row>
    <row r="1406">
      <c r="A1406" s="1">
        <v>1404.0</v>
      </c>
      <c r="B1406" s="1" t="s">
        <v>4920</v>
      </c>
      <c r="C1406" s="1" t="s">
        <v>5266</v>
      </c>
      <c r="D1406" s="1" t="s">
        <v>5267</v>
      </c>
      <c r="E1406" s="2" t="str">
        <f>IFERROR(__xludf.DUMMYFUNCTION("GOOGLETRANSLATE(C1406, ""en"", ""th"")"),"ระบุประเภทของค่าใช้จ่ายและมูลค่ารวมที่ได้รับอนุมัติสำหรับกิจกรรม 'การประชุมเดือนตุลาคม'")</f>
        <v>ระบุประเภทของค่าใช้จ่ายและมูลค่ารวมที่ได้รับอนุมัติสำหรับกิจกรรม 'การประชุมเดือนตุลาคม'</v>
      </c>
      <c r="F1406" s="1" t="s">
        <v>5268</v>
      </c>
      <c r="G1406" s="1" t="s">
        <v>5269</v>
      </c>
      <c r="H1406" s="1" t="s">
        <v>18</v>
      </c>
    </row>
    <row r="1407">
      <c r="A1407" s="1">
        <v>1405.0</v>
      </c>
      <c r="B1407" s="1" t="s">
        <v>4920</v>
      </c>
      <c r="C1407" s="1" t="s">
        <v>5270</v>
      </c>
      <c r="D1407" s="3" t="s">
        <v>5271</v>
      </c>
      <c r="E1407" s="2" t="str">
        <f>IFERROR(__xludf.DUMMYFUNCTION("GOOGLETRANSLATE(C1407, ""en"", ""th"")"),"คำนวณจำนวนเงินที่จัดไว้สำหรับงาน 'April Speaker' แสดงรายการหมวดหมู่ที่จัดงบประมาณทั้งหมดสำหรับเหตุการณ์ดังกล่าวโดยเรียงลำดับจากน้อยไปหามากตามจำนวนเงินที่ตั้งงบประมาณไว้")</f>
        <v>คำนวณจำนวนเงินที่จัดไว้สำหรับงาน 'April Speaker' แสดงรายการหมวดหมู่ที่จัดงบประมาณทั้งหมดสำหรับเหตุการณ์ดังกล่าวโดยเรียงลำดับจากน้อยไปหามากตามจำนวนเงินที่ตั้งงบประมาณไว้</v>
      </c>
      <c r="F1407" s="1" t="s">
        <v>5272</v>
      </c>
      <c r="G1407" s="1" t="s">
        <v>5273</v>
      </c>
      <c r="H1407" s="1" t="s">
        <v>18</v>
      </c>
    </row>
    <row r="1408">
      <c r="A1408" s="1">
        <v>1406.0</v>
      </c>
      <c r="B1408" s="1" t="s">
        <v>4920</v>
      </c>
      <c r="C1408" s="1" t="s">
        <v>5274</v>
      </c>
      <c r="D1408" s="1" t="s">
        <v>5275</v>
      </c>
      <c r="E1408" s="2" t="str">
        <f>IFERROR(__xludf.DUMMYFUNCTION("GOOGLETRANSLATE(C1408, ""en"", ""th"")"),"ในบรรดางบประมาณค่าอาหาร อันไหนมีงบประมาณสูงสุด?")</f>
        <v>ในบรรดางบประมาณค่าอาหาร อันไหนมีงบประมาณสูงสุด?</v>
      </c>
      <c r="F1408" s="1" t="s">
        <v>5276</v>
      </c>
      <c r="G1408" s="1" t="s">
        <v>5277</v>
      </c>
      <c r="H1408" s="1" t="s">
        <v>13</v>
      </c>
    </row>
    <row r="1409">
      <c r="A1409" s="1">
        <v>1407.0</v>
      </c>
      <c r="B1409" s="1" t="s">
        <v>4920</v>
      </c>
      <c r="C1409" s="1" t="s">
        <v>5278</v>
      </c>
      <c r="D1409" s="1" t="s">
        <v>5279</v>
      </c>
      <c r="E1409" s="2" t="str">
        <f>IFERROR(__xludf.DUMMYFUNCTION("GOOGLETRANSLATE(C1409, ""en"", ""th"")"),"ในบรรดางบประมาณสำหรับการโฆษณา ให้ระบุสามอันดับแรกที่มีงบประมาณมากที่สุด")</f>
        <v>ในบรรดางบประมาณสำหรับการโฆษณา ให้ระบุสามอันดับแรกที่มีงบประมาณมากที่สุด</v>
      </c>
      <c r="F1409" s="1" t="s">
        <v>5280</v>
      </c>
      <c r="G1409" s="1" t="s">
        <v>5281</v>
      </c>
      <c r="H1409" s="1" t="s">
        <v>13</v>
      </c>
    </row>
    <row r="1410">
      <c r="A1410" s="1">
        <v>1408.0</v>
      </c>
      <c r="B1410" s="1" t="s">
        <v>4920</v>
      </c>
      <c r="C1410" s="1" t="s">
        <v>5282</v>
      </c>
      <c r="D1410" s="1" t="s">
        <v>5283</v>
      </c>
      <c r="E1410" s="2" t="str">
        <f>IFERROR(__xludf.DUMMYFUNCTION("GOOGLETRANSLATE(C1410, ""en"", ""th"")"),"คำนวณค่าใช้จ่ายทั้งหมดที่ใช้สำหรับการจอดรถในรายการ")</f>
        <v>คำนวณค่าใช้จ่ายทั้งหมดที่ใช้สำหรับการจอดรถในรายการ</v>
      </c>
      <c r="F1410" s="1" t="s">
        <v>5284</v>
      </c>
      <c r="G1410" s="1" t="s">
        <v>5285</v>
      </c>
      <c r="H1410" s="1" t="s">
        <v>13</v>
      </c>
    </row>
    <row r="1411">
      <c r="A1411" s="1">
        <v>1409.0</v>
      </c>
      <c r="B1411" s="1" t="s">
        <v>4920</v>
      </c>
      <c r="C1411" s="1" t="s">
        <v>5286</v>
      </c>
      <c r="D1411" s="1" t="s">
        <v>5287</v>
      </c>
      <c r="E1411" s="2" t="str">
        <f>IFERROR(__xludf.DUMMYFUNCTION("GOOGLETRANSLATE(C1411, ""en"", ""th"")"),"กล่าวถึงค่าใช้จ่ายทั้งหมดที่ใช้ในวันที่ 8/20/2019")</f>
        <v>กล่าวถึงค่าใช้จ่ายทั้งหมดที่ใช้ในวันที่ 8/20/2019</v>
      </c>
      <c r="F1411" s="1" t="s">
        <v>5288</v>
      </c>
      <c r="G1411" s="1" t="s">
        <v>5289</v>
      </c>
      <c r="H1411" s="1" t="s">
        <v>13</v>
      </c>
    </row>
    <row r="1412">
      <c r="A1412" s="1">
        <v>1410.0</v>
      </c>
      <c r="B1412" s="1" t="s">
        <v>4920</v>
      </c>
      <c r="C1412" s="1" t="s">
        <v>5290</v>
      </c>
      <c r="D1412" s="1" t="s">
        <v>5291</v>
      </c>
      <c r="E1412" s="2" t="str">
        <f>IFERROR(__xludf.DUMMYFUNCTION("GOOGLETRANSLATE(C1412, ""en"", ""th"")"),"แสดงรายการชื่อเต็มและค่าใช้จ่ายทั้งหมดที่รหัสสมาชิก ""rec4BLdZHS2Blfp4v"" เกิดขึ้นหรือไม่")</f>
        <v>แสดงรายการชื่อเต็มและค่าใช้จ่ายทั้งหมดที่รหัสสมาชิก "rec4BLdZHS2Blfp4v" เกิดขึ้นหรือไม่</v>
      </c>
      <c r="F1412" s="1" t="s">
        <v>5292</v>
      </c>
      <c r="G1412" s="1" t="s">
        <v>5293</v>
      </c>
      <c r="H1412" s="1" t="s">
        <v>13</v>
      </c>
    </row>
    <row r="1413">
      <c r="A1413" s="1">
        <v>1411.0</v>
      </c>
      <c r="B1413" s="1" t="s">
        <v>4920</v>
      </c>
      <c r="C1413" s="1" t="s">
        <v>5294</v>
      </c>
      <c r="D1413" s="1" t="s">
        <v>5295</v>
      </c>
      <c r="E1413" s="2" t="str">
        <f>IFERROR(__xludf.DUMMYFUNCTION("GOOGLETRANSLATE(C1413, ""en"", ""th"")"),"ระบุค่าใช้จ่ายประเภทใดที่ Sacha Harrison เกิดขึ้น")</f>
        <v>ระบุค่าใช้จ่ายประเภทใดที่ Sacha Harrison เกิดขึ้น</v>
      </c>
      <c r="F1413" s="1" t="s">
        <v>5296</v>
      </c>
      <c r="G1413" s="1" t="s">
        <v>5297</v>
      </c>
      <c r="H1413" s="1" t="s">
        <v>13</v>
      </c>
    </row>
    <row r="1414">
      <c r="A1414" s="1">
        <v>1412.0</v>
      </c>
      <c r="B1414" s="1" t="s">
        <v>4920</v>
      </c>
      <c r="C1414" s="1" t="s">
        <v>5298</v>
      </c>
      <c r="D1414" s="1" t="s">
        <v>5299</v>
      </c>
      <c r="E1414" s="2" t="str">
        <f>IFERROR(__xludf.DUMMYFUNCTION("GOOGLETRANSLATE(C1414, ""en"", ""th"")"),"สมาชิกที่ซื้อเสื้อยืดไซส์ X-Large จะต้องเสียค่าใช้จ่ายอะไรบ้าง?")</f>
        <v>สมาชิกที่ซื้อเสื้อยืดไซส์ X-Large จะต้องเสียค่าใช้จ่ายอะไรบ้าง?</v>
      </c>
      <c r="F1414" s="1" t="s">
        <v>5300</v>
      </c>
      <c r="G1414" s="1" t="s">
        <v>5301</v>
      </c>
      <c r="H1414" s="1" t="s">
        <v>13</v>
      </c>
    </row>
    <row r="1415">
      <c r="A1415" s="1">
        <v>1413.0</v>
      </c>
      <c r="B1415" s="1" t="s">
        <v>4920</v>
      </c>
      <c r="C1415" s="1" t="s">
        <v>5302</v>
      </c>
      <c r="D1415" s="1" t="s">
        <v>5303</v>
      </c>
      <c r="E1415" s="2" t="str">
        <f>IFERROR(__xludf.DUMMYFUNCTION("GOOGLETRANSLATE(C1415, ""en"", ""th"")"),"ระบุรหัสไปรษณีย์ของสมาชิกที่มีมูลค่าน้อยกว่า 50USD")</f>
        <v>ระบุรหัสไปรษณีย์ของสมาชิกที่มีมูลค่าน้อยกว่า 50USD</v>
      </c>
      <c r="F1415" s="1" t="s">
        <v>5304</v>
      </c>
      <c r="G1415" s="1" t="s">
        <v>5305</v>
      </c>
      <c r="H1415" s="1" t="s">
        <v>13</v>
      </c>
    </row>
    <row r="1416">
      <c r="A1416" s="1">
        <v>1414.0</v>
      </c>
      <c r="B1416" s="1" t="s">
        <v>4920</v>
      </c>
      <c r="C1416" s="1" t="s">
        <v>5306</v>
      </c>
      <c r="D1416" s="1" t="s">
        <v>5307</v>
      </c>
      <c r="E1416" s="2" t="str">
        <f>IFERROR(__xludf.DUMMYFUNCTION("GOOGLETRANSLATE(C1416, ""en"", ""th"")"),"ระบุชื่อสาขาวิชาที่ฟิลลิป คัลเลน เข้าร่วม")</f>
        <v>ระบุชื่อสาขาวิชาที่ฟิลลิป คัลเลน เข้าร่วม</v>
      </c>
      <c r="F1416" s="1" t="s">
        <v>5308</v>
      </c>
      <c r="G1416" s="1" t="s">
        <v>5309</v>
      </c>
      <c r="H1416" s="1" t="s">
        <v>13</v>
      </c>
    </row>
    <row r="1417">
      <c r="A1417" s="1">
        <v>1415.0</v>
      </c>
      <c r="B1417" s="1" t="s">
        <v>4920</v>
      </c>
      <c r="C1417" s="1" t="s">
        <v>5310</v>
      </c>
      <c r="D1417" s="3" t="s">
        <v>5311</v>
      </c>
      <c r="E1417" s="2" t="str">
        <f>IFERROR(__xludf.DUMMYFUNCTION("GOOGLETRANSLATE(C1417, ""en"", ""th"")"),"รายชื่อตำแหน่งสมาชิกที่เข้าร่วมสาขาวิชาเอกธุรกิจ")</f>
        <v>รายชื่อตำแหน่งสมาชิกที่เข้าร่วมสาขาวิชาเอกธุรกิจ</v>
      </c>
      <c r="F1417" s="1" t="s">
        <v>5312</v>
      </c>
      <c r="G1417" s="1" t="s">
        <v>5313</v>
      </c>
      <c r="H1417" s="1" t="s">
        <v>13</v>
      </c>
    </row>
    <row r="1418">
      <c r="A1418" s="1">
        <v>1416.0</v>
      </c>
      <c r="B1418" s="1" t="s">
        <v>4920</v>
      </c>
      <c r="C1418" s="1" t="s">
        <v>5314</v>
      </c>
      <c r="D1418" s="1" t="s">
        <v>5315</v>
      </c>
      <c r="E1418" s="2" t="str">
        <f>IFERROR(__xludf.DUMMYFUNCTION("GOOGLETRANSLATE(C1418, ""en"", ""th"")"),"สมาชิกธุรกิจมีเสื้อยืดขนาดกลางกี่คน?")</f>
        <v>สมาชิกธุรกิจมีเสื้อยืดขนาดกลางกี่คน?</v>
      </c>
      <c r="F1418" s="1" t="s">
        <v>5316</v>
      </c>
      <c r="G1418" s="1" t="s">
        <v>5317</v>
      </c>
      <c r="H1418" s="1" t="s">
        <v>13</v>
      </c>
    </row>
    <row r="1419">
      <c r="A1419" s="1">
        <v>1417.0</v>
      </c>
      <c r="B1419" s="1" t="s">
        <v>4920</v>
      </c>
      <c r="C1419" s="1" t="s">
        <v>5318</v>
      </c>
      <c r="D1419" s="1" t="s">
        <v>5319</v>
      </c>
      <c r="E1419" s="2" t="str">
        <f>IFERROR(__xludf.DUMMYFUNCTION("GOOGLETRANSLATE(C1419, ""en"", ""th"")"),"ระบุประเภทของกิจกรรมที่มีงบประมาณคงเหลือมากกว่า 30 USD")</f>
        <v>ระบุประเภทของกิจกรรมที่มีงบประมาณคงเหลือมากกว่า 30 USD</v>
      </c>
      <c r="F1419" s="1" t="s">
        <v>5320</v>
      </c>
      <c r="G1419" s="1" t="s">
        <v>5321</v>
      </c>
      <c r="H1419" s="1" t="s">
        <v>13</v>
      </c>
    </row>
    <row r="1420">
      <c r="A1420" s="1">
        <v>1418.0</v>
      </c>
      <c r="B1420" s="1" t="s">
        <v>4920</v>
      </c>
      <c r="C1420" s="1" t="s">
        <v>5322</v>
      </c>
      <c r="D1420" s="1" t="s">
        <v>5323</v>
      </c>
      <c r="E1420" s="2" t="str">
        <f>IFERROR(__xludf.DUMMYFUNCTION("GOOGLETRANSLATE(C1420, ""en"", ""th"")"),"กล่าวถึงประเภทงานที่จัดขึ้นที่ MU 215")</f>
        <v>กล่าวถึงประเภทงานที่จัดขึ้นที่ MU 215</v>
      </c>
      <c r="F1420" s="1" t="s">
        <v>5324</v>
      </c>
      <c r="G1420" s="1" t="s">
        <v>5325</v>
      </c>
      <c r="H1420" s="1" t="s">
        <v>13</v>
      </c>
    </row>
    <row r="1421">
      <c r="A1421" s="1">
        <v>1419.0</v>
      </c>
      <c r="B1421" s="1" t="s">
        <v>4920</v>
      </c>
      <c r="C1421" s="1" t="s">
        <v>5326</v>
      </c>
      <c r="D1421" s="1" t="s">
        <v>5327</v>
      </c>
      <c r="E1421" s="2" t="str">
        <f>IFERROR(__xludf.DUMMYFUNCTION("GOOGLETRANSLATE(C1421, ""en"", ""th"")"),"งานประเภทไหนที่จัดขึ้นในปี 2020-03-24T12:00:00?")</f>
        <v>งานประเภทไหนที่จัดขึ้นในปี 2020-03-24T12:00:00?</v>
      </c>
      <c r="F1421" s="1" t="s">
        <v>5328</v>
      </c>
      <c r="G1421" s="1" t="s">
        <v>5329</v>
      </c>
      <c r="H1421" s="1" t="s">
        <v>13</v>
      </c>
    </row>
    <row r="1422">
      <c r="A1422" s="1">
        <v>1420.0</v>
      </c>
      <c r="B1422" s="1" t="s">
        <v>4920</v>
      </c>
      <c r="C1422" s="1" t="s">
        <v>5330</v>
      </c>
      <c r="D1422" s="1" t="s">
        <v>5331</v>
      </c>
      <c r="E1422" s="2" t="str">
        <f>IFERROR(__xludf.DUMMYFUNCTION("GOOGLETRANSLATE(C1422, ""en"", ""th"")"),"ระบุชื่อสาขาวิชาที่รองอธิการบดีเข้าร่วม")</f>
        <v>ระบุชื่อสาขาวิชาที่รองอธิการบดีเข้าร่วม</v>
      </c>
      <c r="F1422" s="1" t="s">
        <v>5332</v>
      </c>
      <c r="G1422" s="1" t="s">
        <v>5333</v>
      </c>
      <c r="H1422" s="1" t="s">
        <v>13</v>
      </c>
    </row>
    <row r="1423">
      <c r="A1423" s="1">
        <v>1421.0</v>
      </c>
      <c r="B1423" s="1" t="s">
        <v>4920</v>
      </c>
      <c r="C1423" s="1" t="s">
        <v>5334</v>
      </c>
      <c r="D1423" s="1" t="s">
        <v>5335</v>
      </c>
      <c r="E1423" s="2" t="str">
        <f>IFERROR(__xludf.DUMMYFUNCTION("GOOGLETRANSLATE(C1423, ""en"", ""th"")"),"คำนวณเปอร์เซ็นต์สมาชิกที่เป็นธุรกิจหลักในรายการ?")</f>
        <v>คำนวณเปอร์เซ็นต์สมาชิกที่เป็นธุรกิจหลักในรายการ?</v>
      </c>
      <c r="F1423" s="1" t="s">
        <v>5336</v>
      </c>
      <c r="G1423" s="1" t="s">
        <v>5337</v>
      </c>
      <c r="H1423" s="1" t="s">
        <v>18</v>
      </c>
    </row>
    <row r="1424">
      <c r="A1424" s="1">
        <v>1422.0</v>
      </c>
      <c r="B1424" s="1" t="s">
        <v>4920</v>
      </c>
      <c r="C1424" s="1" t="s">
        <v>5338</v>
      </c>
      <c r="D1424" s="3" t="s">
        <v>5339</v>
      </c>
      <c r="E1424" s="2" t="str">
        <f>IFERROR(__xludf.DUMMYFUNCTION("GOOGLETRANSLATE(C1424, ""en"", ""th"")"),"ระบุประเภทงานที่จัดขึ้นที่ MU 215")</f>
        <v>ระบุประเภทงานที่จัดขึ้นที่ MU 215</v>
      </c>
      <c r="F1424" s="1" t="s">
        <v>5340</v>
      </c>
      <c r="G1424" s="1" t="s">
        <v>5341</v>
      </c>
      <c r="H1424" s="1" t="s">
        <v>13</v>
      </c>
    </row>
    <row r="1425">
      <c r="A1425" s="1">
        <v>1423.0</v>
      </c>
      <c r="B1425" s="1" t="s">
        <v>4920</v>
      </c>
      <c r="C1425" s="1" t="s">
        <v>5342</v>
      </c>
      <c r="D1425" s="1" t="s">
        <v>5343</v>
      </c>
      <c r="E1425" s="2" t="str">
        <f>IFERROR(__xludf.DUMMYFUNCTION("GOOGLETRANSLATE(C1425, ""en"", ""th"")"),"รายได้ 50 รับได้เท่าไหร่?")</f>
        <v>รายได้ 50 รับได้เท่าไหร่?</v>
      </c>
      <c r="F1425" s="1" t="s">
        <v>5344</v>
      </c>
      <c r="G1425" s="1" t="s">
        <v>5345</v>
      </c>
      <c r="H1425" s="1" t="s">
        <v>13</v>
      </c>
    </row>
    <row r="1426">
      <c r="A1426" s="1">
        <v>1424.0</v>
      </c>
      <c r="B1426" s="1" t="s">
        <v>4920</v>
      </c>
      <c r="C1426" s="1" t="s">
        <v>5346</v>
      </c>
      <c r="D1426" s="1" t="s">
        <v>5347</v>
      </c>
      <c r="E1426" s="2" t="str">
        <f>IFERROR(__xludf.DUMMYFUNCTION("GOOGLETRANSLATE(C1426, ""en"", ""th"")"),"ในบรรดาสมาชิก มีเสื้อยืดไซส์ใหญ่พิเศษกี่คน?")</f>
        <v>ในบรรดาสมาชิก มีเสื้อยืดไซส์ใหญ่พิเศษกี่คน?</v>
      </c>
      <c r="F1426" s="1" t="s">
        <v>5348</v>
      </c>
      <c r="G1426" s="1" t="s">
        <v>5349</v>
      </c>
      <c r="H1426" s="1" t="s">
        <v>13</v>
      </c>
    </row>
    <row r="1427">
      <c r="A1427" s="1">
        <v>1425.0</v>
      </c>
      <c r="B1427" s="1" t="s">
        <v>4920</v>
      </c>
      <c r="C1427" s="1" t="s">
        <v>5350</v>
      </c>
      <c r="E1427" s="2" t="str">
        <f>IFERROR(__xludf.DUMMYFUNCTION("GOOGLETRANSLATE(C1427, ""en"", ""th"")"),"ในวิทยาลัยเกษตรและวิทยาศาสตร์ประยุกต์ มีกี่สาขาวิชาเอกที่อยู่ในสังกัดคณะวิชาวิทยาศาสตร์ประยุกต์ เทคโนโลยี และครุศาสตร์?")</f>
        <v>ในวิทยาลัยเกษตรและวิทยาศาสตร์ประยุกต์ มีกี่สาขาวิชาเอกที่อยู่ในสังกัดคณะวิชาวิทยาศาสตร์ประยุกต์ เทคโนโลยี และครุศาสตร์?</v>
      </c>
      <c r="G1427" s="1" t="s">
        <v>5351</v>
      </c>
      <c r="H1427" s="1" t="s">
        <v>13</v>
      </c>
    </row>
    <row r="1428">
      <c r="A1428" s="1">
        <v>1426.0</v>
      </c>
      <c r="B1428" s="1" t="s">
        <v>4920</v>
      </c>
      <c r="C1428" s="1" t="s">
        <v>5352</v>
      </c>
      <c r="D1428" s="3" t="s">
        <v>5353</v>
      </c>
      <c r="E1428" s="2" t="str">
        <f>IFERROR(__xludf.DUMMYFUNCTION("GOOGLETRANSLATE(C1428, ""en"", ""th"")"),"ระบุนามสกุลของสมาชิกสาขาวิชาวิศวกรรมสิ่งแวดล้อม และระบุชื่อแผนกและวิทยาลัยด้วย")</f>
        <v>ระบุนามสกุลของสมาชิกสาขาวิชาวิศวกรรมสิ่งแวดล้อม และระบุชื่อแผนกและวิทยาลัยด้วย</v>
      </c>
      <c r="F1428" s="1" t="s">
        <v>5354</v>
      </c>
      <c r="G1428" s="1" t="s">
        <v>5355</v>
      </c>
      <c r="H1428" s="1" t="s">
        <v>18</v>
      </c>
    </row>
    <row r="1429">
      <c r="A1429" s="1">
        <v>1427.0</v>
      </c>
      <c r="B1429" s="1" t="s">
        <v>4920</v>
      </c>
      <c r="C1429" s="1" t="s">
        <v>5356</v>
      </c>
      <c r="D1429" s="1" t="s">
        <v>5357</v>
      </c>
      <c r="E1429" s="2" t="str">
        <f>IFERROR(__xludf.DUMMYFUNCTION("GOOGLETRANSLATE(C1429, ""en"", ""th"")"),"ประเภทงบประมาณของกิจกรรมที่ MU 215 และประเภทวิทยากรรับเชิญที่ใช้งบประมาณ 0 คืออะไร")</f>
        <v>ประเภทงบประมาณของกิจกรรมที่ MU 215 และประเภทวิทยากรรับเชิญที่ใช้งบประมาณ 0 คืออะไร</v>
      </c>
      <c r="F1429" s="1" t="s">
        <v>5358</v>
      </c>
      <c r="G1429" s="1" t="s">
        <v>5359</v>
      </c>
      <c r="H1429" s="1" t="s">
        <v>18</v>
      </c>
    </row>
    <row r="1430">
      <c r="A1430" s="1">
        <v>1428.0</v>
      </c>
      <c r="B1430" s="1" t="s">
        <v>4920</v>
      </c>
      <c r="C1430" s="1" t="s">
        <v>5360</v>
      </c>
      <c r="D1430" s="3" t="s">
        <v>5361</v>
      </c>
      <c r="E1430" s="2" t="str">
        <f>IFERROR(__xludf.DUMMYFUNCTION("GOOGLETRANSLATE(C1430, ""en"", ""th"")"),"รายชื่อเมืองและรัฐของสมาชิกที่ลงทะเบียนเรียนในแผนกวิศวกรรมไฟฟ้าและคอมพิวเตอร์")</f>
        <v>รายชื่อเมืองและรัฐของสมาชิกที่ลงทะเบียนเรียนในแผนกวิศวกรรมไฟฟ้าและคอมพิวเตอร์</v>
      </c>
      <c r="F1430" s="1" t="s">
        <v>5362</v>
      </c>
      <c r="G1430" s="1" t="s">
        <v>5363</v>
      </c>
      <c r="H1430" s="1" t="s">
        <v>18</v>
      </c>
    </row>
    <row r="1431">
      <c r="A1431" s="1">
        <v>1429.0</v>
      </c>
      <c r="B1431" s="1" t="s">
        <v>4920</v>
      </c>
      <c r="C1431" s="1" t="s">
        <v>5364</v>
      </c>
      <c r="D1431" s="1" t="s">
        <v>5365</v>
      </c>
      <c r="E1431" s="2" t="str">
        <f>IFERROR(__xludf.DUMMYFUNCTION("GOOGLETRANSLATE(C1431, ""en"", ""th"")"),"กิจกรรมทางสังคมที่รองประธานของ Student_Club เข้าร่วมซึ่งตั้งอยู่ที่ 900 E. Washington St. มีชื่อว่าอะไร?")</f>
        <v>กิจกรรมทางสังคมที่รองประธานของ Student_Club เข้าร่วมซึ่งตั้งอยู่ที่ 900 E. Washington St. มีชื่อว่าอะไร?</v>
      </c>
      <c r="F1431" s="1" t="s">
        <v>5366</v>
      </c>
      <c r="G1431" s="1" t="s">
        <v>5367</v>
      </c>
      <c r="H1431" s="1" t="s">
        <v>101</v>
      </c>
    </row>
    <row r="1432">
      <c r="A1432" s="1">
        <v>1430.0</v>
      </c>
      <c r="B1432" s="1" t="s">
        <v>4920</v>
      </c>
      <c r="C1432" s="1" t="s">
        <v>5368</v>
      </c>
      <c r="D1432" s="1" t="s">
        <v>5369</v>
      </c>
      <c r="E1432" s="2" t="str">
        <f>IFERROR(__xludf.DUMMYFUNCTION("GOOGLETRANSLATE(C1432, ""en"", ""th"")"),"นามสกุลและตำแหน่งของนักเรียนที่ซื้อพิซซ่าเมื่อวันที่ 09/10/2019 คืออะไร?")</f>
        <v>นามสกุลและตำแหน่งของนักเรียนที่ซื้อพิซซ่าเมื่อวันที่ 09/10/2019 คืออะไร?</v>
      </c>
      <c r="F1432" s="1" t="s">
        <v>5370</v>
      </c>
      <c r="G1432" s="1" t="s">
        <v>5371</v>
      </c>
      <c r="H1432" s="1" t="s">
        <v>18</v>
      </c>
    </row>
    <row r="1433">
      <c r="A1433" s="1">
        <v>1431.0</v>
      </c>
      <c r="B1433" s="1" t="s">
        <v>4920</v>
      </c>
      <c r="C1433" s="1" t="s">
        <v>5372</v>
      </c>
      <c r="D1433" s="1" t="s">
        <v>5373</v>
      </c>
      <c r="E1433" s="2" t="str">
        <f>IFERROR(__xludf.DUMMYFUNCTION("GOOGLETRANSLATE(C1433, ""en"", ""th"")"),"รายชื่อนามสกุลของสมาชิกของสโมสรที่เข้าร่วมการแข่งขันฟุตบอลหญิง")</f>
        <v>รายชื่อนามสกุลของสมาชิกของสโมสรที่เข้าร่วมการแข่งขันฟุตบอลหญิง</v>
      </c>
      <c r="F1433" s="1" t="s">
        <v>5374</v>
      </c>
      <c r="G1433" s="1" t="s">
        <v>5375</v>
      </c>
      <c r="H1433" s="1" t="s">
        <v>18</v>
      </c>
    </row>
    <row r="1434">
      <c r="A1434" s="1">
        <v>1432.0</v>
      </c>
      <c r="B1434" s="1" t="s">
        <v>4920</v>
      </c>
      <c r="C1434" s="1" t="s">
        <v>5376</v>
      </c>
      <c r="D1434" s="1" t="s">
        <v>5377</v>
      </c>
      <c r="E1434" s="2" t="str">
        <f>IFERROR(__xludf.DUMMYFUNCTION("GOOGLETRANSLATE(C1434, ""en"", ""th"")"),"ในบรรดาสมาชิกที่มีเสื้อยืดไซส์กลาง Student_Club ได้รับจำนวนกี่เปอร์เซ็นต์จากจำนวน 50 ตัว?")</f>
        <v>ในบรรดาสมาชิกที่มีเสื้อยืดไซส์กลาง Student_Club ได้รับจำนวนกี่เปอร์เซ็นต์จากจำนวน 50 ตัว?</v>
      </c>
      <c r="F1434" s="1" t="s">
        <v>5378</v>
      </c>
      <c r="G1434" s="1" t="s">
        <v>5379</v>
      </c>
      <c r="H1434" s="1" t="s">
        <v>18</v>
      </c>
    </row>
    <row r="1435">
      <c r="A1435" s="1">
        <v>1433.0</v>
      </c>
      <c r="B1435" s="1" t="s">
        <v>4920</v>
      </c>
      <c r="C1435" s="1" t="s">
        <v>5380</v>
      </c>
      <c r="D1435" s="1" t="s">
        <v>5381</v>
      </c>
      <c r="E1435" s="2" t="str">
        <f>IFERROR(__xludf.DUMMYFUNCTION("GOOGLETRANSLATE(C1435, ""en"", ""th"")"),"ประเทศใดบ้างที่มีรหัสไปรษณีย์พร้อมตู้ไปรษณีย์?")</f>
        <v>ประเทศใดบ้างที่มีรหัสไปรษณีย์พร้อมตู้ไปรษณีย์?</v>
      </c>
      <c r="F1435" s="1" t="s">
        <v>5382</v>
      </c>
      <c r="G1435" s="1" t="s">
        <v>5383</v>
      </c>
      <c r="H1435" s="1" t="s">
        <v>13</v>
      </c>
    </row>
    <row r="1436">
      <c r="A1436" s="1">
        <v>1434.0</v>
      </c>
      <c r="B1436" s="1" t="s">
        <v>4920</v>
      </c>
      <c r="C1436" s="1" t="s">
        <v>5384</v>
      </c>
      <c r="D1436" s="1" t="s">
        <v>5381</v>
      </c>
      <c r="E1436" s="2" t="str">
        <f>IFERROR(__xludf.DUMMYFUNCTION("GOOGLETRANSLATE(C1436, ""en"", ""th"")"),"รหัสไปรษณีย์ที่มีตู้ไปรษณีย์ในประเทศ San Juan Municipio ซึ่งมีรัฐคือเปอร์โตริโกคืออะไร?")</f>
        <v>รหัสไปรษณีย์ที่มีตู้ไปรษณีย์ในประเทศ San Juan Municipio ซึ่งมีรัฐคือเปอร์โตริโกคืออะไร?</v>
      </c>
      <c r="F1436" s="1" t="s">
        <v>5382</v>
      </c>
      <c r="G1436" s="1" t="s">
        <v>5385</v>
      </c>
      <c r="H1436" s="1" t="s">
        <v>13</v>
      </c>
    </row>
    <row r="1437">
      <c r="A1437" s="1">
        <v>1435.0</v>
      </c>
      <c r="B1437" s="1" t="s">
        <v>4920</v>
      </c>
      <c r="C1437" s="1" t="s">
        <v>5386</v>
      </c>
      <c r="D1437" s="1" t="s">
        <v>5387</v>
      </c>
      <c r="E1437" s="2" t="str">
        <f>IFERROR(__xludf.DUMMYFUNCTION("GOOGLETRANSLATE(C1437, ""en"", ""th"")"),"ระบุชื่อกิจกรรมที่ปิดเป็น ""เกม"" ที่ปิดตั้งแต่วันที่ 15/3/2019 ถึง 20/3/2020")</f>
        <v>ระบุชื่อกิจกรรมที่ปิดเป็น "เกม" ที่ปิดตั้งแต่วันที่ 15/3/2019 ถึง 20/3/2020</v>
      </c>
      <c r="F1437" s="1" t="s">
        <v>5388</v>
      </c>
      <c r="G1437" s="1" t="s">
        <v>5389</v>
      </c>
      <c r="H1437" s="1" t="s">
        <v>18</v>
      </c>
    </row>
    <row r="1438">
      <c r="A1438" s="1">
        <v>1436.0</v>
      </c>
      <c r="B1438" s="1" t="s">
        <v>4920</v>
      </c>
      <c r="C1438" s="1" t="s">
        <v>5390</v>
      </c>
      <c r="D1438" s="1" t="s">
        <v>5391</v>
      </c>
      <c r="E1438" s="2" t="str">
        <f>IFERROR(__xludf.DUMMYFUNCTION("GOOGLETRANSLATE(C1438, ""en"", ""th"")"),"โปรดระบุลิงก์ไปยังกิจกรรมสำหรับสมาชิกที่ชำระเงินมากกว่า 50 ดอลลาร์")</f>
        <v>โปรดระบุลิงก์ไปยังกิจกรรมสำหรับสมาชิกที่ชำระเงินมากกว่า 50 ดอลลาร์</v>
      </c>
      <c r="F1438" s="1" t="s">
        <v>5392</v>
      </c>
      <c r="G1438" s="1" t="s">
        <v>5393</v>
      </c>
      <c r="H1438" s="1" t="s">
        <v>13</v>
      </c>
    </row>
    <row r="1439">
      <c r="A1439" s="1">
        <v>1437.0</v>
      </c>
      <c r="B1439" s="1" t="s">
        <v>4920</v>
      </c>
      <c r="C1439" s="1" t="s">
        <v>5394</v>
      </c>
      <c r="D1439" s="1" t="s">
        <v>5395</v>
      </c>
      <c r="E1439" s="2" t="str">
        <f>IFERROR(__xludf.DUMMYFUNCTION("GOOGLETRANSLATE(C1439, ""en"", ""th"")"),"สมาชิกคนไหนที่ได้รับการอนุมัติตั้งแต่วันที่ 1/10/2562 ถึง 11/19/2562? โปรดระบุสมาชิกที่เข้าร่วมกิจกรรมและลิงก์ไปยังกิจกรรมของพวกเขา")</f>
        <v>สมาชิกคนไหนที่ได้รับการอนุมัติตั้งแต่วันที่ 1/10/2562 ถึง 11/19/2562? โปรดระบุสมาชิกที่เข้าร่วมกิจกรรมและลิงก์ไปยังกิจกรรมของพวกเขา</v>
      </c>
      <c r="F1439" s="1" t="s">
        <v>5396</v>
      </c>
      <c r="G1439" s="1" t="s">
        <v>5397</v>
      </c>
      <c r="H1439" s="1" t="s">
        <v>101</v>
      </c>
    </row>
    <row r="1440">
      <c r="A1440" s="1">
        <v>1438.0</v>
      </c>
      <c r="B1440" s="1" t="s">
        <v>4920</v>
      </c>
      <c r="C1440" s="1" t="s">
        <v>5398</v>
      </c>
      <c r="E1440" s="2" t="str">
        <f>IFERROR(__xludf.DUMMYFUNCTION("GOOGLETRANSLATE(C1440, ""en"", ""th"")"),"กรุณาระบุวิทยาลัยของบุคคลที่ชื่อ Katy พร้อมลิงก์ไปยังสาขาวิชาเอก ""rec1N0upiVLy5esTO""")</f>
        <v>กรุณาระบุวิทยาลัยของบุคคลที่ชื่อ Katy พร้อมลิงก์ไปยังสาขาวิชาเอก "rec1N0upiVLy5esTO"</v>
      </c>
      <c r="G1440" s="1" t="s">
        <v>5399</v>
      </c>
      <c r="H1440" s="1" t="s">
        <v>13</v>
      </c>
    </row>
    <row r="1441">
      <c r="A1441" s="1">
        <v>1439.0</v>
      </c>
      <c r="B1441" s="1" t="s">
        <v>4920</v>
      </c>
      <c r="C1441" s="1" t="s">
        <v>5400</v>
      </c>
      <c r="D1441" s="3" t="s">
        <v>5401</v>
      </c>
      <c r="E1441" s="2" t="str">
        <f>IFERROR(__xludf.DUMMYFUNCTION("GOOGLETRANSLATE(C1441, ""en"", ""th"")"),"กรุณาระบุหมายเลขโทรศัพท์ของสมาชิกที่สำเร็จการศึกษาวิชาเอกธุรกิจของวิทยาลัยเกษตรและวิทยาศาสตร์ประยุกต์")</f>
        <v>กรุณาระบุหมายเลขโทรศัพท์ของสมาชิกที่สำเร็จการศึกษาวิชาเอกธุรกิจของวิทยาลัยเกษตรและวิทยาศาสตร์ประยุกต์</v>
      </c>
      <c r="F1441" s="1" t="s">
        <v>5402</v>
      </c>
      <c r="G1441" s="1" t="s">
        <v>5403</v>
      </c>
      <c r="H1441" s="1" t="s">
        <v>18</v>
      </c>
    </row>
    <row r="1442">
      <c r="A1442" s="1">
        <v>1440.0</v>
      </c>
      <c r="B1442" s="1" t="s">
        <v>4920</v>
      </c>
      <c r="C1442" s="1" t="s">
        <v>5404</v>
      </c>
      <c r="D1442" s="1" t="s">
        <v>5405</v>
      </c>
      <c r="E1442" s="2" t="str">
        <f>IFERROR(__xludf.DUMMYFUNCTION("GOOGLETRANSLATE(C1442, ""en"", ""th"")"),"รายชื่ออีเมลของผู้ที่จ่ายเงินมากกว่า 20 ดอลลาร์ ตั้งแต่วันที่ 10/9/2019 ถึง 11/19/2019")</f>
        <v>รายชื่ออีเมลของผู้ที่จ่ายเงินมากกว่า 20 ดอลลาร์ ตั้งแต่วันที่ 10/9/2019 ถึง 11/19/2019</v>
      </c>
      <c r="F1442" s="1" t="s">
        <v>5406</v>
      </c>
      <c r="G1442" s="1" t="s">
        <v>5407</v>
      </c>
      <c r="H1442" s="1" t="s">
        <v>18</v>
      </c>
    </row>
    <row r="1443">
      <c r="A1443" s="1">
        <v>1441.0</v>
      </c>
      <c r="B1443" s="1" t="s">
        <v>4920</v>
      </c>
      <c r="C1443" s="1" t="s">
        <v>5408</v>
      </c>
      <c r="D1443" s="3" t="s">
        <v>5409</v>
      </c>
      <c r="E1443" s="2" t="str">
        <f>IFERROR(__xludf.DUMMYFUNCTION("GOOGLETRANSLATE(C1443, ""en"", ""th"")"),"มีสมาชิกกี่คนที่สำเร็จการศึกษาวิชาเอกในวิทยาลัยการศึกษาและบริการมนุษย์?")</f>
        <v>มีสมาชิกกี่คนที่สำเร็จการศึกษาวิชาเอกในวิทยาลัยการศึกษาและบริการมนุษย์?</v>
      </c>
      <c r="F1443" s="1" t="s">
        <v>5410</v>
      </c>
      <c r="G1443" s="1" t="s">
        <v>5411</v>
      </c>
      <c r="H1443" s="1" t="s">
        <v>18</v>
      </c>
    </row>
    <row r="1444">
      <c r="A1444" s="1">
        <v>1442.0</v>
      </c>
      <c r="B1444" s="1" t="s">
        <v>4920</v>
      </c>
      <c r="C1444" s="1" t="s">
        <v>5412</v>
      </c>
      <c r="D1444" s="1" t="s">
        <v>5413</v>
      </c>
      <c r="E1444" s="2" t="str">
        <f>IFERROR(__xludf.DUMMYFUNCTION("GOOGLETRANSLATE(C1444, ""en"", ""th"")"),"เปอร์เซ็นต์ของงานที่ใช้งบประมาณเกินงบประมาณคือเท่าใด")</f>
        <v>เปอร์เซ็นต์ของงานที่ใช้งบประมาณเกินงบประมาณคือเท่าใด</v>
      </c>
      <c r="F1444" s="1" t="s">
        <v>5414</v>
      </c>
      <c r="G1444" s="1" t="s">
        <v>5415</v>
      </c>
      <c r="H1444" s="1" t="s">
        <v>13</v>
      </c>
    </row>
    <row r="1445">
      <c r="A1445" s="1">
        <v>1443.0</v>
      </c>
      <c r="B1445" s="1" t="s">
        <v>4920</v>
      </c>
      <c r="C1445" s="1" t="s">
        <v>5416</v>
      </c>
      <c r="D1445" s="1" t="s">
        <v>5417</v>
      </c>
      <c r="E1445" s="2" t="str">
        <f>IFERROR(__xludf.DUMMYFUNCTION("GOOGLETRANSLATE(C1445, ""en"", ""th"")"),"ระบุรหัสกิจกรรม สถานที่ และสถานะของกิจกรรมที่จัดขึ้นตั้งแต่เดือนพฤศจิกายน 2019 ถึงเดือนมีนาคม 2020")</f>
        <v>ระบุรหัสกิจกรรม สถานที่ และสถานะของกิจกรรมที่จัดขึ้นตั้งแต่เดือนพฤศจิกายน 2019 ถึงเดือนมีนาคม 2020</v>
      </c>
      <c r="F1445" s="1" t="s">
        <v>5418</v>
      </c>
      <c r="G1445" s="1" t="s">
        <v>5419</v>
      </c>
      <c r="H1445" s="1" t="s">
        <v>13</v>
      </c>
    </row>
    <row r="1446">
      <c r="A1446" s="1">
        <v>1444.0</v>
      </c>
      <c r="B1446" s="1" t="s">
        <v>4920</v>
      </c>
      <c r="C1446" s="1" t="s">
        <v>5420</v>
      </c>
      <c r="D1446" s="1" t="s">
        <v>5421</v>
      </c>
      <c r="E1446" s="2" t="str">
        <f>IFERROR(__xludf.DUMMYFUNCTION("GOOGLETRANSLATE(C1446, ""en"", ""th"")"),"เขียนรายการค่าใช้จ่ายที่ใช้จ่ายโดยเฉลี่ยมากกว่าห้าสิบดอลลาร์")</f>
        <v>เขียนรายการค่าใช้จ่ายที่ใช้จ่ายโดยเฉลี่ยมากกว่าห้าสิบดอลลาร์</v>
      </c>
      <c r="F1446" s="1" t="s">
        <v>5422</v>
      </c>
      <c r="G1446" s="1" t="s">
        <v>5423</v>
      </c>
      <c r="H1446" s="1" t="s">
        <v>13</v>
      </c>
    </row>
    <row r="1447">
      <c r="A1447" s="1">
        <v>1445.0</v>
      </c>
      <c r="B1447" s="1" t="s">
        <v>4920</v>
      </c>
      <c r="C1447" s="1" t="s">
        <v>5424</v>
      </c>
      <c r="D1447" s="1" t="s">
        <v>5425</v>
      </c>
      <c r="E1447" s="2" t="str">
        <f>IFERROR(__xludf.DUMMYFUNCTION("GOOGLETRANSLATE(C1447, ""en"", ""th"")"),"ค้นหาชื่อเต็มของสมาชิกที่มีขนาดเสื้อยืดใหญ่พิเศษ")</f>
        <v>ค้นหาชื่อเต็มของสมาชิกที่มีขนาดเสื้อยืดใหญ่พิเศษ</v>
      </c>
      <c r="F1447" s="1" t="s">
        <v>5426</v>
      </c>
      <c r="G1447" s="1" t="s">
        <v>5427</v>
      </c>
      <c r="H1447" s="1" t="s">
        <v>13</v>
      </c>
    </row>
    <row r="1448">
      <c r="A1448" s="1">
        <v>1446.0</v>
      </c>
      <c r="B1448" s="1" t="s">
        <v>4920</v>
      </c>
      <c r="C1448" s="1" t="s">
        <v>5428</v>
      </c>
      <c r="D1448" s="1" t="s">
        <v>5429</v>
      </c>
      <c r="E1448" s="2" t="str">
        <f>IFERROR(__xludf.DUMMYFUNCTION("GOOGLETRANSLATE(C1448, ""en"", ""th"")"),"คำนวณเปอร์เซ็นต์ของรหัสไปรษณีย์ที่เป็นตู้ไปรษณีย์")</f>
        <v>คำนวณเปอร์เซ็นต์ของรหัสไปรษณีย์ที่เป็นตู้ไปรษณีย์</v>
      </c>
      <c r="F1448" s="1" t="s">
        <v>5430</v>
      </c>
      <c r="G1448" s="1" t="s">
        <v>5431</v>
      </c>
      <c r="H1448" s="1" t="s">
        <v>13</v>
      </c>
    </row>
    <row r="1449">
      <c r="A1449" s="1">
        <v>1447.0</v>
      </c>
      <c r="B1449" s="1" t="s">
        <v>4920</v>
      </c>
      <c r="C1449" s="1" t="s">
        <v>5432</v>
      </c>
      <c r="D1449" s="1" t="s">
        <v>5433</v>
      </c>
      <c r="E1449" s="2" t="str">
        <f>IFERROR(__xludf.DUMMYFUNCTION("GOOGLETRANSLATE(C1449, ""en"", ""th"")"),"ระบุชื่อและสถานที่จัดงานที่ใช้งบประมาณไม่ถึง")</f>
        <v>ระบุชื่อและสถานที่จัดงานที่ใช้งบประมาณไม่ถึง</v>
      </c>
      <c r="F1449" s="1" t="s">
        <v>5434</v>
      </c>
      <c r="G1449" s="1" t="s">
        <v>5435</v>
      </c>
      <c r="H1449" s="1" t="s">
        <v>13</v>
      </c>
    </row>
    <row r="1450">
      <c r="A1450" s="1">
        <v>1448.0</v>
      </c>
      <c r="B1450" s="1" t="s">
        <v>4920</v>
      </c>
      <c r="C1450" s="1" t="s">
        <v>5436</v>
      </c>
      <c r="D1450" s="1" t="s">
        <v>5437</v>
      </c>
      <c r="E1450" s="2" t="str">
        <f>IFERROR(__xludf.DUMMYFUNCTION("GOOGLETRANSLATE(C1450, ""en"", ""th"")"),"ค้นหาชื่อและวันที่จัดงานพร้อมค่าใช้จ่ายสำหรับพิซซ่าที่มีมูลค่ามากกว่าห้าสิบเหรียญสหรัฐแต่น้อยกว่าหนึ่งร้อยเหรียญสหรัฐ")</f>
        <v>ค้นหาชื่อและวันที่จัดงานพร้อมค่าใช้จ่ายสำหรับพิซซ่าที่มีมูลค่ามากกว่าห้าสิบเหรียญสหรัฐแต่น้อยกว่าหนึ่งร้อยเหรียญสหรัฐ</v>
      </c>
      <c r="F1450" s="1" t="s">
        <v>5438</v>
      </c>
      <c r="G1450" s="1" t="s">
        <v>5439</v>
      </c>
      <c r="H1450" s="1" t="s">
        <v>101</v>
      </c>
    </row>
    <row r="1451">
      <c r="A1451" s="1">
        <v>1449.0</v>
      </c>
      <c r="B1451" s="1" t="s">
        <v>4920</v>
      </c>
      <c r="C1451" s="1" t="s">
        <v>5440</v>
      </c>
      <c r="D1451" s="1" t="s">
        <v>5441</v>
      </c>
      <c r="E1451" s="2" t="str">
        <f>IFERROR(__xludf.DUMMYFUNCTION("GOOGLETRANSLATE(C1451, ""en"", ""th"")"),"ชื่อและสมาชิกหลักที่ต้องใช้เงินมากกว่าหนึ่งร้อยเหรียญคืออะไร?")</f>
        <v>ชื่อและสมาชิกหลักที่ต้องใช้เงินมากกว่าหนึ่งร้อยเหรียญคืออะไร?</v>
      </c>
      <c r="F1451" s="1" t="s">
        <v>5442</v>
      </c>
      <c r="G1451" s="1" t="s">
        <v>5443</v>
      </c>
      <c r="H1451" s="1" t="s">
        <v>18</v>
      </c>
    </row>
    <row r="1452">
      <c r="A1452" s="1">
        <v>1450.0</v>
      </c>
      <c r="B1452" s="1" t="s">
        <v>4920</v>
      </c>
      <c r="C1452" s="1" t="s">
        <v>5444</v>
      </c>
      <c r="D1452" s="1" t="s">
        <v>5445</v>
      </c>
      <c r="E1452" s="2" t="str">
        <f>IFERROR(__xludf.DUMMYFUNCTION("GOOGLETRANSLATE(C1452, ""en"", ""th"")"),"ในกรณีที่มีรายได้มากกว่าสี่สิบราย ให้ระบุเมืองและประเทศที่เกิดเหตุการณ์นี้")</f>
        <v>ในกรณีที่มีรายได้มากกว่าสี่สิบราย ให้ระบุเมืองและประเทศที่เกิดเหตุการณ์นี้</v>
      </c>
      <c r="F1452" s="1" t="s">
        <v>5446</v>
      </c>
      <c r="G1452" s="1" t="s">
        <v>5447</v>
      </c>
      <c r="H1452" s="1" t="s">
        <v>13</v>
      </c>
    </row>
    <row r="1453">
      <c r="A1453" s="1">
        <v>1451.0</v>
      </c>
      <c r="B1453" s="1" t="s">
        <v>4920</v>
      </c>
      <c r="C1453" s="1" t="s">
        <v>5448</v>
      </c>
      <c r="D1453" s="1" t="s">
        <v>5449</v>
      </c>
      <c r="E1453" s="2" t="str">
        <f>IFERROR(__xludf.DUMMYFUNCTION("GOOGLETRANSLATE(C1453, ""en"", ""th"")"),"ในบรรดาสมาชิกที่มีค่าใช้จ่ายในงานมากกว่า 1 งาน ใครจ่ายเงินมากที่สุด?")</f>
        <v>ในบรรดาสมาชิกที่มีค่าใช้จ่ายในงานมากกว่า 1 งาน ใครจ่ายเงินมากที่สุด?</v>
      </c>
      <c r="F1453" s="1" t="s">
        <v>5450</v>
      </c>
      <c r="G1453" s="1" t="s">
        <v>5451</v>
      </c>
      <c r="H1453" s="1" t="s">
        <v>101</v>
      </c>
    </row>
    <row r="1454">
      <c r="A1454" s="1">
        <v>1452.0</v>
      </c>
      <c r="B1454" s="1" t="s">
        <v>4920</v>
      </c>
      <c r="C1454" s="1" t="s">
        <v>5452</v>
      </c>
      <c r="D1454" s="1" t="s">
        <v>5453</v>
      </c>
      <c r="E1454" s="2" t="str">
        <f>IFERROR(__xludf.DUMMYFUNCTION("GOOGLETRANSLATE(C1454, ""en"", ""th"")"),"จำนวนเงินเฉลี่ยที่นักศึกษาในตำแหน่งอื่นที่นอกเหนือจากสมาชิกจ่ายคือเท่าไร?")</f>
        <v>จำนวนเงินเฉลี่ยที่นักศึกษาในตำแหน่งอื่นที่นอกเหนือจากสมาชิกจ่ายคือเท่าไร?</v>
      </c>
      <c r="F1454" s="1" t="s">
        <v>5454</v>
      </c>
      <c r="G1454" s="1" t="s">
        <v>5455</v>
      </c>
      <c r="H1454" s="1" t="s">
        <v>18</v>
      </c>
    </row>
    <row r="1455">
      <c r="A1455" s="1">
        <v>1453.0</v>
      </c>
      <c r="B1455" s="1" t="s">
        <v>4920</v>
      </c>
      <c r="C1455" s="1" t="s">
        <v>5456</v>
      </c>
      <c r="D1455" s="1" t="s">
        <v>5457</v>
      </c>
      <c r="E1455" s="2" t="str">
        <f>IFERROR(__xludf.DUMMYFUNCTION("GOOGLETRANSLATE(C1455, ""en"", ""th"")"),"รายชื่อกิจกรรมที่มีค่าจอดรถน้อยกว่าค่าเฉลี่ย")</f>
        <v>รายชื่อกิจกรรมที่มีค่าจอดรถน้อยกว่าค่าเฉลี่ย</v>
      </c>
      <c r="F1455" s="1" t="s">
        <v>5458</v>
      </c>
      <c r="G1455" s="1" t="s">
        <v>5459</v>
      </c>
      <c r="H1455" s="1" t="s">
        <v>18</v>
      </c>
    </row>
    <row r="1456">
      <c r="A1456" s="1">
        <v>1454.0</v>
      </c>
      <c r="B1456" s="1" t="s">
        <v>4920</v>
      </c>
      <c r="C1456" s="1" t="s">
        <v>5460</v>
      </c>
      <c r="D1456" s="1" t="s">
        <v>5461</v>
      </c>
      <c r="E1456" s="2" t="str">
        <f>IFERROR(__xludf.DUMMYFUNCTION("GOOGLETRANSLATE(C1456, ""en"", ""th"")"),"เปอร์เซ็นต์ของค่าใช้จ่ายสำหรับกิจกรรมการประชุมคือเท่าไร?")</f>
        <v>เปอร์เซ็นต์ของค่าใช้จ่ายสำหรับกิจกรรมการประชุมคือเท่าไร?</v>
      </c>
      <c r="F1456" s="1" t="s">
        <v>5462</v>
      </c>
      <c r="G1456" s="1" t="s">
        <v>5463</v>
      </c>
      <c r="H1456" s="1" t="s">
        <v>18</v>
      </c>
    </row>
    <row r="1457">
      <c r="A1457" s="1">
        <v>1455.0</v>
      </c>
      <c r="B1457" s="1" t="s">
        <v>4920</v>
      </c>
      <c r="C1457" s="1" t="s">
        <v>5464</v>
      </c>
      <c r="D1457" s="1" t="s">
        <v>5465</v>
      </c>
      <c r="E1457" s="2" t="str">
        <f>IFERROR(__xludf.DUMMYFUNCTION("GOOGLETRANSLATE(C1457, ""en"", ""th"")"),"งบประมาณใดที่ยอมให้มีเงินซื้อน้ำ มันฝรั่งทอด และคุกกี้ได้มากที่สุด")</f>
        <v>งบประมาณใดที่ยอมให้มีเงินซื้อน้ำ มันฝรั่งทอด และคุกกี้ได้มากที่สุด</v>
      </c>
      <c r="F1457" s="1" t="s">
        <v>5466</v>
      </c>
      <c r="G1457" s="1" t="s">
        <v>5467</v>
      </c>
      <c r="H1457" s="1" t="s">
        <v>18</v>
      </c>
    </row>
    <row r="1458">
      <c r="A1458" s="1">
        <v>1456.0</v>
      </c>
      <c r="B1458" s="1" t="s">
        <v>4920</v>
      </c>
      <c r="C1458" s="1" t="s">
        <v>5468</v>
      </c>
      <c r="D1458" s="1" t="s">
        <v>5469</v>
      </c>
      <c r="E1458" s="2" t="str">
        <f>IFERROR(__xludf.DUMMYFUNCTION("GOOGLETRANSLATE(C1458, ""en"", ""th"")"),"ระบุชื่อเต็มของสมาชิกห้าอันดับแรกที่ใช้เงินมากที่สุดโดยเรียงลำดับการใช้จ่ายจากมากไปน้อย")</f>
        <v>ระบุชื่อเต็มของสมาชิกห้าอันดับแรกที่ใช้เงินมากที่สุดโดยเรียงลำดับการใช้จ่ายจากมากไปน้อย</v>
      </c>
      <c r="F1458" s="1" t="s">
        <v>5470</v>
      </c>
      <c r="G1458" s="1" t="s">
        <v>5471</v>
      </c>
      <c r="H1458" s="1" t="s">
        <v>18</v>
      </c>
    </row>
    <row r="1459">
      <c r="A1459" s="1">
        <v>1457.0</v>
      </c>
      <c r="B1459" s="1" t="s">
        <v>4920</v>
      </c>
      <c r="C1459" s="1" t="s">
        <v>5472</v>
      </c>
      <c r="D1459" s="1" t="s">
        <v>5473</v>
      </c>
      <c r="E1459" s="2" t="str">
        <f>IFERROR(__xludf.DUMMYFUNCTION("GOOGLETRANSLATE(C1459, ""en"", ""th"")"),"แจ้งชื่อนามสกุลและเบอร์ติดต่อของสมาชิกที่ต้องใช้จ่ายเกินค่าเฉลี่ยในแต่ละค่าใช้จ่าย")</f>
        <v>แจ้งชื่อนามสกุลและเบอร์ติดต่อของสมาชิกที่ต้องใช้จ่ายเกินค่าเฉลี่ยในแต่ละค่าใช้จ่าย</v>
      </c>
      <c r="F1459" s="1" t="s">
        <v>5474</v>
      </c>
      <c r="G1459" s="1" t="s">
        <v>5475</v>
      </c>
      <c r="H1459" s="1" t="s">
        <v>101</v>
      </c>
    </row>
    <row r="1460">
      <c r="A1460" s="1">
        <v>1458.0</v>
      </c>
      <c r="B1460" s="1" t="s">
        <v>4920</v>
      </c>
      <c r="C1460" s="1" t="s">
        <v>5476</v>
      </c>
      <c r="D1460" s="1" t="s">
        <v>5477</v>
      </c>
      <c r="E1460" s="2" t="str">
        <f>IFERROR(__xludf.DUMMYFUNCTION("GOOGLETRANSLATE(C1460, ""en"", ""th"")"),"คำนวณส่วนต่างเป็นเปอร์เซ็นต์ของสมาชิกในรัฐนิวเจอร์ซีย์และเวอร์มอนต์")</f>
        <v>คำนวณส่วนต่างเป็นเปอร์เซ็นต์ของสมาชิกในรัฐนิวเจอร์ซีย์และเวอร์มอนต์</v>
      </c>
      <c r="F1460" s="1" t="s">
        <v>5478</v>
      </c>
      <c r="G1460" s="1" t="s">
        <v>5479</v>
      </c>
      <c r="H1460" s="1" t="s">
        <v>18</v>
      </c>
    </row>
    <row r="1461">
      <c r="A1461" s="1">
        <v>1459.0</v>
      </c>
      <c r="B1461" s="1" t="s">
        <v>4920</v>
      </c>
      <c r="C1461" s="1" t="s">
        <v>5480</v>
      </c>
      <c r="D1461" s="1" t="s">
        <v>5481</v>
      </c>
      <c r="E1461" s="2" t="str">
        <f>IFERROR(__xludf.DUMMYFUNCTION("GOOGLETRANSLATE(C1461, ""en"", ""th"")"),"สาขาวิชาเอกของ Garrett Gerke คืออะไร และอยู่ในแผนกใด?")</f>
        <v>สาขาวิชาเอกของ Garrett Gerke คืออะไร และอยู่ในแผนกใด?</v>
      </c>
      <c r="F1461" s="1" t="s">
        <v>5482</v>
      </c>
      <c r="G1461" s="1" t="s">
        <v>5483</v>
      </c>
      <c r="H1461" s="1" t="s">
        <v>13</v>
      </c>
    </row>
    <row r="1462">
      <c r="A1462" s="1">
        <v>1460.0</v>
      </c>
      <c r="B1462" s="1" t="s">
        <v>4920</v>
      </c>
      <c r="C1462" s="1" t="s">
        <v>5484</v>
      </c>
      <c r="D1462" s="1" t="s">
        <v>5485</v>
      </c>
      <c r="E1462" s="2" t="str">
        <f>IFERROR(__xludf.DUMMYFUNCTION("GOOGLETRANSLATE(C1462, ""en"", ""th"")"),"เขียนชื่อเต็มของสมาชิกที่ใช้เงินค่าน้ำ ถาดผัก และของใช้ต่างๆ พร้อมระบุค่าใช้จ่ายด้วย")</f>
        <v>เขียนชื่อเต็มของสมาชิกที่ใช้เงินค่าน้ำ ถาดผัก และของใช้ต่างๆ พร้อมระบุค่าใช้จ่ายด้วย</v>
      </c>
      <c r="F1462" s="1" t="s">
        <v>5486</v>
      </c>
      <c r="G1462" s="1" t="s">
        <v>5487</v>
      </c>
      <c r="H1462" s="1" t="s">
        <v>101</v>
      </c>
    </row>
    <row r="1463">
      <c r="A1463" s="1">
        <v>1461.0</v>
      </c>
      <c r="B1463" s="1" t="s">
        <v>4920</v>
      </c>
      <c r="C1463" s="1" t="s">
        <v>5488</v>
      </c>
      <c r="D1463" s="3" t="s">
        <v>5489</v>
      </c>
      <c r="E1463" s="2" t="str">
        <f>IFERROR(__xludf.DUMMYFUNCTION("GOOGLETRANSLATE(C1463, ""en"", ""th"")"),"ระบุนามสกุลของนักเรียนในสาขาวิชาเอกประถมศึกษาและระบุหมายเลขโทรศัพท์")</f>
        <v>ระบุนามสกุลของนักเรียนในสาขาวิชาเอกประถมศึกษาและระบุหมายเลขโทรศัพท์</v>
      </c>
      <c r="F1463" s="1" t="s">
        <v>5490</v>
      </c>
      <c r="G1463" s="1" t="s">
        <v>5491</v>
      </c>
      <c r="H1463" s="1" t="s">
        <v>13</v>
      </c>
    </row>
    <row r="1464">
      <c r="A1464" s="1">
        <v>1462.0</v>
      </c>
      <c r="B1464" s="1" t="s">
        <v>4920</v>
      </c>
      <c r="C1464" s="1" t="s">
        <v>5492</v>
      </c>
      <c r="D1464" s="1" t="s">
        <v>5493</v>
      </c>
      <c r="E1464" s="2" t="str">
        <f>IFERROR(__xludf.DUMMYFUNCTION("GOOGLETRANSLATE(C1464, ""en"", ""th"")"),"หมวดหมู่ใดได้รับงบประมาณสำหรับงาน 'January Speaker' และงบประมาณสำหรับหมวดหมู่นั้นคือเท่าใด")</f>
        <v>หมวดหมู่ใดได้รับงบประมาณสำหรับงาน 'January Speaker' และงบประมาณสำหรับหมวดหมู่นั้นคือเท่าใด</v>
      </c>
      <c r="F1464" s="1" t="s">
        <v>5494</v>
      </c>
      <c r="G1464" s="1" t="s">
        <v>5495</v>
      </c>
      <c r="H1464" s="1" t="s">
        <v>13</v>
      </c>
    </row>
    <row r="1465">
      <c r="A1465" s="1">
        <v>1463.0</v>
      </c>
      <c r="B1465" s="1" t="s">
        <v>4920</v>
      </c>
      <c r="C1465" s="1" t="s">
        <v>5496</v>
      </c>
      <c r="D1465" s="1" t="s">
        <v>5497</v>
      </c>
      <c r="E1465" s="2" t="str">
        <f>IFERROR(__xludf.DUMMYFUNCTION("GOOGLETRANSLATE(C1465, ""en"", ""th"")"),"ระบุชื่องานที่ได้รับงบประมาณสำหรับอาหาร")</f>
        <v>ระบุชื่องานที่ได้รับงบประมาณสำหรับอาหาร</v>
      </c>
      <c r="F1465" s="1" t="s">
        <v>5498</v>
      </c>
      <c r="G1465" s="1" t="s">
        <v>5499</v>
      </c>
      <c r="H1465" s="1" t="s">
        <v>13</v>
      </c>
    </row>
    <row r="1466">
      <c r="A1466" s="1">
        <v>1464.0</v>
      </c>
      <c r="B1466" s="1" t="s">
        <v>4920</v>
      </c>
      <c r="C1466" s="1" t="s">
        <v>5500</v>
      </c>
      <c r="D1466" s="1" t="s">
        <v>5501</v>
      </c>
      <c r="E1466" s="2" t="str">
        <f>IFERROR(__xludf.DUMMYFUNCTION("GOOGLETRANSLATE(C1466, ""en"", ""th"")"),"เขียนชื่อเต็มของนักศึกษาที่ได้รับทุน ณ วันที่ 9/9/2562 และรวมจำนวนเงินที่ได้รับ")</f>
        <v>เขียนชื่อเต็มของนักศึกษาที่ได้รับทุน ณ วันที่ 9/9/2562 และรวมจำนวนเงินที่ได้รับ</v>
      </c>
      <c r="F1466" s="1" t="s">
        <v>5502</v>
      </c>
      <c r="G1466" s="1" t="s">
        <v>5503</v>
      </c>
      <c r="H1466" s="1" t="s">
        <v>101</v>
      </c>
    </row>
    <row r="1467">
      <c r="A1467" s="1">
        <v>1465.0</v>
      </c>
      <c r="B1467" s="1" t="s">
        <v>4920</v>
      </c>
      <c r="C1467" s="1" t="s">
        <v>5504</v>
      </c>
      <c r="D1467" s="3" t="s">
        <v>5505</v>
      </c>
      <c r="E1467" s="2" t="str">
        <f>IFERROR(__xludf.DUMMYFUNCTION("GOOGLETRANSLATE(C1467, ""en"", ""th"")"),"ค่าใช้จ่าย 'โปสเตอร์' อยู่ในหมวดงบประมาณใด")</f>
        <v>ค่าใช้จ่าย 'โปสเตอร์' อยู่ในหมวดงบประมาณใด</v>
      </c>
      <c r="F1467" s="1" t="s">
        <v>5506</v>
      </c>
      <c r="G1467" s="1" t="s">
        <v>5507</v>
      </c>
      <c r="H1467" s="1" t="s">
        <v>13</v>
      </c>
    </row>
    <row r="1468">
      <c r="A1468" s="1">
        <v>1466.0</v>
      </c>
      <c r="B1468" s="1" t="s">
        <v>4920</v>
      </c>
      <c r="C1468" s="1" t="s">
        <v>5508</v>
      </c>
      <c r="D1468" s="1" t="s">
        <v>5291</v>
      </c>
      <c r="E1468" s="2" t="str">
        <f>IFERROR(__xludf.DUMMYFUNCTION("GOOGLETRANSLATE(C1468, ""en"", ""th"")"),"เขียนชื่อเต็มของสมาชิกสโมสรพร้อมตำแหน่ง 'เลขานุการ' และระบุรายชื่อสมาชิกสโมสรที่เป็นสมาชิก")</f>
        <v>เขียนชื่อเต็มของสมาชิกสโมสรพร้อมตำแหน่ง 'เลขานุการ' และระบุรายชื่อสมาชิกสโมสรที่เป็นสมาชิก</v>
      </c>
      <c r="F1468" s="1" t="s">
        <v>5292</v>
      </c>
      <c r="G1468" s="1" t="s">
        <v>5509</v>
      </c>
      <c r="H1468" s="1" t="s">
        <v>13</v>
      </c>
    </row>
    <row r="1469">
      <c r="A1469" s="1">
        <v>1467.0</v>
      </c>
      <c r="B1469" s="1" t="s">
        <v>4920</v>
      </c>
      <c r="C1469" s="1" t="s">
        <v>5510</v>
      </c>
      <c r="D1469" s="1" t="s">
        <v>5511</v>
      </c>
      <c r="E1469" s="2" t="str">
        <f>IFERROR(__xludf.DUMMYFUNCTION("GOOGLETRANSLATE(C1469, ""en"", ""th"")"),"คำนวณจำนวนเงินทั้งหมดที่ใช้ไปกับของขวัญสำหรับวิทยากร และระบุชื่องานที่พวกเขาใช้จ่ายไป")</f>
        <v>คำนวณจำนวนเงินทั้งหมดที่ใช้ไปกับของขวัญสำหรับวิทยากร และระบุชื่องานที่พวกเขาใช้จ่ายไป</v>
      </c>
      <c r="F1469" s="1" t="s">
        <v>5512</v>
      </c>
      <c r="G1469" s="1" t="s">
        <v>5513</v>
      </c>
      <c r="H1469" s="1" t="s">
        <v>13</v>
      </c>
    </row>
    <row r="1470">
      <c r="A1470" s="1">
        <v>1468.0</v>
      </c>
      <c r="B1470" s="1" t="s">
        <v>4920</v>
      </c>
      <c r="C1470" s="1" t="s">
        <v>5514</v>
      </c>
      <c r="D1470" s="1" t="s">
        <v>5515</v>
      </c>
      <c r="E1470" s="2" t="str">
        <f>IFERROR(__xludf.DUMMYFUNCTION("GOOGLETRANSLATE(C1470, ""en"", ""th"")"),"บ้านเกิดของ Garrett Gerke อยู่ที่ไหน?")</f>
        <v>บ้านเกิดของ Garrett Gerke อยู่ที่ไหน?</v>
      </c>
      <c r="F1470" s="1" t="s">
        <v>5516</v>
      </c>
      <c r="G1470" s="1" t="s">
        <v>5517</v>
      </c>
      <c r="H1470" s="1" t="s">
        <v>13</v>
      </c>
    </row>
    <row r="1471">
      <c r="A1471" s="1">
        <v>1469.0</v>
      </c>
      <c r="B1471" s="1" t="s">
        <v>4920</v>
      </c>
      <c r="C1471" s="1" t="s">
        <v>5518</v>
      </c>
      <c r="D1471" s="1" t="s">
        <v>5519</v>
      </c>
      <c r="E1471" s="2" t="str">
        <f>IFERROR(__xludf.DUMMYFUNCTION("GOOGLETRANSLATE(C1471, ""en"", ""th"")"),"นักเรียนคนไหนมีบ้านเกิดที่ Lincolnton, North Carolina และมีรหัสไปรษณีย์ 28092 ระบุชื่อเต็มและตำแหน่งของพวกเขา")</f>
        <v>นักเรียนคนไหนมีบ้านเกิดที่ Lincolnton, North Carolina และมีรหัสไปรษณีย์ 28092 ระบุชื่อเต็มและตำแหน่งของพวกเขา</v>
      </c>
      <c r="F1471" s="1" t="s">
        <v>5520</v>
      </c>
      <c r="G1471" s="1" t="s">
        <v>5521</v>
      </c>
      <c r="H1471" s="1" t="s">
        <v>18</v>
      </c>
    </row>
    <row r="1472">
      <c r="A1472" s="1">
        <v>1470.0</v>
      </c>
      <c r="B1472" s="1" t="s">
        <v>5522</v>
      </c>
      <c r="C1472" s="1" t="s">
        <v>5523</v>
      </c>
      <c r="E1472" s="2" t="str">
        <f>IFERROR(__xludf.DUMMYFUNCTION("GOOGLETRANSLATE(C1472, ""en"", ""th"")"),"ปั๊มน้ำมันใน CZE มีปั๊มพรีเมี่ยมกี่แห่ง?")</f>
        <v>ปั๊มน้ำมันใน CZE มีปั๊มพรีเมี่ยมกี่แห่ง?</v>
      </c>
      <c r="G1472" s="1" t="s">
        <v>5524</v>
      </c>
      <c r="H1472" s="1" t="s">
        <v>13</v>
      </c>
    </row>
    <row r="1473">
      <c r="A1473" s="1">
        <v>1471.0</v>
      </c>
      <c r="B1473" s="1" t="s">
        <v>5522</v>
      </c>
      <c r="C1473" s="1" t="s">
        <v>5525</v>
      </c>
      <c r="D1473" s="1" t="s">
        <v>5526</v>
      </c>
      <c r="E1473" s="2" t="str">
        <f>IFERROR(__xludf.DUMMYFUNCTION("GOOGLETRANSLATE(C1473, ""en"", ""th"")"),"อัตราส่วนของลูกค้าที่ชำระเป็น EUR เทียบกับลูกค้าที่ชำระเป็น CZK เป็นเท่าใด")</f>
        <v>อัตราส่วนของลูกค้าที่ชำระเป็น EUR เทียบกับลูกค้าที่ชำระเป็น CZK เป็นเท่าใด</v>
      </c>
      <c r="F1473" s="1" t="s">
        <v>5527</v>
      </c>
      <c r="G1473" s="1" t="s">
        <v>5528</v>
      </c>
      <c r="H1473" s="1" t="s">
        <v>13</v>
      </c>
    </row>
    <row r="1474">
      <c r="A1474" s="1">
        <v>1472.0</v>
      </c>
      <c r="B1474" s="1" t="s">
        <v>5522</v>
      </c>
      <c r="C1474" s="1" t="s">
        <v>5529</v>
      </c>
      <c r="D1474" s="1" t="s">
        <v>5530</v>
      </c>
      <c r="E1474" s="2" t="str">
        <f>IFERROR(__xludf.DUMMYFUNCTION("GOOGLETRANSLATE(C1474, ""en"", ""th"")"),"ในปี 2555 ใครมีการบริโภค LAM น้อยที่สุด?")</f>
        <v>ในปี 2555 ใครมีการบริโภค LAM น้อยที่สุด?</v>
      </c>
      <c r="F1474" s="1" t="s">
        <v>5531</v>
      </c>
      <c r="G1474" s="1" t="s">
        <v>5532</v>
      </c>
      <c r="H1474" s="1" t="s">
        <v>18</v>
      </c>
    </row>
    <row r="1475">
      <c r="A1475" s="1">
        <v>1473.0</v>
      </c>
      <c r="B1475" s="1" t="s">
        <v>5522</v>
      </c>
      <c r="C1475" s="1" t="s">
        <v>5533</v>
      </c>
      <c r="D1475" s="1" t="s">
        <v>5534</v>
      </c>
      <c r="E1475" s="2" t="str">
        <f>IFERROR(__xludf.DUMMYFUNCTION("GOOGLETRANSLATE(C1475, ""en"", ""th"")"),"การบริโภคลูกค้า SME โดยเฉลี่ยต่อเดือนในปี 2556 เป็นเท่าใด")</f>
        <v>การบริโภคลูกค้า SME โดยเฉลี่ยต่อเดือนในปี 2556 เป็นเท่าใด</v>
      </c>
      <c r="F1475" s="1" t="s">
        <v>5535</v>
      </c>
      <c r="G1475" s="1" t="s">
        <v>5536</v>
      </c>
      <c r="H1475" s="1" t="s">
        <v>18</v>
      </c>
    </row>
    <row r="1476">
      <c r="A1476" s="1">
        <v>1474.0</v>
      </c>
      <c r="B1476" s="1" t="s">
        <v>5522</v>
      </c>
      <c r="C1476" s="1" t="s">
        <v>5537</v>
      </c>
      <c r="D1476" s="1" t="s">
        <v>5538</v>
      </c>
      <c r="E1476" s="2" t="str">
        <f>IFERROR(__xludf.DUMMYFUNCTION("GOOGLETRANSLATE(C1476, ""en"", ""th"")"),"ลูกค้ารายใดที่จ่ายเป็นสกุลเงิน CZK และใช้น้ำมันมากที่สุดในปี 2554")</f>
        <v>ลูกค้ารายใดที่จ่ายเป็นสกุลเงิน CZK และใช้น้ำมันมากที่สุดในปี 2554</v>
      </c>
      <c r="F1476" s="1" t="s">
        <v>5539</v>
      </c>
      <c r="G1476" s="1" t="s">
        <v>5540</v>
      </c>
      <c r="H1476" s="1" t="s">
        <v>18</v>
      </c>
    </row>
    <row r="1477">
      <c r="A1477" s="1">
        <v>1475.0</v>
      </c>
      <c r="B1477" s="1" t="s">
        <v>5522</v>
      </c>
      <c r="C1477" s="1" t="s">
        <v>5541</v>
      </c>
      <c r="D1477" s="1" t="s">
        <v>5542</v>
      </c>
      <c r="E1477" s="2" t="str">
        <f>IFERROR(__xludf.DUMMYFUNCTION("GOOGLETRANSLATE(C1477, ""en"", ""th"")"),"ลูกค้าใน KAM มีการบริโภคน้อยกว่า 30,000 รายในปี 2555 มีกี่ราย")</f>
        <v>ลูกค้าใน KAM มีการบริโภคน้อยกว่า 30,000 รายในปี 2555 มีกี่ราย</v>
      </c>
      <c r="F1477" s="1" t="s">
        <v>5543</v>
      </c>
      <c r="G1477" s="1" t="s">
        <v>5544</v>
      </c>
      <c r="H1477" s="1" t="s">
        <v>18</v>
      </c>
    </row>
    <row r="1478">
      <c r="A1478" s="1">
        <v>1476.0</v>
      </c>
      <c r="B1478" s="1" t="s">
        <v>5522</v>
      </c>
      <c r="C1478" s="1" t="s">
        <v>5545</v>
      </c>
      <c r="D1478" s="1" t="s">
        <v>5546</v>
      </c>
      <c r="E1478" s="2" t="str">
        <f>IFERROR(__xludf.DUMMYFUNCTION("GOOGLETRANSLATE(C1478, ""en"", ""th"")"),"อะไรคือความแตกต่างในการใช้ก๊าซระหว่างลูกค้าที่ชำระเงิน CZK และลูกค้าที่ชำระเงิน EUR ในปี 2555")</f>
        <v>อะไรคือความแตกต่างในการใช้ก๊าซระหว่างลูกค้าที่ชำระเงิน CZK และลูกค้าที่ชำระเงิน EUR ในปี 2555</v>
      </c>
      <c r="F1478" s="1" t="s">
        <v>5547</v>
      </c>
      <c r="G1478" s="1" t="s">
        <v>5548</v>
      </c>
      <c r="H1478" s="1" t="s">
        <v>101</v>
      </c>
    </row>
    <row r="1479">
      <c r="A1479" s="1">
        <v>1477.0</v>
      </c>
      <c r="B1479" s="1" t="s">
        <v>5522</v>
      </c>
      <c r="C1479" s="1" t="s">
        <v>5549</v>
      </c>
      <c r="E1479" s="2" t="str">
        <f>IFERROR(__xludf.DUMMYFUNCTION("GOOGLETRANSLATE(C1479, ""en"", ""th"")"),"ปีใดที่มีการบันทึกการใช้ก๊าซมากที่สุดโดยจ่ายเป็นสกุลเงินยูโร")</f>
        <v>ปีใดที่มีการบันทึกการใช้ก๊าซมากที่สุดโดยจ่ายเป็นสกุลเงินยูโร</v>
      </c>
      <c r="G1479" s="1" t="s">
        <v>5550</v>
      </c>
      <c r="H1479" s="1" t="s">
        <v>13</v>
      </c>
    </row>
    <row r="1480">
      <c r="A1480" s="1">
        <v>1478.0</v>
      </c>
      <c r="B1480" s="1" t="s">
        <v>5522</v>
      </c>
      <c r="C1480" s="1" t="s">
        <v>5551</v>
      </c>
      <c r="E1480" s="2" t="str">
        <f>IFERROR(__xludf.DUMMYFUNCTION("GOOGLETRANSLATE(C1480, ""en"", ""th"")"),"กลุ่มใดมีการบริโภคน้อยที่สุด?")</f>
        <v>กลุ่มใดมีการบริโภคน้อยที่สุด?</v>
      </c>
      <c r="G1480" s="1" t="s">
        <v>5552</v>
      </c>
      <c r="H1480" s="1" t="s">
        <v>13</v>
      </c>
    </row>
    <row r="1481">
      <c r="A1481" s="1">
        <v>1479.0</v>
      </c>
      <c r="B1481" s="1" t="s">
        <v>5522</v>
      </c>
      <c r="C1481" s="1" t="s">
        <v>5553</v>
      </c>
      <c r="D1481" s="1" t="s">
        <v>5554</v>
      </c>
      <c r="E1481" s="2" t="str">
        <f>IFERROR(__xludf.DUMMYFUNCTION("GOOGLETRANSLATE(C1481, ""en"", ""th"")"),"ปีใดที่มีการบันทึกการใช้ก๊าซมากที่สุดโดยจ่ายเป็นสกุลเงิน CZK")</f>
        <v>ปีใดที่มีการบันทึกการใช้ก๊าซมากที่สุดโดยจ่ายเป็นสกุลเงิน CZK</v>
      </c>
      <c r="F1481" s="1" t="s">
        <v>5555</v>
      </c>
      <c r="G1481" s="1" t="s">
        <v>5556</v>
      </c>
      <c r="H1481" s="1" t="s">
        <v>18</v>
      </c>
    </row>
    <row r="1482">
      <c r="A1482" s="1">
        <v>1480.0</v>
      </c>
      <c r="B1482" s="1" t="s">
        <v>5522</v>
      </c>
      <c r="C1482" s="1" t="s">
        <v>5557</v>
      </c>
      <c r="D1482" s="1" t="s">
        <v>5558</v>
      </c>
      <c r="E1482" s="2" t="str">
        <f>IFERROR(__xludf.DUMMYFUNCTION("GOOGLETRANSLATE(C1482, ""en"", ""th"")"),"ปริมาณการใช้ก๊าซสูงสุดของลูกค้า SME ในปี 2556 คือเท่าใด")</f>
        <v>ปริมาณการใช้ก๊าซสูงสุดของลูกค้า SME ในปี 2556 คือเท่าใด</v>
      </c>
      <c r="F1482" s="1" t="s">
        <v>5559</v>
      </c>
      <c r="G1482" s="1" t="s">
        <v>5560</v>
      </c>
      <c r="H1482" s="1" t="s">
        <v>18</v>
      </c>
    </row>
    <row r="1483">
      <c r="A1483" s="1">
        <v>1481.0</v>
      </c>
      <c r="B1483" s="1" t="s">
        <v>5522</v>
      </c>
      <c r="C1483" s="1" t="s">
        <v>5561</v>
      </c>
      <c r="D1483" s="1" t="s">
        <v>5562</v>
      </c>
      <c r="E1483" s="2" t="str">
        <f>IFERROR(__xludf.DUMMYFUNCTION("GOOGLETRANSLATE(C1483, ""en"", ""th"")"),"อะไรคือความแตกต่างในการบริโภคเฉลี่ยต่อปีของลูกค้าที่มีปริมาณการบริโภคน้อยที่สุดที่จ่ายเป็นสกุลเงิน CZK ในปี 2013 ระหว่าง SME และ LAM, LAM และ KAM และ KAM และ SME")</f>
        <v>อะไรคือความแตกต่างในการบริโภคเฉลี่ยต่อปีของลูกค้าที่มีปริมาณการบริโภคน้อยที่สุดที่จ่ายเป็นสกุลเงิน CZK ในปี 2013 ระหว่าง SME และ LAM, LAM และ KAM และ KAM และ SME</v>
      </c>
      <c r="F1483" s="1" t="s">
        <v>5563</v>
      </c>
      <c r="G1483" s="1" t="s">
        <v>5564</v>
      </c>
      <c r="H1483" s="1" t="s">
        <v>101</v>
      </c>
    </row>
    <row r="1484">
      <c r="A1484" s="1">
        <v>1482.0</v>
      </c>
      <c r="B1484" s="1" t="s">
        <v>5522</v>
      </c>
      <c r="C1484" s="1" t="s">
        <v>5565</v>
      </c>
      <c r="D1484" s="1" t="s">
        <v>5566</v>
      </c>
      <c r="E1484" s="2" t="str">
        <f>IFERROR(__xludf.DUMMYFUNCTION("GOOGLETRANSLATE(C1484, ""en"", ""th"")"),"กลุ่มใดในสามกลุ่ม ได้แก่ SME, LAM และ KAM ที่มีเปอร์เซ็นต์การบริโภคเพิ่มขึ้นมากที่สุดและต่ำที่สุดโดยจ่ายเป็นสกุลเงินยูโรระหว่างปี 2555 ถึง 2556")</f>
        <v>กลุ่มใดในสามกลุ่ม ได้แก่ SME, LAM และ KAM ที่มีเปอร์เซ็นต์การบริโภคเพิ่มขึ้นมากที่สุดและต่ำที่สุดโดยจ่ายเป็นสกุลเงินยูโรระหว่างปี 2555 ถึง 2556</v>
      </c>
      <c r="F1484" s="1" t="s">
        <v>5567</v>
      </c>
      <c r="G1484" s="1" t="s">
        <v>5568</v>
      </c>
      <c r="H1484" s="1" t="s">
        <v>101</v>
      </c>
    </row>
    <row r="1485">
      <c r="A1485" s="1">
        <v>1483.0</v>
      </c>
      <c r="B1485" s="1" t="s">
        <v>5522</v>
      </c>
      <c r="C1485" s="1" t="s">
        <v>5569</v>
      </c>
      <c r="D1485" s="1" t="s">
        <v>5570</v>
      </c>
      <c r="E1485" s="2" t="str">
        <f>IFERROR(__xludf.DUMMYFUNCTION("GOOGLETRANSLATE(C1485, ""en"", ""th"")"),"ลูกค้า 6 บริโภคทั้งหมดเท่าใดระหว่างเดือนสิงหาคมถึงพฤศจิกายน 2013")</f>
        <v>ลูกค้า 6 บริโภคทั้งหมดเท่าใดระหว่างเดือนสิงหาคมถึงพฤศจิกายน 2013</v>
      </c>
      <c r="F1485" s="1" t="s">
        <v>5571</v>
      </c>
      <c r="G1485" s="1" t="s">
        <v>5572</v>
      </c>
      <c r="H1485" s="1" t="s">
        <v>13</v>
      </c>
    </row>
    <row r="1486">
      <c r="A1486" s="1">
        <v>1484.0</v>
      </c>
      <c r="B1486" s="1" t="s">
        <v>5522</v>
      </c>
      <c r="C1486" s="1" t="s">
        <v>5573</v>
      </c>
      <c r="D1486" s="1" t="s">
        <v>5574</v>
      </c>
      <c r="E1486" s="2" t="str">
        <f>IFERROR(__xludf.DUMMYFUNCTION("GOOGLETRANSLATE(C1486, ""en"", ""th"")"),"สาธารณรัฐเช็กมีปั๊มน้ำมัน ""ส่วนลด"" อีกกี่แห่งเมื่อเปรียบเทียบกับสโลวาเกีย")</f>
        <v>สาธารณรัฐเช็กมีปั๊มน้ำมัน "ส่วนลด" อีกกี่แห่งเมื่อเปรียบเทียบกับสโลวาเกีย</v>
      </c>
      <c r="F1486" s="1" t="s">
        <v>5575</v>
      </c>
      <c r="G1486" s="1" t="s">
        <v>5576</v>
      </c>
      <c r="H1486" s="1" t="s">
        <v>13</v>
      </c>
    </row>
    <row r="1487">
      <c r="A1487" s="1">
        <v>1485.0</v>
      </c>
      <c r="B1487" s="1" t="s">
        <v>5522</v>
      </c>
      <c r="C1487" s="1" t="s">
        <v>5577</v>
      </c>
      <c r="D1487" s="1" t="s">
        <v>5578</v>
      </c>
      <c r="E1487" s="2" t="str">
        <f>IFERROR(__xludf.DUMMYFUNCTION("GOOGLETRANSLATE(C1487, ""en"", ""th"")"),"ลูกค้าหมายเลข 7 บริโภคในเดือนเมษายน 2556 มากกว่าลูกค้าหมายเลข 5 มากน้อยเพียงใด")</f>
        <v>ลูกค้าหมายเลข 7 บริโภคในเดือนเมษายน 2556 มากกว่าลูกค้าหมายเลข 5 มากน้อยเพียงใด</v>
      </c>
      <c r="F1487" s="1" t="s">
        <v>5579</v>
      </c>
      <c r="G1487" s="1" t="s">
        <v>5580</v>
      </c>
      <c r="H1487" s="1" t="s">
        <v>13</v>
      </c>
    </row>
    <row r="1488">
      <c r="A1488" s="1">
        <v>1486.0</v>
      </c>
      <c r="B1488" s="1" t="s">
        <v>5522</v>
      </c>
      <c r="C1488" s="1" t="s">
        <v>5581</v>
      </c>
      <c r="D1488" s="1" t="s">
        <v>5582</v>
      </c>
      <c r="E1488" s="2" t="str">
        <f>IFERROR(__xludf.DUMMYFUNCTION("GOOGLETRANSLATE(C1488, ""en"", ""th"")"),"จริงหรือไม่ที่ SMEs จ่ายเป็นโครูนาเช็กมากกว่ายูโร? ถ้าเป็นเช่นนั้นอีกกี่?")</f>
        <v>จริงหรือไม่ที่ SMEs จ่ายเป็นโครูนาเช็กมากกว่ายูโร? ถ้าเป็นเช่นนั้นอีกกี่?</v>
      </c>
      <c r="F1488" s="1" t="s">
        <v>5583</v>
      </c>
      <c r="G1488" s="1" t="s">
        <v>5584</v>
      </c>
      <c r="H1488" s="1" t="s">
        <v>13</v>
      </c>
    </row>
    <row r="1489">
      <c r="A1489" s="1">
        <v>1487.0</v>
      </c>
      <c r="B1489" s="1" t="s">
        <v>5522</v>
      </c>
      <c r="C1489" s="1" t="s">
        <v>5585</v>
      </c>
      <c r="D1489" s="1" t="s">
        <v>5586</v>
      </c>
      <c r="E1489" s="2" t="str">
        <f>IFERROR(__xludf.DUMMYFUNCTION("GOOGLETRANSLATE(C1489, ""en"", ""th"")"),"ลูกค้า LAM รายใดที่ใช้เงินยูโรเป็นสกุลเงินของตนและมีการบริโภคสูงสุดในเดือนตุลาคม 2013")</f>
        <v>ลูกค้า LAM รายใดที่ใช้เงินยูโรเป็นสกุลเงินของตนและมีการบริโภคสูงสุดในเดือนตุลาคม 2013</v>
      </c>
      <c r="F1489" s="1" t="s">
        <v>5587</v>
      </c>
      <c r="G1489" s="1" t="s">
        <v>5588</v>
      </c>
      <c r="H1489" s="1" t="s">
        <v>18</v>
      </c>
    </row>
    <row r="1490">
      <c r="A1490" s="1">
        <v>1488.0</v>
      </c>
      <c r="B1490" s="1" t="s">
        <v>5522</v>
      </c>
      <c r="C1490" s="1" t="s">
        <v>5589</v>
      </c>
      <c r="E1490" s="2" t="str">
        <f>IFERROR(__xludf.DUMMYFUNCTION("GOOGLETRANSLATE(C1490, ""en"", ""th"")"),"ลูกค้าของ KAM บริโภคใครมากที่สุด? มันกินไปเท่าไหร่?")</f>
        <v>ลูกค้าของ KAM บริโภคใครมากที่สุด? มันกินไปเท่าไหร่?</v>
      </c>
      <c r="G1490" s="1" t="s">
        <v>5590</v>
      </c>
      <c r="H1490" s="1" t="s">
        <v>13</v>
      </c>
    </row>
    <row r="1491">
      <c r="A1491" s="1">
        <v>1489.0</v>
      </c>
      <c r="B1491" s="1" t="s">
        <v>5522</v>
      </c>
      <c r="C1491" s="1" t="s">
        <v>5591</v>
      </c>
      <c r="D1491" s="1" t="s">
        <v>5592</v>
      </c>
      <c r="E1491" s="2" t="str">
        <f>IFERROR(__xludf.DUMMYFUNCTION("GOOGLETRANSLATE(C1491, ""en"", ""th"")"),"ลูกค้า KAM บริโภคทั้งหมดเท่าใดในเดือนพฤษภาคม 2556")</f>
        <v>ลูกค้า KAM บริโภคทั้งหมดเท่าใดในเดือนพฤษภาคม 2556</v>
      </c>
      <c r="F1491" s="1" t="s">
        <v>5593</v>
      </c>
      <c r="G1491" s="1" t="s">
        <v>5594</v>
      </c>
      <c r="H1491" s="1" t="s">
        <v>13</v>
      </c>
    </row>
    <row r="1492">
      <c r="A1492" s="1">
        <v>1490.0</v>
      </c>
      <c r="B1492" s="1" t="s">
        <v>5522</v>
      </c>
      <c r="C1492" s="1" t="s">
        <v>5595</v>
      </c>
      <c r="D1492" s="1" t="s">
        <v>5596</v>
      </c>
      <c r="E1492" s="2" t="str">
        <f>IFERROR(__xludf.DUMMYFUNCTION("GOOGLETRANSLATE(C1492, ""en"", ""th"")"),"ลูกค้า LAM บริโภคมากกว่า 46.73 กี่เปอร์เซ็นต์")</f>
        <v>ลูกค้า LAM บริโภคมากกว่า 46.73 กี่เปอร์เซ็นต์</v>
      </c>
      <c r="F1492" s="1" t="s">
        <v>5597</v>
      </c>
      <c r="G1492" s="1" t="s">
        <v>5598</v>
      </c>
      <c r="H1492" s="1" t="s">
        <v>18</v>
      </c>
    </row>
    <row r="1493">
      <c r="A1493" s="1">
        <v>1491.0</v>
      </c>
      <c r="B1493" s="1" t="s">
        <v>5522</v>
      </c>
      <c r="C1493" s="1" t="s">
        <v>5599</v>
      </c>
      <c r="E1493" s="2" t="str">
        <f>IFERROR(__xludf.DUMMYFUNCTION("GOOGLETRANSLATE(C1493, ""en"", ""th"")"),"ปั๊มน้ำมันประเทศไหน ""คุ้มค่าเงิน"" มากกว่ากัน? โปรดระบุจำนวนปั๊มน้ำมันที่ ""คุ้มค่า"" ทั้งหมดในแต่ละประเทศ")</f>
        <v>ปั๊มน้ำมันประเทศไหน "คุ้มค่าเงิน" มากกว่ากัน? โปรดระบุจำนวนปั๊มน้ำมันที่ "คุ้มค่า" ทั้งหมดในแต่ละประเทศ</v>
      </c>
      <c r="G1493" s="1" t="s">
        <v>5600</v>
      </c>
      <c r="H1493" s="1" t="s">
        <v>13</v>
      </c>
    </row>
    <row r="1494">
      <c r="A1494" s="1">
        <v>1492.0</v>
      </c>
      <c r="B1494" s="1" t="s">
        <v>5522</v>
      </c>
      <c r="C1494" s="1" t="s">
        <v>5601</v>
      </c>
      <c r="D1494" s="1" t="s">
        <v>5602</v>
      </c>
      <c r="E1494" s="2" t="str">
        <f>IFERROR(__xludf.DUMMYFUNCTION("GOOGLETRANSLATE(C1494, ""en"", ""th"")"),"ลูกค้า KAM ชำระเงินเป็นยูโรกี่เปอร์เซ็นต์")</f>
        <v>ลูกค้า KAM ชำระเงินเป็นยูโรกี่เปอร์เซ็นต์</v>
      </c>
      <c r="F1494" s="1" t="s">
        <v>5603</v>
      </c>
      <c r="G1494" s="1" t="s">
        <v>5604</v>
      </c>
      <c r="H1494" s="1" t="s">
        <v>13</v>
      </c>
    </row>
    <row r="1495">
      <c r="A1495" s="1">
        <v>1493.0</v>
      </c>
      <c r="B1495" s="1" t="s">
        <v>5522</v>
      </c>
      <c r="C1495" s="1" t="s">
        <v>5605</v>
      </c>
      <c r="D1495" s="1" t="s">
        <v>5606</v>
      </c>
      <c r="E1495" s="2" t="str">
        <f>IFERROR(__xludf.DUMMYFUNCTION("GOOGLETRANSLATE(C1495, ""en"", ""th"")"),"ในเดือนกุมภาพันธ์ 2012 ลูกค้าบริโภคมากกว่า 528.3 เปอร์เซ็นต์เป็นเท่าใด")</f>
        <v>ในเดือนกุมภาพันธ์ 2012 ลูกค้าบริโภคมากกว่า 528.3 เปอร์เซ็นต์เป็นเท่าใด</v>
      </c>
      <c r="F1495" s="1" t="s">
        <v>5607</v>
      </c>
      <c r="G1495" s="1" t="s">
        <v>5608</v>
      </c>
      <c r="H1495" s="1" t="s">
        <v>13</v>
      </c>
    </row>
    <row r="1496">
      <c r="A1496" s="1">
        <v>1494.0</v>
      </c>
      <c r="B1496" s="1" t="s">
        <v>5522</v>
      </c>
      <c r="C1496" s="1" t="s">
        <v>5609</v>
      </c>
      <c r="D1496" s="1" t="s">
        <v>5610</v>
      </c>
      <c r="E1496" s="2" t="str">
        <f>IFERROR(__xludf.DUMMYFUNCTION("GOOGLETRANSLATE(C1496, ""en"", ""th"")"),"ปั๊มน้ำมันสโลวาเกียมีพรีเมี่ยมกี่เปอร์เซ็นต์?")</f>
        <v>ปั๊มน้ำมันสโลวาเกียมีพรีเมี่ยมกี่เปอร์เซ็นต์?</v>
      </c>
      <c r="F1496" s="1" t="s">
        <v>5611</v>
      </c>
      <c r="G1496" s="1" t="s">
        <v>5612</v>
      </c>
      <c r="H1496" s="1" t="s">
        <v>13</v>
      </c>
    </row>
    <row r="1497">
      <c r="A1497" s="1">
        <v>1495.0</v>
      </c>
      <c r="B1497" s="1" t="s">
        <v>5522</v>
      </c>
      <c r="C1497" s="1" t="s">
        <v>5613</v>
      </c>
      <c r="D1497" s="1" t="s">
        <v>5614</v>
      </c>
      <c r="E1497" s="2" t="str">
        <f>IFERROR(__xludf.DUMMYFUNCTION("GOOGLETRANSLATE(C1497, ""en"", ""th"")"),"รหัสไคลเอ็นต์ใดที่ใช้มากที่สุดในเดือนกันยายน 2013")</f>
        <v>รหัสไคลเอ็นต์ใดที่ใช้มากที่สุดในเดือนกันยายน 2013</v>
      </c>
      <c r="F1497" s="1" t="s">
        <v>5615</v>
      </c>
      <c r="G1497" s="1" t="s">
        <v>5616</v>
      </c>
      <c r="H1497" s="1" t="s">
        <v>13</v>
      </c>
    </row>
    <row r="1498">
      <c r="A1498" s="1">
        <v>1496.0</v>
      </c>
      <c r="B1498" s="1" t="s">
        <v>5522</v>
      </c>
      <c r="C1498" s="1" t="s">
        <v>5617</v>
      </c>
      <c r="D1498" s="1" t="s">
        <v>5614</v>
      </c>
      <c r="E1498" s="2" t="str">
        <f>IFERROR(__xludf.DUMMYFUNCTION("GOOGLETRANSLATE(C1498, ""en"", ""th"")"),"ลูกค้ากลุ่มใดบริโภคน้อยที่สุดในเดือนกันยายน 2013")</f>
        <v>ลูกค้ากลุ่มใดบริโภคน้อยที่สุดในเดือนกันยายน 2013</v>
      </c>
      <c r="F1498" s="1" t="s">
        <v>5615</v>
      </c>
      <c r="G1498" s="1" t="s">
        <v>5618</v>
      </c>
      <c r="H1498" s="1" t="s">
        <v>13</v>
      </c>
    </row>
    <row r="1499">
      <c r="A1499" s="1">
        <v>1497.0</v>
      </c>
      <c r="B1499" s="1" t="s">
        <v>5522</v>
      </c>
      <c r="C1499" s="1" t="s">
        <v>5619</v>
      </c>
      <c r="D1499" s="1" t="s">
        <v>5620</v>
      </c>
      <c r="E1499" s="2" t="str">
        <f>IFERROR(__xludf.DUMMYFUNCTION("GOOGLETRANSLATE(C1499, ""en"", ""th"")"),"ลูกค้า SME รายใดบริโภคน้อยที่สุดในเดือนมิถุนายน 2555")</f>
        <v>ลูกค้า SME รายใดบริโภคน้อยที่สุดในเดือนมิถุนายน 2555</v>
      </c>
      <c r="F1499" s="1" t="s">
        <v>5621</v>
      </c>
      <c r="G1499" s="1" t="s">
        <v>5622</v>
      </c>
      <c r="H1499" s="1" t="s">
        <v>13</v>
      </c>
    </row>
    <row r="1500">
      <c r="A1500" s="1">
        <v>1498.0</v>
      </c>
      <c r="B1500" s="1" t="s">
        <v>5522</v>
      </c>
      <c r="C1500" s="1" t="s">
        <v>5623</v>
      </c>
      <c r="D1500" s="1" t="s">
        <v>5624</v>
      </c>
      <c r="E1500" s="2" t="str">
        <f>IFERROR(__xludf.DUMMYFUNCTION("GOOGLETRANSLATE(C1500, ""en"", ""th"")"),"การบริโภครายเดือนสูงสุดในปี 2555 คืออะไร?")</f>
        <v>การบริโภครายเดือนสูงสุดในปี 2555 คืออะไร?</v>
      </c>
      <c r="F1500" s="1" t="s">
        <v>5625</v>
      </c>
      <c r="G1500" s="1" t="s">
        <v>5626</v>
      </c>
      <c r="H1500" s="1" t="s">
        <v>13</v>
      </c>
    </row>
    <row r="1501">
      <c r="A1501" s="1">
        <v>1499.0</v>
      </c>
      <c r="B1501" s="1" t="s">
        <v>5522</v>
      </c>
      <c r="C1501" s="1" t="s">
        <v>5627</v>
      </c>
      <c r="D1501" s="1" t="s">
        <v>5628</v>
      </c>
      <c r="E1501" s="2" t="str">
        <f>IFERROR(__xludf.DUMMYFUNCTION("GOOGLETRANSLATE(C1501, ""en"", ""th"")"),"การบริโภครายเดือนที่ใหญ่ที่สุดของลูกค้าที่ใช้เงินยูโรเป็นสกุลเงินของพวกเขาคือเท่าใด")</f>
        <v>การบริโภครายเดือนที่ใหญ่ที่สุดของลูกค้าที่ใช้เงินยูโรเป็นสกุลเงินของพวกเขาคือเท่าใด</v>
      </c>
      <c r="F1501" s="1" t="s">
        <v>5629</v>
      </c>
      <c r="G1501" s="1" t="s">
        <v>5630</v>
      </c>
      <c r="H1501" s="1" t="s">
        <v>13</v>
      </c>
    </row>
    <row r="1502">
      <c r="A1502" s="1">
        <v>1500.0</v>
      </c>
      <c r="B1502" s="1" t="s">
        <v>5522</v>
      </c>
      <c r="C1502" s="1" t="s">
        <v>5631</v>
      </c>
      <c r="D1502" s="1" t="s">
        <v>5632</v>
      </c>
      <c r="E1502" s="2" t="str">
        <f>IFERROR(__xludf.DUMMYFUNCTION("GOOGLETRANSLATE(C1502, ""en"", ""th"")"),"กรุณาระบุรายละเอียดสินค้าของผลิตภัณฑ์ที่บริโภคในเดือนกันยายน 2013")</f>
        <v>กรุณาระบุรายละเอียดสินค้าของผลิตภัณฑ์ที่บริโภคในเดือนกันยายน 2013</v>
      </c>
      <c r="F1502" s="1" t="s">
        <v>5633</v>
      </c>
      <c r="G1502" s="1" t="s">
        <v>5634</v>
      </c>
      <c r="H1502" s="1" t="s">
        <v>13</v>
      </c>
    </row>
    <row r="1503">
      <c r="A1503" s="1">
        <v>1501.0</v>
      </c>
      <c r="B1503" s="1" t="s">
        <v>5522</v>
      </c>
      <c r="C1503" s="1" t="s">
        <v>5635</v>
      </c>
      <c r="D1503" s="1" t="s">
        <v>5636</v>
      </c>
      <c r="E1503" s="2" t="str">
        <f>IFERROR(__xludf.DUMMYFUNCTION("GOOGLETRANSLATE(C1503, ""en"", ""th"")"),"โปรดระบุประเทศของปั๊มน้ำมันที่มีธุรกรรมเกิดขึ้นในเดือนมิถุนายน 2556")</f>
        <v>โปรดระบุประเทศของปั๊มน้ำมันที่มีธุรกรรมเกิดขึ้นในเดือนมิถุนายน 2556</v>
      </c>
      <c r="F1503" s="1" t="s">
        <v>5637</v>
      </c>
      <c r="G1503" s="1" t="s">
        <v>5638</v>
      </c>
      <c r="H1503" s="1" t="s">
        <v>18</v>
      </c>
    </row>
    <row r="1504">
      <c r="A1504" s="1">
        <v>1502.0</v>
      </c>
      <c r="B1504" s="1" t="s">
        <v>5522</v>
      </c>
      <c r="C1504" s="1" t="s">
        <v>5639</v>
      </c>
      <c r="E1504" s="2" t="str">
        <f>IFERROR(__xludf.DUMMYFUNCTION("GOOGLETRANSLATE(C1504, ""en"", ""th"")"),"โปรดระบุเครือของปั๊มน้ำมันที่มีธุรกรรมเป็นสกุลเงินยูโร")</f>
        <v>โปรดระบุเครือของปั๊มน้ำมันที่มีธุรกรรมเป็นสกุลเงินยูโร</v>
      </c>
      <c r="G1504" s="1" t="s">
        <v>5640</v>
      </c>
      <c r="H1504" s="1" t="s">
        <v>13</v>
      </c>
    </row>
    <row r="1505">
      <c r="A1505" s="1">
        <v>1503.0</v>
      </c>
      <c r="B1505" s="1" t="s">
        <v>5522</v>
      </c>
      <c r="C1505" s="1" t="s">
        <v>5641</v>
      </c>
      <c r="E1505" s="2" t="str">
        <f>IFERROR(__xludf.DUMMYFUNCTION("GOOGLETRANSLATE(C1505, ""en"", ""th"")"),"กรุณาระบุรายละเอียดสินค้าของผลิตภัณฑ์ที่ซื้อในการทำธุรกรรมในสกุลเงินยูโร")</f>
        <v>กรุณาระบุรายละเอียดสินค้าของผลิตภัณฑ์ที่ซื้อในการทำธุรกรรมในสกุลเงินยูโร</v>
      </c>
      <c r="G1505" s="1" t="s">
        <v>5642</v>
      </c>
      <c r="H1505" s="1" t="s">
        <v>13</v>
      </c>
    </row>
    <row r="1506">
      <c r="A1506" s="1">
        <v>1504.0</v>
      </c>
      <c r="B1506" s="1" t="s">
        <v>5522</v>
      </c>
      <c r="C1506" s="1" t="s">
        <v>5643</v>
      </c>
      <c r="D1506" s="1" t="s">
        <v>5644</v>
      </c>
      <c r="E1506" s="2" t="str">
        <f>IFERROR(__xludf.DUMMYFUNCTION("GOOGLETRANSLATE(C1506, ""en"", ""th"")"),"ราคารวมเฉลี่ยของธุรกรรมที่เกิดขึ้นในเดือนมกราคม 2555 เป็นเท่าใด")</f>
        <v>ราคารวมเฉลี่ยของธุรกรรมที่เกิดขึ้นในเดือนมกราคม 2555 เป็นเท่าใด</v>
      </c>
      <c r="F1506" s="1" t="s">
        <v>5645</v>
      </c>
      <c r="G1506" s="1" t="s">
        <v>5646</v>
      </c>
      <c r="H1506" s="1" t="s">
        <v>13</v>
      </c>
    </row>
    <row r="1507">
      <c r="A1507" s="1">
        <v>1505.0</v>
      </c>
      <c r="B1507" s="1" t="s">
        <v>5522</v>
      </c>
      <c r="C1507" s="1" t="s">
        <v>5647</v>
      </c>
      <c r="D1507" s="1" t="s">
        <v>5648</v>
      </c>
      <c r="E1507" s="2" t="str">
        <f>IFERROR(__xludf.DUMMYFUNCTION("GOOGLETRANSLATE(C1507, ""en"", ""th"")"),"ในบรรดาลูกค้าที่ชำระเป็นเงินยูโร มีกี่รายที่บริโภคเกิน 1,000 ต่อเดือน?")</f>
        <v>ในบรรดาลูกค้าที่ชำระเป็นเงินยูโร มีกี่รายที่บริโภคเกิน 1,000 ต่อเดือน?</v>
      </c>
      <c r="F1507" s="1" t="s">
        <v>5649</v>
      </c>
      <c r="G1507" s="1" t="s">
        <v>5650</v>
      </c>
      <c r="H1507" s="1" t="s">
        <v>13</v>
      </c>
    </row>
    <row r="1508">
      <c r="A1508" s="1">
        <v>1506.0</v>
      </c>
      <c r="B1508" s="1" t="s">
        <v>5522</v>
      </c>
      <c r="C1508" s="1" t="s">
        <v>5651</v>
      </c>
      <c r="D1508" s="1" t="s">
        <v>5652</v>
      </c>
      <c r="E1508" s="2" t="str">
        <f>IFERROR(__xludf.DUMMYFUNCTION("GOOGLETRANSLATE(C1508, ""en"", ""th"")"),"โปรดระบุคำอธิบายผลิตภัณฑ์ของธุรกรรมที่เกิดขึ้นในปั๊มน้ำมันในสาธารณรัฐเช็ก")</f>
        <v>โปรดระบุคำอธิบายผลิตภัณฑ์ของธุรกรรมที่เกิดขึ้นในปั๊มน้ำมันในสาธารณรัฐเช็ก</v>
      </c>
      <c r="F1508" s="1" t="s">
        <v>5653</v>
      </c>
      <c r="G1508" s="1" t="s">
        <v>5654</v>
      </c>
      <c r="H1508" s="1" t="s">
        <v>18</v>
      </c>
    </row>
    <row r="1509">
      <c r="A1509" s="1">
        <v>1507.0</v>
      </c>
      <c r="B1509" s="1" t="s">
        <v>5522</v>
      </c>
      <c r="C1509" s="1" t="s">
        <v>5655</v>
      </c>
      <c r="E1509" s="2" t="str">
        <f>IFERROR(__xludf.DUMMYFUNCTION("GOOGLETRANSLATE(C1509, ""en"", ""th"")"),"โปรดระบุเวลาที่แตกต่างกันของการทำธุรกรรมที่เกิดขึ้นในปั๊มน้ำมันจากห่วงโซ่หมายเลข 11.")</f>
        <v>โปรดระบุเวลาที่แตกต่างกันของการทำธุรกรรมที่เกิดขึ้นในปั๊มน้ำมันจากห่วงโซ่หมายเลข 11.</v>
      </c>
      <c r="G1509" s="1" t="s">
        <v>5656</v>
      </c>
      <c r="H1509" s="1" t="s">
        <v>13</v>
      </c>
    </row>
    <row r="1510">
      <c r="A1510" s="1">
        <v>1508.0</v>
      </c>
      <c r="B1510" s="1" t="s">
        <v>5522</v>
      </c>
      <c r="C1510" s="1" t="s">
        <v>5657</v>
      </c>
      <c r="D1510" s="1" t="s">
        <v>5658</v>
      </c>
      <c r="E1510" s="2" t="str">
        <f>IFERROR(__xludf.DUMMYFUNCTION("GOOGLETRANSLATE(C1510, ""en"", ""th"")"),"ธุรกรรมที่เกิดขึ้นในปั๊มน้ำมันในสาธารณรัฐเช็กมีราคามากกว่า 1,000 รายการมีกี่รายการ")</f>
        <v>ธุรกรรมที่เกิดขึ้นในปั๊มน้ำมันในสาธารณรัฐเช็กมีราคามากกว่า 1,000 รายการมีกี่รายการ</v>
      </c>
      <c r="F1510" s="1" t="s">
        <v>5659</v>
      </c>
      <c r="G1510" s="1" t="s">
        <v>5660</v>
      </c>
      <c r="H1510" s="1" t="s">
        <v>13</v>
      </c>
    </row>
    <row r="1511">
      <c r="A1511" s="1">
        <v>1509.0</v>
      </c>
      <c r="B1511" s="1" t="s">
        <v>5522</v>
      </c>
      <c r="C1511" s="1" t="s">
        <v>5661</v>
      </c>
      <c r="D1511" s="1" t="s">
        <v>5662</v>
      </c>
      <c r="E1511" s="2" t="str">
        <f>IFERROR(__xludf.DUMMYFUNCTION("GOOGLETRANSLATE(C1511, ""en"", ""th"")"),"ในบรรดาธุรกรรมที่เกิดขึ้นในปั๊มน้ำมันในสาธารณรัฐเช็ก มีกี่รายการที่เกิดขึ้นหลังวันที่ 1/1/2555")</f>
        <v>ในบรรดาธุรกรรมที่เกิดขึ้นในปั๊มน้ำมันในสาธารณรัฐเช็ก มีกี่รายการที่เกิดขึ้นหลังวันที่ 1/1/2555</v>
      </c>
      <c r="F1511" s="1" t="s">
        <v>5663</v>
      </c>
      <c r="G1511" s="1" t="s">
        <v>5664</v>
      </c>
      <c r="H1511" s="1" t="s">
        <v>18</v>
      </c>
    </row>
    <row r="1512">
      <c r="A1512" s="1">
        <v>1510.0</v>
      </c>
      <c r="B1512" s="1" t="s">
        <v>5522</v>
      </c>
      <c r="C1512" s="1" t="s">
        <v>5665</v>
      </c>
      <c r="D1512" s="1" t="s">
        <v>5658</v>
      </c>
      <c r="E1512" s="2" t="str">
        <f>IFERROR(__xludf.DUMMYFUNCTION("GOOGLETRANSLATE(C1512, ""en"", ""th"")"),"ราคารวมเฉลี่ยของการทำธุรกรรมที่เกิดขึ้นในปั๊มน้ำมันในสาธารณรัฐเช็กคือเท่าใด")</f>
        <v>ราคารวมเฉลี่ยของการทำธุรกรรมที่เกิดขึ้นในปั๊มน้ำมันในสาธารณรัฐเช็กคือเท่าใด</v>
      </c>
      <c r="F1512" s="1" t="s">
        <v>5659</v>
      </c>
      <c r="G1512" s="1" t="s">
        <v>5666</v>
      </c>
      <c r="H1512" s="1" t="s">
        <v>13</v>
      </c>
    </row>
    <row r="1513">
      <c r="A1513" s="1">
        <v>1511.0</v>
      </c>
      <c r="B1513" s="1" t="s">
        <v>5522</v>
      </c>
      <c r="C1513" s="1" t="s">
        <v>5667</v>
      </c>
      <c r="E1513" s="2" t="str">
        <f>IFERROR(__xludf.DUMMYFUNCTION("GOOGLETRANSLATE(C1513, ""en"", ""th"")"),"สำหรับลูกค้าที่ชำระเงินเป็นสกุลเงินยูโร ราคารวมเฉลี่ยของการทำธุรกรรมคือเท่าใด")</f>
        <v>สำหรับลูกค้าที่ชำระเงินเป็นสกุลเงินยูโร ราคารวมเฉลี่ยของการทำธุรกรรมคือเท่าใด</v>
      </c>
      <c r="G1513" s="1" t="s">
        <v>5668</v>
      </c>
      <c r="H1513" s="1" t="s">
        <v>13</v>
      </c>
    </row>
    <row r="1514">
      <c r="A1514" s="1">
        <v>1512.0</v>
      </c>
      <c r="B1514" s="1" t="s">
        <v>5522</v>
      </c>
      <c r="C1514" s="1" t="s">
        <v>5669</v>
      </c>
      <c r="D1514" s="3" t="s">
        <v>5670</v>
      </c>
      <c r="E1514" s="2" t="str">
        <f>IFERROR(__xludf.DUMMYFUNCTION("GOOGLETRANSLATE(C1514, ""en"", ""th"")"),"ลูกค้ารายใดที่จ่ายเงินมากที่สุดในปี 2555/8/2555?")</f>
        <v>ลูกค้ารายใดที่จ่ายเงินมากที่สุดในปี 2555/8/2555?</v>
      </c>
      <c r="F1514" s="1" t="s">
        <v>5671</v>
      </c>
      <c r="G1514" s="1" t="s">
        <v>5672</v>
      </c>
      <c r="H1514" s="1" t="s">
        <v>13</v>
      </c>
    </row>
    <row r="1515">
      <c r="A1515" s="1">
        <v>1513.0</v>
      </c>
      <c r="B1515" s="1" t="s">
        <v>5522</v>
      </c>
      <c r="C1515" s="1" t="s">
        <v>5673</v>
      </c>
      <c r="D1515" s="3" t="s">
        <v>5670</v>
      </c>
      <c r="E1515" s="2" t="str">
        <f>IFERROR(__xludf.DUMMYFUNCTION("GOOGLETRANSLATE(C1515, ""en"", ""th"")"),"ปั๊มน้ำมันของประเทศใดที่มีลูกค้าชำระเงินเป็นรายแรกในปี 2555/8/2568")</f>
        <v>ปั๊มน้ำมันของประเทศใดที่มีลูกค้าชำระเงินเป็นรายแรกในปี 2555/8/2568</v>
      </c>
      <c r="F1515" s="1" t="s">
        <v>5671</v>
      </c>
      <c r="G1515" s="1" t="s">
        <v>5674</v>
      </c>
      <c r="H1515" s="1" t="s">
        <v>13</v>
      </c>
    </row>
    <row r="1516">
      <c r="A1516" s="1">
        <v>1514.0</v>
      </c>
      <c r="B1516" s="1" t="s">
        <v>5522</v>
      </c>
      <c r="C1516" s="1" t="s">
        <v>5675</v>
      </c>
      <c r="D1516" s="3" t="s">
        <v>5676</v>
      </c>
      <c r="E1516" s="2" t="str">
        <f>IFERROR(__xludf.DUMMYFUNCTION("GOOGLETRANSLATE(C1516, ""en"", ""th"")"),"ลูกค้าชำระเงินเป็นสกุลเงินประเภทใดเมื่อเวลา 16:25:00 น. ของวันที่ 8/8/2555")</f>
        <v>ลูกค้าชำระเงินเป็นสกุลเงินประเภทใดเมื่อเวลา 16:25:00 น. ของวันที่ 8/8/2555</v>
      </c>
      <c r="F1516" s="1" t="s">
        <v>5677</v>
      </c>
      <c r="G1516" s="1" t="s">
        <v>5678</v>
      </c>
      <c r="H1516" s="1" t="s">
        <v>13</v>
      </c>
    </row>
    <row r="1517">
      <c r="A1517" s="1">
        <v>1515.0</v>
      </c>
      <c r="B1517" s="1" t="s">
        <v>5522</v>
      </c>
      <c r="C1517" s="1" t="s">
        <v>5679</v>
      </c>
      <c r="D1517" s="3" t="s">
        <v>5680</v>
      </c>
      <c r="E1517" s="2" t="str">
        <f>IFERROR(__xludf.DUMMYFUNCTION("GOOGLETRANSLATE(C1517, ""en"", ""th"")"),"ลูกค้ามีส่วนใดที่ 2012/8/23 21:20:00?")</f>
        <v>ลูกค้ามีส่วนใดที่ 2012/8/23 21:20:00?</v>
      </c>
      <c r="F1517" s="1" t="s">
        <v>5681</v>
      </c>
      <c r="G1517" s="1" t="s">
        <v>5682</v>
      </c>
      <c r="H1517" s="1" t="s">
        <v>13</v>
      </c>
    </row>
    <row r="1518">
      <c r="A1518" s="1">
        <v>1516.0</v>
      </c>
      <c r="B1518" s="1" t="s">
        <v>5522</v>
      </c>
      <c r="C1518" s="1" t="s">
        <v>5683</v>
      </c>
      <c r="D1518" s="3" t="s">
        <v>5684</v>
      </c>
      <c r="E1518" s="2" t="str">
        <f>IFERROR(__xludf.DUMMYFUNCTION("GOOGLETRANSLATE(C1518, ""en"", ""th"")"),"มีธุรกรรมกี่รายการที่ได้รับการชำระเป็น CZK ในเช้าวันที่ 8/26/2555")</f>
        <v>มีธุรกรรมกี่รายการที่ได้รับการชำระเป็น CZK ในเช้าวันที่ 8/26/2555</v>
      </c>
      <c r="F1518" s="1" t="s">
        <v>5685</v>
      </c>
      <c r="G1518" s="1" t="s">
        <v>5686</v>
      </c>
      <c r="H1518" s="1" t="s">
        <v>18</v>
      </c>
    </row>
    <row r="1519">
      <c r="A1519" s="1">
        <v>1517.0</v>
      </c>
      <c r="B1519" s="1" t="s">
        <v>5522</v>
      </c>
      <c r="C1519" s="1" t="s">
        <v>5687</v>
      </c>
      <c r="E1519" s="2" t="str">
        <f>IFERROR(__xludf.DUMMYFUNCTION("GOOGLETRANSLATE(C1519, ""en"", ""th"")"),"สำหรับลูกค้ากลุ่มแรกสุด เขา/เธอมีกลุ่มใด?")</f>
        <v>สำหรับลูกค้ากลุ่มแรกสุด เขา/เธอมีกลุ่มใด?</v>
      </c>
      <c r="G1519" s="1" t="s">
        <v>5688</v>
      </c>
      <c r="H1519" s="1" t="s">
        <v>13</v>
      </c>
    </row>
    <row r="1520">
      <c r="A1520" s="1">
        <v>1518.0</v>
      </c>
      <c r="B1520" s="1" t="s">
        <v>5522</v>
      </c>
      <c r="C1520" s="1" t="s">
        <v>5689</v>
      </c>
      <c r="D1520" s="3" t="s">
        <v>5690</v>
      </c>
      <c r="E1520" s="2" t="str">
        <f>IFERROR(__xludf.DUMMYFUNCTION("GOOGLETRANSLATE(C1520, ""en"", ""th"")"),"สำหรับข้อตกลงเกิดขึ้นเมื่อ 24/08/2012 เวลา 12:42:00 น. เป็นประเทศไหน?")</f>
        <v>สำหรับข้อตกลงเกิดขึ้นเมื่อ 24/08/2012 เวลา 12:42:00 น. เป็นประเทศไหน?</v>
      </c>
      <c r="F1520" s="1" t="s">
        <v>5691</v>
      </c>
      <c r="G1520" s="1" t="s">
        <v>5692</v>
      </c>
      <c r="H1520" s="1" t="s">
        <v>13</v>
      </c>
    </row>
    <row r="1521">
      <c r="A1521" s="1">
        <v>1519.0</v>
      </c>
      <c r="B1521" s="1" t="s">
        <v>5522</v>
      </c>
      <c r="C1521" s="1" t="s">
        <v>5693</v>
      </c>
      <c r="D1521" s="3" t="s">
        <v>5694</v>
      </c>
      <c r="E1521" s="2" t="str">
        <f>IFERROR(__xludf.DUMMYFUNCTION("GOOGLETRANSLATE(C1521, ""en"", ""th"")"),"รหัสผลิตภัณฑ์ของธุรกรรมเกิดขึ้นเมื่อ 2012/8/23 21:20:00 คืออะไร")</f>
        <v>รหัสผลิตภัณฑ์ของธุรกรรมเกิดขึ้นเมื่อ 2012/8/23 21:20:00 คืออะไร</v>
      </c>
      <c r="F1521" s="1" t="s">
        <v>5695</v>
      </c>
      <c r="G1521" s="1" t="s">
        <v>5696</v>
      </c>
      <c r="H1521" s="1" t="s">
        <v>13</v>
      </c>
    </row>
    <row r="1522">
      <c r="A1522" s="1">
        <v>1520.0</v>
      </c>
      <c r="B1522" s="1" t="s">
        <v>5522</v>
      </c>
      <c r="C1522" s="1" t="s">
        <v>5697</v>
      </c>
      <c r="D1522" s="3" t="s">
        <v>5698</v>
      </c>
      <c r="E1522" s="2" t="str">
        <f>IFERROR(__xludf.DUMMYFUNCTION("GOOGLETRANSLATE(C1522, ""en"", ""th"")"),"สำหรับลูกค้าที่ชำระเงิน 124.05 ในปี 2555/8/2567 ใช้จ่ายไปเท่าไรในช่วงเดือนมกราคม 2555? และวันที่และค่าใช้จ่ายที่แน่นอนคือเมื่อใด?")</f>
        <v>สำหรับลูกค้าที่ชำระเงิน 124.05 ในปี 2555/8/2567 ใช้จ่ายไปเท่าไรในช่วงเดือนมกราคม 2555? และวันที่และค่าใช้จ่ายที่แน่นอนคือเมื่อใด?</v>
      </c>
      <c r="F1522" s="1" t="s">
        <v>5699</v>
      </c>
      <c r="G1522" s="1" t="s">
        <v>5700</v>
      </c>
      <c r="H1522" s="1" t="s">
        <v>18</v>
      </c>
    </row>
    <row r="1523">
      <c r="A1523" s="1">
        <v>1521.0</v>
      </c>
      <c r="B1523" s="1" t="s">
        <v>5522</v>
      </c>
      <c r="C1523" s="1" t="s">
        <v>5701</v>
      </c>
      <c r="D1523" s="1" t="s">
        <v>5702</v>
      </c>
      <c r="E1523" s="2" t="str">
        <f>IFERROR(__xludf.DUMMYFUNCTION("GOOGLETRANSLATE(C1523, ""en"", ""th"")"),"สำหรับธุรกรรมทั้งหมดที่เกิดขึ้นระหว่างเวลา 8:00-9:00 น. ในปี 2555/8/26 มีกี่รายการเกิดขึ้นใน CZE?")</f>
        <v>สำหรับธุรกรรมทั้งหมดที่เกิดขึ้นระหว่างเวลา 8:00-9:00 น. ในปี 2555/8/26 มีกี่รายการเกิดขึ้นใน CZE?</v>
      </c>
      <c r="F1523" s="1" t="s">
        <v>5703</v>
      </c>
      <c r="G1523" s="1" t="s">
        <v>5704</v>
      </c>
      <c r="H1523" s="1" t="s">
        <v>18</v>
      </c>
    </row>
    <row r="1524">
      <c r="A1524" s="1">
        <v>1522.0</v>
      </c>
      <c r="B1524" s="1" t="s">
        <v>5522</v>
      </c>
      <c r="C1524" s="1" t="s">
        <v>5705</v>
      </c>
      <c r="D1524" s="1" t="s">
        <v>5706</v>
      </c>
      <c r="E1524" s="2" t="str">
        <f>IFERROR(__xludf.DUMMYFUNCTION("GOOGLETRANSLATE(C1524, ""en"", ""th"")"),"มีลูกค้ารายหนึ่งใช้จ่าย 214582.17 ในเดือนมิถุนายน 2556 เขา/เธอใช้สกุลเงินใด")</f>
        <v>มีลูกค้ารายหนึ่งใช้จ่าย 214582.17 ในเดือนมิถุนายน 2556 เขา/เธอใช้สกุลเงินใด</v>
      </c>
      <c r="F1524" s="1" t="s">
        <v>5707</v>
      </c>
      <c r="G1524" s="1" t="s">
        <v>5708</v>
      </c>
      <c r="H1524" s="1" t="s">
        <v>13</v>
      </c>
    </row>
    <row r="1525">
      <c r="A1525" s="1">
        <v>1523.0</v>
      </c>
      <c r="B1525" s="1" t="s">
        <v>5522</v>
      </c>
      <c r="C1525" s="1" t="s">
        <v>5709</v>
      </c>
      <c r="E1525" s="2" t="str">
        <f>IFERROR(__xludf.DUMMYFUNCTION("GOOGLETRANSLATE(C1525, ""en"", ""th"")"),"เจ้าของบัตรหมายเลข 667467 อยู่ประเทศใด")</f>
        <v>เจ้าของบัตรหมายเลข 667467 อยู่ประเทศใด</v>
      </c>
      <c r="G1525" s="1" t="s">
        <v>5710</v>
      </c>
      <c r="H1525" s="1" t="s">
        <v>13</v>
      </c>
    </row>
    <row r="1526">
      <c r="A1526" s="1">
        <v>1524.0</v>
      </c>
      <c r="B1526" s="1" t="s">
        <v>5522</v>
      </c>
      <c r="C1526" s="1" t="s">
        <v>5711</v>
      </c>
      <c r="D1526" s="3" t="s">
        <v>5712</v>
      </c>
      <c r="E1526" s="2" t="str">
        <f>IFERROR(__xludf.DUMMYFUNCTION("GOOGLETRANSLATE(C1526, ""en"", ""th"")"),"ลูกค้าที่ใช้จ่าย 548.4 ในปี 2012/8/2012 มีสัญชาติอะไร")</f>
        <v>ลูกค้าที่ใช้จ่าย 548.4 ในปี 2012/8/2012 มีสัญชาติอะไร</v>
      </c>
      <c r="F1526" s="1" t="s">
        <v>5713</v>
      </c>
      <c r="G1526" s="1" t="s">
        <v>5714</v>
      </c>
      <c r="H1526" s="1" t="s">
        <v>13</v>
      </c>
    </row>
    <row r="1527">
      <c r="A1527" s="1">
        <v>1525.0</v>
      </c>
      <c r="B1527" s="1" t="s">
        <v>5522</v>
      </c>
      <c r="C1527" s="1" t="s">
        <v>5715</v>
      </c>
      <c r="D1527" s="3" t="s">
        <v>5670</v>
      </c>
      <c r="E1527" s="2" t="str">
        <f>IFERROR(__xludf.DUMMYFUNCTION("GOOGLETRANSLATE(C1527, ""en"", ""th"")"),"เปอร์เซ็นต์ของลูกค้าที่ใช้ EUR ในปี 2555/8/2555 เป็นเท่าใด")</f>
        <v>เปอร์เซ็นต์ของลูกค้าที่ใช้ EUR ในปี 2555/8/2555 เป็นเท่าใด</v>
      </c>
      <c r="F1527" s="1" t="s">
        <v>5671</v>
      </c>
      <c r="G1527" s="1" t="s">
        <v>5716</v>
      </c>
      <c r="H1527" s="1" t="s">
        <v>13</v>
      </c>
    </row>
    <row r="1528">
      <c r="A1528" s="1">
        <v>1526.0</v>
      </c>
      <c r="B1528" s="1" t="s">
        <v>5522</v>
      </c>
      <c r="C1528" s="1" t="s">
        <v>5717</v>
      </c>
      <c r="D1528" s="3" t="s">
        <v>5718</v>
      </c>
      <c r="E1528" s="2" t="str">
        <f>IFERROR(__xludf.DUMMYFUNCTION("GOOGLETRANSLATE(C1528, ""en"", ""th"")"),"สำหรับลูกค้าที่จ่าย 634.8 ในปี 2555/8/68 อัตราการบริโภคลดลงตั้งแต่ปี 2555 ถึง 2556 เป็นเท่าใด")</f>
        <v>สำหรับลูกค้าที่จ่าย 634.8 ในปี 2555/8/68 อัตราการบริโภคลดลงตั้งแต่ปี 2555 ถึง 2556 เป็นเท่าใด</v>
      </c>
      <c r="F1528" s="1" t="s">
        <v>5719</v>
      </c>
      <c r="G1528" s="1" t="s">
        <v>5720</v>
      </c>
      <c r="H1528" s="1" t="s">
        <v>101</v>
      </c>
    </row>
    <row r="1529">
      <c r="A1529" s="1">
        <v>1527.0</v>
      </c>
      <c r="B1529" s="1" t="s">
        <v>5522</v>
      </c>
      <c r="C1529" s="1" t="s">
        <v>5721</v>
      </c>
      <c r="E1529" s="2" t="str">
        <f>IFERROR(__xludf.DUMMYFUNCTION("GOOGLETRANSLATE(C1529, ""en"", ""th"")"),"ปั๊มน้ำมันใดมีรายได้สูงสุด?")</f>
        <v>ปั๊มน้ำมันใดมีรายได้สูงสุด?</v>
      </c>
      <c r="G1529" s="1" t="s">
        <v>5722</v>
      </c>
      <c r="H1529" s="1" t="s">
        <v>13</v>
      </c>
    </row>
    <row r="1530">
      <c r="A1530" s="1">
        <v>1528.0</v>
      </c>
      <c r="B1530" s="1" t="s">
        <v>5522</v>
      </c>
      <c r="C1530" s="1" t="s">
        <v>5723</v>
      </c>
      <c r="E1530" s="2" t="str">
        <f>IFERROR(__xludf.DUMMYFUNCTION("GOOGLETRANSLATE(C1530, ""en"", ""th"")"),"เปอร์เซ็นต์ของ ""พรีเมียม"" เทียบกับกลุ่มโดยรวมในประเทศ = ""SVK"" คืออะไร")</f>
        <v>เปอร์เซ็นต์ของ "พรีเมียม" เทียบกับกลุ่มโดยรวมในประเทศ = "SVK" คืออะไร</v>
      </c>
      <c r="G1530" s="1" t="s">
        <v>5724</v>
      </c>
      <c r="H1530" s="1" t="s">
        <v>13</v>
      </c>
    </row>
    <row r="1531">
      <c r="A1531" s="1">
        <v>1529.0</v>
      </c>
      <c r="B1531" s="1" t="s">
        <v>5522</v>
      </c>
      <c r="C1531" s="1" t="s">
        <v>5725</v>
      </c>
      <c r="D1531" s="1" t="s">
        <v>5726</v>
      </c>
      <c r="E1531" s="2" t="str">
        <f>IFERROR(__xludf.DUMMYFUNCTION("GOOGLETRANSLATE(C1531, ""en"", ""th"")"),"ลูกค้า ""38508"" ใช้จ่ายที่ปั๊มน้ำมันเป็นจำนวนเงินเท่าไร? ลูกค้าใช้จ่ายไปเท่าใดในเดือนมกราคม 2012")</f>
        <v>ลูกค้า "38508" ใช้จ่ายที่ปั๊มน้ำมันเป็นจำนวนเงินเท่าไร? ลูกค้าใช้จ่ายไปเท่าใดในเดือนมกราคม 2012</v>
      </c>
      <c r="F1531" s="1" t="s">
        <v>5727</v>
      </c>
      <c r="G1531" s="1" t="s">
        <v>5728</v>
      </c>
      <c r="H1531" s="1" t="s">
        <v>18</v>
      </c>
    </row>
    <row r="1532">
      <c r="A1532" s="1">
        <v>1530.0</v>
      </c>
      <c r="B1532" s="1" t="s">
        <v>5522</v>
      </c>
      <c r="C1532" s="1" t="s">
        <v>5729</v>
      </c>
      <c r="D1532" s="1" t="s">
        <v>5730</v>
      </c>
      <c r="E1532" s="2" t="str">
        <f>IFERROR(__xludf.DUMMYFUNCTION("GOOGLETRANSLATE(C1532, ""en"", ""th"")"),"สินค้าขายดี 5 อันดับแรกมีอะไรบ้าง? กรุณาระบุชื่อเต็มของพวกเขา")</f>
        <v>สินค้าขายดี 5 อันดับแรกมีอะไรบ้าง? กรุณาระบุชื่อเต็มของพวกเขา</v>
      </c>
      <c r="F1532" s="1" t="s">
        <v>5731</v>
      </c>
      <c r="G1532" s="1" t="s">
        <v>5732</v>
      </c>
      <c r="H1532" s="1" t="s">
        <v>13</v>
      </c>
    </row>
    <row r="1533">
      <c r="A1533" s="1">
        <v>1531.0</v>
      </c>
      <c r="B1533" s="1" t="s">
        <v>5522</v>
      </c>
      <c r="C1533" s="1" t="s">
        <v>5733</v>
      </c>
      <c r="D1533" s="1" t="s">
        <v>5734</v>
      </c>
      <c r="E1533" s="2" t="str">
        <f>IFERROR(__xludf.DUMMYFUNCTION("GOOGLETRANSLATE(C1533, ""en"", ""th"")"),"ใครคือลูกค้าที่มีการใช้จ่ายสูงสุด และราคาเฉลี่ยต่อสินค้าหนึ่งชิ้นที่ลูกค้ารายนี้ซื้อคือเท่าใด มีการใช้สกุลเงินอะไร?")</f>
        <v>ใครคือลูกค้าที่มีการใช้จ่ายสูงสุด และราคาเฉลี่ยต่อสินค้าหนึ่งชิ้นที่ลูกค้ารายนี้ซื้อคือเท่าใด มีการใช้สกุลเงินอะไร?</v>
      </c>
      <c r="F1533" s="1" t="s">
        <v>5735</v>
      </c>
      <c r="G1533" s="1" t="s">
        <v>5736</v>
      </c>
      <c r="H1533" s="1" t="s">
        <v>18</v>
      </c>
    </row>
    <row r="1534">
      <c r="A1534" s="1">
        <v>1532.0</v>
      </c>
      <c r="B1534" s="1" t="s">
        <v>5522</v>
      </c>
      <c r="C1534" s="1" t="s">
        <v>5737</v>
      </c>
      <c r="E1534" s="2" t="str">
        <f>IFERROR(__xludf.DUMMYFUNCTION("GOOGLETRANSLATE(C1534, ""en"", ""th"")"),"ประเทศใดมีปั๊มน้ำมันที่ขายรหัสผลิตภัณฑ์หมายเลข 2 ที่แพงที่สุดสำหรับหนึ่งหน่วย")</f>
        <v>ประเทศใดมีปั๊มน้ำมันที่ขายรหัสผลิตภัณฑ์หมายเลข 2 ที่แพงที่สุดสำหรับหนึ่งหน่วย</v>
      </c>
      <c r="G1534" s="1" t="s">
        <v>5738</v>
      </c>
      <c r="H1534" s="1" t="s">
        <v>13</v>
      </c>
    </row>
    <row r="1535">
      <c r="A1535" s="1">
        <v>1533.0</v>
      </c>
      <c r="B1535" s="1" t="s">
        <v>5522</v>
      </c>
      <c r="C1535" s="1" t="s">
        <v>5739</v>
      </c>
      <c r="D1535" s="1" t="s">
        <v>5740</v>
      </c>
      <c r="E1535" s="2" t="str">
        <f>IFERROR(__xludf.DUMMYFUNCTION("GOOGLETRANSLATE(C1535, ""en"", ""th"")"),"สำหรับทุกท่านที่ชำระค่าสินค้าเกิน 29.00 ต่อหน่วย รหัสสินค้าหมายเลข 5 ให้สถานะการบริโภคในเดือนสิงหาคม 2555")</f>
        <v>สำหรับทุกท่านที่ชำระค่าสินค้าเกิน 29.00 ต่อหน่วย รหัสสินค้าหมายเลข 5 ให้สถานะการบริโภคในเดือนสิงหาคม 2555</v>
      </c>
      <c r="F1535" s="1" t="s">
        <v>5741</v>
      </c>
      <c r="G1535" s="1" t="s">
        <v>5742</v>
      </c>
      <c r="H1535" s="1" t="s">
        <v>18</v>
      </c>
    </row>
  </sheetData>
  <drawing r:id="rId1"/>
</worksheet>
</file>