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\Documents\TU DELFT\Year 3\Q3\SVV\FLight dynamics report\SVV_FD_B23\"/>
    </mc:Choice>
  </mc:AlternateContent>
  <xr:revisionPtr revIDLastSave="0" documentId="13_ncr:1_{2A52CA20-2E95-41D3-9CAD-3E828B9034E8}" xr6:coauthVersionLast="36" xr6:coauthVersionMax="41" xr10:uidLastSave="{00000000-0000-0000-0000-000000000000}"/>
  <bookViews>
    <workbookView xWindow="5064" yWindow="348" windowWidth="11460" windowHeight="10968" tabRatio="50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Sheet1!$A$1:$AE$92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4" i="2" l="1"/>
  <c r="P4" i="2"/>
  <c r="U4" i="2" s="1"/>
  <c r="V5" i="2"/>
  <c r="V6" i="2"/>
  <c r="V7" i="2"/>
  <c r="V8" i="2"/>
  <c r="V9" i="2"/>
  <c r="U5" i="2"/>
  <c r="U6" i="2"/>
  <c r="U7" i="2"/>
  <c r="U8" i="2"/>
  <c r="U9" i="2"/>
  <c r="N5" i="2"/>
  <c r="V4" i="2"/>
  <c r="K5" i="2"/>
  <c r="M5" i="2" s="1"/>
  <c r="P5" i="2" s="1"/>
  <c r="K6" i="2"/>
  <c r="M6" i="2" s="1"/>
  <c r="P6" i="2" s="1"/>
  <c r="K7" i="2"/>
  <c r="M7" i="2" s="1"/>
  <c r="P7" i="2" s="1"/>
  <c r="K8" i="2"/>
  <c r="K9" i="2"/>
  <c r="K4" i="2"/>
  <c r="M4" i="2" s="1"/>
  <c r="M8" i="2"/>
  <c r="P8" i="2" s="1"/>
  <c r="M9" i="2"/>
  <c r="N6" i="2"/>
  <c r="N7" i="2"/>
  <c r="O7" i="2" s="1"/>
  <c r="N8" i="2"/>
  <c r="O8" i="2" s="1"/>
  <c r="N9" i="2"/>
  <c r="O5" i="2"/>
  <c r="O6" i="2"/>
  <c r="O4" i="2"/>
  <c r="S5" i="2"/>
  <c r="S6" i="2"/>
  <c r="S7" i="2"/>
  <c r="S8" i="2"/>
  <c r="S9" i="2"/>
  <c r="S4" i="2"/>
  <c r="T5" i="2"/>
  <c r="T6" i="2"/>
  <c r="T7" i="2"/>
  <c r="T8" i="2"/>
  <c r="T9" i="2"/>
  <c r="T4" i="2"/>
  <c r="H20" i="1"/>
  <c r="L28" i="1" s="1"/>
  <c r="O28" i="1"/>
  <c r="U28" i="1"/>
  <c r="T28" i="1"/>
  <c r="P9" i="2" l="1"/>
  <c r="W9" i="2" s="1"/>
  <c r="O9" i="2"/>
  <c r="W5" i="2"/>
  <c r="W6" i="2"/>
  <c r="Q60" i="1"/>
  <c r="Q59" i="1"/>
  <c r="V60" i="1"/>
  <c r="V59" i="1"/>
  <c r="V62" i="1"/>
  <c r="V63" i="1"/>
  <c r="V64" i="1"/>
  <c r="V61" i="1"/>
  <c r="S60" i="1"/>
  <c r="S59" i="1"/>
  <c r="S62" i="1"/>
  <c r="S63" i="1"/>
  <c r="S64" i="1"/>
  <c r="S61" i="1"/>
  <c r="W7" i="2" l="1"/>
  <c r="W8" i="2"/>
  <c r="W4" i="2"/>
  <c r="Q62" i="1"/>
  <c r="Q63" i="1"/>
  <c r="Q61" i="1"/>
  <c r="M80" i="1"/>
  <c r="O81" i="1"/>
  <c r="P81" i="1" s="1"/>
  <c r="O80" i="1"/>
  <c r="P80" i="1" s="1"/>
  <c r="Q75" i="1" s="1"/>
  <c r="R75" i="1" s="1"/>
  <c r="S75" i="1" s="1"/>
  <c r="T75" i="1" s="1"/>
  <c r="N81" i="1"/>
  <c r="M81" i="1" s="1"/>
  <c r="N80" i="1"/>
  <c r="O12" i="1"/>
  <c r="P9" i="1"/>
  <c r="P87" i="1"/>
  <c r="O87" i="1"/>
  <c r="N76" i="1"/>
  <c r="P86" i="1"/>
  <c r="O86" i="1"/>
  <c r="N75" i="1"/>
  <c r="U64" i="1"/>
  <c r="T64" i="1"/>
  <c r="U63" i="1"/>
  <c r="T63" i="1"/>
  <c r="W63" i="1" s="1"/>
  <c r="U62" i="1"/>
  <c r="T62" i="1"/>
  <c r="W62" i="1" s="1"/>
  <c r="U59" i="1"/>
  <c r="T59" i="1"/>
  <c r="U60" i="1"/>
  <c r="T60" i="1"/>
  <c r="W60" i="1" s="1"/>
  <c r="U61" i="1"/>
  <c r="T61" i="1"/>
  <c r="W61" i="1" s="1"/>
  <c r="N64" i="1"/>
  <c r="N63" i="1"/>
  <c r="N62" i="1"/>
  <c r="N59" i="1"/>
  <c r="N60" i="1"/>
  <c r="N61" i="1"/>
  <c r="Q65" i="1" l="1"/>
  <c r="W64" i="1"/>
  <c r="W59" i="1"/>
  <c r="Q76" i="1"/>
  <c r="R76" i="1" s="1"/>
  <c r="S76" i="1" s="1"/>
  <c r="T76" i="1" s="1"/>
  <c r="P13" i="1"/>
  <c r="P18" i="1"/>
  <c r="U33" i="1"/>
  <c r="T33" i="1"/>
  <c r="O33" i="1"/>
  <c r="P33" i="1" s="1"/>
  <c r="K33" i="1"/>
  <c r="U32" i="1"/>
  <c r="T32" i="1"/>
  <c r="O32" i="1"/>
  <c r="P32" i="1" s="1"/>
  <c r="K32" i="1"/>
  <c r="U31" i="1"/>
  <c r="T31" i="1"/>
  <c r="O31" i="1"/>
  <c r="P31" i="1" s="1"/>
  <c r="K31" i="1"/>
  <c r="U30" i="1"/>
  <c r="T30" i="1"/>
  <c r="O30" i="1"/>
  <c r="P30" i="1" s="1"/>
  <c r="K30" i="1"/>
  <c r="U29" i="1"/>
  <c r="T29" i="1"/>
  <c r="O29" i="1"/>
  <c r="P29" i="1" s="1"/>
  <c r="K29" i="1"/>
  <c r="P28" i="1"/>
  <c r="K28" i="1"/>
  <c r="H18" i="1"/>
  <c r="O9" i="1" s="1"/>
  <c r="H17" i="1"/>
  <c r="L16" i="1"/>
  <c r="J16" i="1"/>
  <c r="L15" i="1"/>
  <c r="J15" i="1"/>
  <c r="L14" i="1"/>
  <c r="J14" i="1"/>
  <c r="K14" i="1" s="1"/>
  <c r="L13" i="1"/>
  <c r="J13" i="1"/>
  <c r="L12" i="1"/>
  <c r="J12" i="1"/>
  <c r="L11" i="1"/>
  <c r="J11" i="1"/>
  <c r="Q10" i="1"/>
  <c r="L10" i="1"/>
  <c r="J10" i="1"/>
  <c r="Q9" i="1"/>
  <c r="L9" i="1"/>
  <c r="J9" i="1"/>
  <c r="L8" i="1"/>
  <c r="J8" i="1"/>
  <c r="J4" i="1"/>
  <c r="K16" i="1" l="1"/>
  <c r="K4" i="1"/>
  <c r="O62" i="1"/>
  <c r="P62" i="1" s="1"/>
  <c r="O61" i="1"/>
  <c r="P61" i="1" s="1"/>
  <c r="W28" i="1"/>
  <c r="O60" i="1"/>
  <c r="P60" i="1" s="1"/>
  <c r="L19" i="1"/>
  <c r="K15" i="1"/>
  <c r="O10" i="1"/>
  <c r="O11" i="1"/>
  <c r="O13" i="1" s="1"/>
  <c r="W31" i="1"/>
  <c r="W29" i="1"/>
  <c r="K10" i="1"/>
  <c r="K8" i="1"/>
  <c r="K11" i="1"/>
  <c r="K12" i="1"/>
  <c r="W32" i="1"/>
  <c r="K9" i="1"/>
  <c r="W33" i="1"/>
  <c r="K13" i="1"/>
  <c r="W30" i="1"/>
  <c r="L32" i="1"/>
  <c r="N32" i="1" s="1"/>
  <c r="Q32" i="1" s="1"/>
  <c r="V32" i="1" s="1"/>
  <c r="L31" i="1"/>
  <c r="N31" i="1" s="1"/>
  <c r="Q31" i="1" s="1"/>
  <c r="V31" i="1" s="1"/>
  <c r="L30" i="1"/>
  <c r="N30" i="1" s="1"/>
  <c r="Q30" i="1" s="1"/>
  <c r="V30" i="1" s="1"/>
  <c r="R9" i="1"/>
  <c r="S9" i="1" s="1"/>
  <c r="T9" i="1" s="1"/>
  <c r="U9" i="1" s="1"/>
  <c r="R10" i="1"/>
  <c r="S10" i="1" s="1"/>
  <c r="T10" i="1" s="1"/>
  <c r="U10" i="1" s="1"/>
  <c r="N28" i="1" l="1"/>
  <c r="Q28" i="1" s="1"/>
  <c r="V28" i="1" s="1"/>
  <c r="O76" i="1"/>
  <c r="O75" i="1"/>
  <c r="O59" i="1"/>
  <c r="P59" i="1" s="1"/>
  <c r="L29" i="1"/>
  <c r="N29" i="1" s="1"/>
  <c r="Q29" i="1" s="1"/>
  <c r="V29" i="1" s="1"/>
  <c r="L33" i="1"/>
  <c r="N33" i="1" s="1"/>
  <c r="Q33" i="1" s="1"/>
  <c r="V33" i="1" s="1"/>
  <c r="O63" i="1"/>
  <c r="P63" i="1" s="1"/>
  <c r="O64" i="1"/>
  <c r="P64" i="1" s="1"/>
  <c r="K19" i="1"/>
  <c r="Q11" i="1" s="1"/>
  <c r="Q13" i="1" s="1"/>
  <c r="L4" i="1"/>
  <c r="P76" i="1" l="1"/>
  <c r="M87" i="1" s="1"/>
  <c r="Q87" i="1"/>
  <c r="R87" i="1" s="1"/>
  <c r="S87" i="1" s="1"/>
  <c r="T87" i="1" s="1"/>
  <c r="U86" i="1" s="1"/>
  <c r="P75" i="1"/>
  <c r="M86" i="1" s="1"/>
  <c r="Q86" i="1"/>
  <c r="R86" i="1" s="1"/>
  <c r="S86" i="1" s="1"/>
  <c r="T86" i="1" s="1"/>
  <c r="Q15" i="1"/>
  <c r="Q16" i="1"/>
  <c r="Q12" i="1"/>
  <c r="Q80" i="1" s="1"/>
  <c r="R12" i="1"/>
  <c r="N87" i="1" l="1"/>
  <c r="N86" i="1"/>
  <c r="N88" i="1" s="1"/>
  <c r="R59" i="1" s="1"/>
  <c r="S12" i="1"/>
  <c r="R80" i="1"/>
  <c r="S80" i="1" s="1"/>
  <c r="T80" i="1" s="1"/>
  <c r="U80" i="1" s="1"/>
  <c r="R15" i="1"/>
  <c r="Q81" i="1"/>
  <c r="R16" i="1"/>
  <c r="S16" i="1" s="1"/>
  <c r="T16" i="1" s="1"/>
  <c r="U16" i="1" s="1"/>
  <c r="Q17" i="1"/>
  <c r="R17" i="1" s="1"/>
  <c r="S17" i="1" s="1"/>
  <c r="T17" i="1" s="1"/>
  <c r="U17" i="1" s="1"/>
  <c r="T12" i="1"/>
  <c r="U12" i="1" s="1"/>
  <c r="R11" i="1"/>
  <c r="S11" i="1" s="1"/>
  <c r="T11" i="1" s="1"/>
  <c r="U11" i="1" s="1"/>
  <c r="R13" i="1"/>
  <c r="S13" i="1" s="1"/>
  <c r="T13" i="1" s="1"/>
  <c r="U13" i="1" s="1"/>
  <c r="S15" i="1" l="1"/>
  <c r="T15" i="1" s="1"/>
  <c r="U15" i="1" s="1"/>
  <c r="R81" i="1"/>
  <c r="S81" i="1" s="1"/>
  <c r="T81" i="1" s="1"/>
  <c r="U81" i="1" s="1"/>
</calcChain>
</file>

<file path=xl/sharedStrings.xml><?xml version="1.0" encoding="utf-8"?>
<sst xmlns="http://schemas.openxmlformats.org/spreadsheetml/2006/main" count="278" uniqueCount="142">
  <si>
    <t>Post-Flight Data Sheet AE3202</t>
  </si>
  <si>
    <t>date of flight:</t>
  </si>
  <si>
    <t>T/O time:</t>
  </si>
  <si>
    <t>flight number:</t>
  </si>
  <si>
    <t>LND time:</t>
  </si>
  <si>
    <t>Moved fat</t>
  </si>
  <si>
    <t>Weights</t>
  </si>
  <si>
    <t>name</t>
  </si>
  <si>
    <t>mass [kg]</t>
  </si>
  <si>
    <t>X_cg datum [inch]</t>
  </si>
  <si>
    <t>X_cg datum [m]</t>
  </si>
  <si>
    <t>Moment [Nm]</t>
  </si>
  <si>
    <t>Weight [N]</t>
  </si>
  <si>
    <t>Moments</t>
  </si>
  <si>
    <t>(inch pound)</t>
  </si>
  <si>
    <t>(Nm)</t>
  </si>
  <si>
    <t>X_cg [inch]</t>
  </si>
  <si>
    <t>X_cg wrt to MAC [inch]</t>
  </si>
  <si>
    <t>X-cg MAC [m]</t>
  </si>
  <si>
    <t>pilot 1:</t>
  </si>
  <si>
    <t>pilot 2:</t>
  </si>
  <si>
    <t xml:space="preserve">Fuel </t>
  </si>
  <si>
    <t>co-ordinator:</t>
  </si>
  <si>
    <t>BEM</t>
  </si>
  <si>
    <t>observer 1L:</t>
  </si>
  <si>
    <t>ZFM</t>
  </si>
  <si>
    <t>observer 1R:</t>
  </si>
  <si>
    <t>Payload</t>
  </si>
  <si>
    <t>observer 2L:</t>
  </si>
  <si>
    <t>Ramp mass</t>
  </si>
  <si>
    <t>observer 2R:</t>
  </si>
  <si>
    <t>observer 3L:</t>
  </si>
  <si>
    <t>Payload fat boi</t>
  </si>
  <si>
    <t>observer 3R:</t>
  </si>
  <si>
    <t>OEW[lbs]</t>
  </si>
  <si>
    <t>OEW[kg]</t>
  </si>
  <si>
    <t>block fuel [lbs]:</t>
  </si>
  <si>
    <t>blockfuel[kg]</t>
  </si>
  <si>
    <t>TOTAL</t>
  </si>
  <si>
    <t>Zero fuel mass</t>
  </si>
  <si>
    <t>S+Sh</t>
  </si>
  <si>
    <t>Total mass[kg]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</si>
  <si>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</si>
  <si>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</si>
  <si>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</si>
  <si>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</si>
  <si>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</si>
  <si>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</si>
  <si>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</si>
  <si>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</si>
  <si>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</si>
  <si>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</si>
  <si>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</si>
  <si>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</si>
  <si>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</si>
  <si>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F.used</t>
  </si>
  <si>
    <t>Current mass</t>
  </si>
  <si>
    <t>Current weight</t>
  </si>
  <si>
    <t>Thrust</t>
  </si>
  <si>
    <t>Drag</t>
  </si>
  <si>
    <t>Lift</t>
  </si>
  <si>
    <t>Thrust L</t>
  </si>
  <si>
    <t>Thrust R</t>
  </si>
  <si>
    <t>rho</t>
  </si>
  <si>
    <t>V</t>
  </si>
  <si>
    <t>C_L</t>
  </si>
  <si>
    <t>C_D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</si>
  <si>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</si>
  <si>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</si>
  <si>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</si>
  <si>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</si>
  <si>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</si>
  <si>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</si>
  <si>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</si>
  <si>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</si>
  <si>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[kg]</t>
  </si>
  <si>
    <t>[N]</t>
  </si>
  <si>
    <t>[kg/m^3]</t>
  </si>
  <si>
    <t>[m/s]</t>
  </si>
  <si>
    <t>[-]</t>
  </si>
  <si>
    <t>* ET = Elapsed Time</t>
  </si>
  <si>
    <t>[hh:mm]</t>
  </si>
  <si>
    <t>Stationary measurements Elevator Trim Curve</t>
  </si>
  <si>
    <t>de</t>
  </si>
  <si>
    <t>detr</t>
  </si>
  <si>
    <t>Fe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</si>
  <si>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</si>
  <si>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</si>
  <si>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</si>
  <si>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</si>
  <si>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</si>
  <si>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</si>
  <si>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</si>
  <si>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</si>
  <si>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</si>
  <si>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</si>
  <si>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</si>
  <si>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</si>
  <si>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Ramp mass fat</t>
  </si>
  <si>
    <t>Weight [kg]</t>
  </si>
  <si>
    <t>Total fat boi</t>
  </si>
  <si>
    <t>Zero fuel fat boi</t>
  </si>
  <si>
    <t>FAT BOI</t>
  </si>
  <si>
    <t>53.25</t>
  </si>
  <si>
    <t>56.14</t>
  </si>
  <si>
    <t>51.13</t>
  </si>
  <si>
    <t>52.03</t>
  </si>
  <si>
    <t>57.07</t>
  </si>
  <si>
    <t>1.01.10</t>
  </si>
  <si>
    <t>CG MOVED</t>
  </si>
  <si>
    <t>C_m_d</t>
  </si>
  <si>
    <t>C_N</t>
  </si>
  <si>
    <t>Remaining Fuel</t>
  </si>
  <si>
    <t>Moment by fuel</t>
  </si>
  <si>
    <t>[inch-pound]</t>
  </si>
  <si>
    <t>Nm</t>
  </si>
  <si>
    <t>x_cg fuel</t>
  </si>
  <si>
    <t xml:space="preserve">Remaining Fuel </t>
  </si>
  <si>
    <t>[kgs]</t>
  </si>
  <si>
    <t>Moment by payload</t>
  </si>
  <si>
    <t>x_cg payload</t>
  </si>
  <si>
    <t>[m]</t>
  </si>
  <si>
    <t>[Nm]</t>
  </si>
  <si>
    <t>X_cg total</t>
  </si>
  <si>
    <t>X_cg fuel [inch]</t>
  </si>
  <si>
    <t>X_cg payload [inch]</t>
  </si>
  <si>
    <t>X-cg fuel MAC [m]</t>
  </si>
  <si>
    <t>X-cg pay MAC [m]</t>
  </si>
  <si>
    <t>X_cg [inch] total</t>
  </si>
  <si>
    <t xml:space="preserve">diff = </t>
  </si>
  <si>
    <t>d_e_alpha</t>
  </si>
  <si>
    <t>AVERAGE</t>
  </si>
  <si>
    <t>Cm_alpha</t>
  </si>
  <si>
    <t>de (negative)</t>
  </si>
  <si>
    <t>Fe(-)</t>
  </si>
  <si>
    <t>(N)</t>
  </si>
  <si>
    <t>dynamic pressure</t>
  </si>
  <si>
    <t>Aperiodic Roll</t>
  </si>
  <si>
    <t>Short Period</t>
  </si>
  <si>
    <t>Phugoid Motion</t>
  </si>
  <si>
    <t>Spiral Motion</t>
  </si>
  <si>
    <t>C_D_0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</si>
</sst>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21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14"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C_L vs C_D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Sheet1!$V$28:$V$33</c:f>
              <c:numCache>
                <c:formatCode>General</c:formatCode>
                <c:ptCount val="6"/>
                <c:pt idx="0">
                  <c:v>0.26911969038509898</c:v>
                </c:pt>
                <c:pt idx="1">
                  <c:v>0.32810072174714611</c:v>
                </c:pt>
                <c:pt idx="2">
                  <c:v>0.40549205910467551</c:v>
                </c:pt>
                <c:pt idx="3">
                  <c:v>0.62316419948477497</c:v>
                </c:pt>
                <c:pt idx="4">
                  <c:v>0.80355140271382219</c:v>
                </c:pt>
                <c:pt idx="5">
                  <c:v>1.0925141330046546</c:v>
                </c:pt>
              </c:numCache>
            </c:numRef>
          </c:xVal>
          <c:yVal>
            <c:numRef>
              <c:f>Sheet1!$W$28:$W$33</c:f>
              <c:numCache>
                <c:formatCode>General</c:formatCode>
                <c:ptCount val="6"/>
                <c:pt idx="0">
                  <c:v>3.2762078241617434E-2</c:v>
                </c:pt>
                <c:pt idx="1">
                  <c:v>3.6990233943707207E-2</c:v>
                </c:pt>
                <c:pt idx="2">
                  <c:v>3.5113974383638814E-2</c:v>
                </c:pt>
                <c:pt idx="3">
                  <c:v>4.2510526374548371E-2</c:v>
                </c:pt>
                <c:pt idx="4">
                  <c:v>5.8027951123085258E-2</c:v>
                </c:pt>
                <c:pt idx="5">
                  <c:v>6.7858536045662471E-2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6B-4264-8F19-1203A8342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6892"/>
        <c:axId val="20133356"/>
      </c:scatterChart>
      <c:valAx>
        <c:axId val="541868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C_L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20133356"/>
        <c:crosses val="autoZero"/>
        <c:crossBetween val="midCat"/>
      </c:valAx>
      <c:valAx>
        <c:axId val="201333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C_D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541868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CL-alpha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Sheet1!$F$28:$F$33</c:f>
              <c:numCache>
                <c:formatCode>General</c:formatCode>
                <c:ptCount val="6"/>
                <c:pt idx="0">
                  <c:v>1.6</c:v>
                </c:pt>
                <c:pt idx="1">
                  <c:v>2.2999999999999998</c:v>
                </c:pt>
                <c:pt idx="2">
                  <c:v>3.2</c:v>
                </c:pt>
                <c:pt idx="3">
                  <c:v>5.8</c:v>
                </c:pt>
                <c:pt idx="4">
                  <c:v>7.5</c:v>
                </c:pt>
                <c:pt idx="5">
                  <c:v>10.8</c:v>
                </c:pt>
              </c:numCache>
            </c:numRef>
          </c:xVal>
          <c:yVal>
            <c:numRef>
              <c:f>Sheet1!$V$28:$V$33</c:f>
              <c:numCache>
                <c:formatCode>General</c:formatCode>
                <c:ptCount val="6"/>
                <c:pt idx="0">
                  <c:v>0.26911969038509898</c:v>
                </c:pt>
                <c:pt idx="1">
                  <c:v>0.32810072174714611</c:v>
                </c:pt>
                <c:pt idx="2">
                  <c:v>0.40549205910467551</c:v>
                </c:pt>
                <c:pt idx="3">
                  <c:v>0.62316419948477497</c:v>
                </c:pt>
                <c:pt idx="4">
                  <c:v>0.80355140271382219</c:v>
                </c:pt>
                <c:pt idx="5">
                  <c:v>1.0925141330046546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7A-4100-A289-4B9C48C12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5396"/>
        <c:axId val="7171523"/>
      </c:scatterChart>
      <c:valAx>
        <c:axId val="743853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alpha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7171523"/>
        <c:crosses val="autoZero"/>
        <c:crossBetween val="midCat"/>
      </c:valAx>
      <c:valAx>
        <c:axId val="71715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CL [ - 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743853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C_D-Alpha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Sheet1!$F$28:$F$33</c:f>
              <c:numCache>
                <c:formatCode>General</c:formatCode>
                <c:ptCount val="6"/>
                <c:pt idx="0">
                  <c:v>1.6</c:v>
                </c:pt>
                <c:pt idx="1">
                  <c:v>2.2999999999999998</c:v>
                </c:pt>
                <c:pt idx="2">
                  <c:v>3.2</c:v>
                </c:pt>
                <c:pt idx="3">
                  <c:v>5.8</c:v>
                </c:pt>
                <c:pt idx="4">
                  <c:v>7.5</c:v>
                </c:pt>
                <c:pt idx="5">
                  <c:v>10.8</c:v>
                </c:pt>
              </c:numCache>
            </c:numRef>
          </c:xVal>
          <c:yVal>
            <c:numRef>
              <c:f>Sheet1!$W$28:$W$33</c:f>
              <c:numCache>
                <c:formatCode>General</c:formatCode>
                <c:ptCount val="6"/>
                <c:pt idx="0">
                  <c:v>3.2762078241617434E-2</c:v>
                </c:pt>
                <c:pt idx="1">
                  <c:v>3.6990233943707207E-2</c:v>
                </c:pt>
                <c:pt idx="2">
                  <c:v>3.5113974383638814E-2</c:v>
                </c:pt>
                <c:pt idx="3">
                  <c:v>4.2510526374548371E-2</c:v>
                </c:pt>
                <c:pt idx="4">
                  <c:v>5.8027951123085258E-2</c:v>
                </c:pt>
                <c:pt idx="5">
                  <c:v>6.7858536045662471E-2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0B-462F-A941-2DFB87A5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509"/>
        <c:axId val="80103906"/>
      </c:scatterChart>
      <c:valAx>
        <c:axId val="5510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Alpha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80103906"/>
        <c:crosses val="autoZero"/>
        <c:crossBetween val="midCat"/>
      </c:valAx>
      <c:valAx>
        <c:axId val="80103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C_D [-]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551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NL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Elevator</a:t>
            </a:r>
            <a:r>
              <a:rPr lang="en-US" sz="1300" b="0" strike="noStrike" spc="-1" baseline="0">
                <a:latin typeface="Arial"/>
              </a:rPr>
              <a:t> Trim Curve</a:t>
            </a:r>
            <a:endParaRPr lang="en-US" sz="1300" b="0" strike="noStrike" spc="-1">
              <a:latin typeface="Arial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Sheet1!$F$59:$F$63</c:f>
              <c:numCache>
                <c:formatCode>General</c:formatCode>
                <c:ptCount val="5"/>
                <c:pt idx="0">
                  <c:v>7.5</c:v>
                </c:pt>
                <c:pt idx="1">
                  <c:v>6.35</c:v>
                </c:pt>
                <c:pt idx="2">
                  <c:v>5.5</c:v>
                </c:pt>
                <c:pt idx="3">
                  <c:v>4.5999999999999996</c:v>
                </c:pt>
                <c:pt idx="4">
                  <c:v>4</c:v>
                </c:pt>
              </c:numCache>
            </c:numRef>
          </c:xVal>
          <c:yVal>
            <c:numRef>
              <c:f>Sheet1!$S$59:$S$63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0.5</c:v>
                </c:pt>
                <c:pt idx="2">
                  <c:v>0.1</c:v>
                </c:pt>
                <c:pt idx="3">
                  <c:v>-0.3</c:v>
                </c:pt>
                <c:pt idx="4">
                  <c:v>-0.6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5E-4E38-B1EE-EEF09817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509"/>
        <c:axId val="80103906"/>
      </c:scatterChart>
      <c:valAx>
        <c:axId val="5510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Alpha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80103906"/>
        <c:crosses val="autoZero"/>
        <c:crossBetween val="midCat"/>
      </c:valAx>
      <c:valAx>
        <c:axId val="80103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d_e</a:t>
                </a:r>
                <a:r>
                  <a:rPr lang="en-US" sz="900" b="0" strike="noStrike" spc="-1" baseline="0">
                    <a:latin typeface="Arial"/>
                  </a:rPr>
                  <a:t> (-)</a:t>
                </a:r>
                <a:endParaRPr lang="en-US" sz="900" b="0" strike="noStrike" spc="-1">
                  <a:latin typeface="Arial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551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Elevator</a:t>
            </a:r>
            <a:r>
              <a:rPr lang="en-US" sz="1300" b="0" strike="noStrike" spc="-1" baseline="0">
                <a:latin typeface="Arial"/>
              </a:rPr>
              <a:t> Trim Curve</a:t>
            </a:r>
            <a:endParaRPr lang="en-US" sz="1300" b="0" strike="noStrike" spc="-1">
              <a:latin typeface="Arial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Sheet1!$U$59:$U$63</c:f>
              <c:numCache>
                <c:formatCode>General</c:formatCode>
                <c:ptCount val="5"/>
                <c:pt idx="0">
                  <c:v>70.993333327200006</c:v>
                </c:pt>
                <c:pt idx="1">
                  <c:v>76.652222215600005</c:v>
                </c:pt>
                <c:pt idx="2">
                  <c:v>81.282222215200008</c:v>
                </c:pt>
                <c:pt idx="3">
                  <c:v>86.941111103600008</c:v>
                </c:pt>
                <c:pt idx="4">
                  <c:v>92.599999992000008</c:v>
                </c:pt>
              </c:numCache>
            </c:numRef>
          </c:xVal>
          <c:yVal>
            <c:numRef>
              <c:f>Sheet1!$S$59:$S$63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0.5</c:v>
                </c:pt>
                <c:pt idx="2">
                  <c:v>0.1</c:v>
                </c:pt>
                <c:pt idx="3">
                  <c:v>-0.3</c:v>
                </c:pt>
                <c:pt idx="4">
                  <c:v>-0.6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B-48FC-9771-9E5A2C942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509"/>
        <c:axId val="80103906"/>
      </c:scatterChart>
      <c:valAx>
        <c:axId val="5510509"/>
        <c:scaling>
          <c:orientation val="minMax"/>
          <c:min val="6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Speed [m/s]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80103906"/>
        <c:crosses val="autoZero"/>
        <c:crossBetween val="midCat"/>
      </c:valAx>
      <c:valAx>
        <c:axId val="80103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d_e</a:t>
                </a:r>
                <a:r>
                  <a:rPr lang="en-US" sz="900" b="0" strike="noStrike" spc="-1" baseline="0">
                    <a:latin typeface="Arial"/>
                  </a:rPr>
                  <a:t> (-)</a:t>
                </a:r>
                <a:endParaRPr lang="en-US" sz="900" b="0" strike="noStrike" spc="-1">
                  <a:latin typeface="Arial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551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Control</a:t>
            </a:r>
            <a:r>
              <a:rPr lang="en-US" sz="1300" b="0" strike="noStrike" spc="-1" baseline="0">
                <a:latin typeface="Arial"/>
              </a:rPr>
              <a:t> Force Curve</a:t>
            </a:r>
            <a:endParaRPr lang="en-US" sz="1300" b="0" strike="noStrike" spc="-1">
              <a:latin typeface="Arial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Sheet1!$U$59:$U$63</c:f>
              <c:numCache>
                <c:formatCode>General</c:formatCode>
                <c:ptCount val="5"/>
                <c:pt idx="0">
                  <c:v>70.993333327200006</c:v>
                </c:pt>
                <c:pt idx="1">
                  <c:v>76.652222215600005</c:v>
                </c:pt>
                <c:pt idx="2">
                  <c:v>81.282222215200008</c:v>
                </c:pt>
                <c:pt idx="3">
                  <c:v>86.941111103600008</c:v>
                </c:pt>
                <c:pt idx="4">
                  <c:v>92.599999992000008</c:v>
                </c:pt>
              </c:numCache>
            </c:numRef>
          </c:xVal>
          <c:yVal>
            <c:numRef>
              <c:f>Sheet1!$V$59:$V$63</c:f>
              <c:numCache>
                <c:formatCode>General</c:formatCode>
                <c:ptCount val="5"/>
                <c:pt idx="0">
                  <c:v>32</c:v>
                </c:pt>
                <c:pt idx="1">
                  <c:v>20</c:v>
                </c:pt>
                <c:pt idx="2">
                  <c:v>0</c:v>
                </c:pt>
                <c:pt idx="3">
                  <c:v>-26</c:v>
                </c:pt>
                <c:pt idx="4">
                  <c:v>-49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8D-4614-B505-80F01909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509"/>
        <c:axId val="80103906"/>
      </c:scatterChart>
      <c:valAx>
        <c:axId val="5510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V [m/s]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80103906"/>
        <c:crosses val="autoZero"/>
        <c:crossBetween val="midCat"/>
      </c:valAx>
      <c:valAx>
        <c:axId val="80103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</a:t>
                </a:r>
                <a:r>
                  <a:rPr lang="en-US" sz="900" b="0" strike="noStrike" spc="-1" baseline="0">
                    <a:latin typeface="Arial"/>
                  </a:rPr>
                  <a:t>(-)</a:t>
                </a:r>
                <a:endParaRPr lang="en-US" sz="900" b="0" strike="noStrike" spc="-1">
                  <a:latin typeface="Arial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551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Control</a:t>
            </a:r>
            <a:r>
              <a:rPr lang="en-US" sz="1300" b="0" strike="noStrike" spc="-1" baseline="0">
                <a:latin typeface="Arial"/>
              </a:rPr>
              <a:t> Force Curve</a:t>
            </a:r>
            <a:endParaRPr lang="en-US" sz="1300" b="0" strike="noStrike" spc="-1">
              <a:latin typeface="Arial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Sheet1!$W$59:$W$63</c:f>
              <c:numCache>
                <c:formatCode>General</c:formatCode>
                <c:ptCount val="5"/>
                <c:pt idx="0">
                  <c:v>2145.3038272610047</c:v>
                </c:pt>
                <c:pt idx="1">
                  <c:v>2513.7188537349361</c:v>
                </c:pt>
                <c:pt idx="2">
                  <c:v>2831.0629402769027</c:v>
                </c:pt>
                <c:pt idx="3">
                  <c:v>3298.1473602203464</c:v>
                </c:pt>
                <c:pt idx="4">
                  <c:v>3801.1071215273901</c:v>
                </c:pt>
              </c:numCache>
            </c:numRef>
          </c:xVal>
          <c:yVal>
            <c:numRef>
              <c:f>Sheet1!$V$59:$V$63</c:f>
              <c:numCache>
                <c:formatCode>General</c:formatCode>
                <c:ptCount val="5"/>
                <c:pt idx="0">
                  <c:v>32</c:v>
                </c:pt>
                <c:pt idx="1">
                  <c:v>20</c:v>
                </c:pt>
                <c:pt idx="2">
                  <c:v>0</c:v>
                </c:pt>
                <c:pt idx="3">
                  <c:v>-26</c:v>
                </c:pt>
                <c:pt idx="4">
                  <c:v>-49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494-BD39-8DD1B1A44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509"/>
        <c:axId val="80103906"/>
      </c:scatterChart>
      <c:valAx>
        <c:axId val="5510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1/2*rho*V^2</a:t>
                </a:r>
              </a:p>
            </c:rich>
          </c:tx>
          <c:layout>
            <c:manualLayout>
              <c:xMode val="edge"/>
              <c:yMode val="edge"/>
              <c:x val="0.4439281493566215"/>
              <c:y val="0.8940092688421689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80103906"/>
        <c:crosses val="autoZero"/>
        <c:crossBetween val="midCat"/>
      </c:valAx>
      <c:valAx>
        <c:axId val="80103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 </a:t>
                </a:r>
                <a:r>
                  <a:rPr lang="en-US" sz="900" b="0" strike="noStrike" spc="-1" baseline="0">
                    <a:latin typeface="Arial"/>
                  </a:rPr>
                  <a:t>(-)</a:t>
                </a:r>
                <a:endParaRPr lang="en-US" sz="900" b="0" strike="noStrike" spc="-1">
                  <a:latin typeface="Arial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551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164006</xdr:colOff>
      <xdr:row>35</xdr:row>
      <xdr:rowOff>26377</xdr:rowOff>
    </xdr:from>
    <xdr:to>
      <xdr:col>14</xdr:col>
      <xdr:colOff>615463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164224</xdr:colOff>
      <xdr:row>35</xdr:row>
      <xdr:rowOff>71815</xdr:rowOff>
    </xdr:from>
    <xdr:to>
      <xdr:col>7</xdr:col>
      <xdr:colOff>391080</xdr:colOff>
      <xdr:row>49</xdr:row>
      <xdr:rowOff>145264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497531</xdr:colOff>
      <xdr:row>35</xdr:row>
      <xdr:rowOff>36130</xdr:rowOff>
    </xdr:from>
    <xdr:to>
      <xdr:col>11</xdr:col>
      <xdr:colOff>58617</xdr:colOff>
      <xdr:row>49</xdr:row>
      <xdr:rowOff>131884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908538</xdr:colOff>
      <xdr:row>34</xdr:row>
      <xdr:rowOff>102577</xdr:rowOff>
    </xdr:from>
    <xdr:to>
      <xdr:col>18</xdr:col>
      <xdr:colOff>411008</xdr:colOff>
      <xdr:row>49</xdr:row>
      <xdr:rowOff>22485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1EB2C3-C3B0-42C9-B064-24E32F228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1055076</xdr:colOff>
      <xdr:row>35</xdr:row>
      <xdr:rowOff>0</xdr:rowOff>
    </xdr:from>
    <xdr:to>
      <xdr:col>24</xdr:col>
      <xdr:colOff>278422</xdr:colOff>
      <xdr:row>49</xdr:row>
      <xdr:rowOff>95754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59B0B8F-B477-4FCF-BB16-EB2EA9188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483577</xdr:colOff>
      <xdr:row>34</xdr:row>
      <xdr:rowOff>131885</xdr:rowOff>
    </xdr:from>
    <xdr:to>
      <xdr:col>30</xdr:col>
      <xdr:colOff>205855</xdr:colOff>
      <xdr:row>49</xdr:row>
      <xdr:rowOff>51793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B529072-2BC0-49CF-8E2D-48E349BDF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25</xdr:col>
      <xdr:colOff>0</xdr:colOff>
      <xdr:row>52</xdr:row>
      <xdr:rowOff>161192</xdr:rowOff>
    </xdr:from>
    <xdr:to>
      <xdr:col>30</xdr:col>
      <xdr:colOff>323085</xdr:colOff>
      <xdr:row>67</xdr:row>
      <xdr:rowOff>81101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C79296D-CAFE-479F-B3D6-01AD238C3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8"/>
  <sheetViews>
    <sheetView tabSelected="1" view="pageBreakPreview" zoomScale="60" zoomScaleNormal="100" workbookViewId="0">
      <selection activeCell="S68" sqref="S68"/>
    </sheetView>
  </sheetViews>
  <sheetFormatPr defaultColWidth="8.88671875" defaultRowHeight="14.4" x14ac:dyDescent="0.3"/>
  <cols>
    <col min="1" max="7" width="8.77734375" customWidth="1"/>
    <col min="8" max="8" width="11.44140625" bestFit="1" customWidth="1"/>
    <col min="9" max="9" width="15.6640625" customWidth="1"/>
    <col min="10" max="10" width="15.21875" customWidth="1"/>
    <col min="11" max="11" width="12.6640625" customWidth="1"/>
    <col min="12" max="12" width="13.21875" bestFit="1" customWidth="1"/>
    <col min="13" max="13" width="16.33203125" bestFit="1" customWidth="1"/>
    <col min="14" max="14" width="16.21875" bestFit="1" customWidth="1"/>
    <col min="15" max="15" width="13.44140625" customWidth="1"/>
    <col min="16" max="16" width="14.6640625" bestFit="1" customWidth="1"/>
    <col min="17" max="17" width="12.44140625" bestFit="1" customWidth="1"/>
    <col min="18" max="18" width="15.109375" bestFit="1" customWidth="1"/>
    <col min="19" max="19" width="15.33203125" customWidth="1"/>
    <col min="20" max="20" width="20" customWidth="1"/>
    <col min="21" max="21" width="12.77734375" customWidth="1"/>
    <col min="22" max="1026" width="8.77734375" customWidth="1"/>
  </cols>
  <sheetData>
    <row r="1" spans="1:21" x14ac:dyDescent="0.3">
      <c r="A1" s="1" t="s">
        <v>0</v>
      </c>
    </row>
    <row r="3" spans="1:21" x14ac:dyDescent="0.3">
      <c r="A3" t="s">
        <v>1</v>
      </c>
      <c r="D3" s="2">
        <v>43171</v>
      </c>
      <c r="F3" t="s">
        <v>2</v>
      </c>
      <c r="H3" s="3"/>
      <c r="L3" t="s">
        <v>100</v>
      </c>
    </row>
    <row r="4" spans="1:21" x14ac:dyDescent="0.3">
      <c r="A4" t="s">
        <v>3</v>
      </c>
      <c r="D4" s="3">
        <v>1</v>
      </c>
      <c r="F4" t="s">
        <v>4</v>
      </c>
      <c r="H4" s="3" t="s">
        <v>5</v>
      </c>
      <c r="I4">
        <v>134</v>
      </c>
      <c r="J4">
        <f>I4*2.54/100</f>
        <v>3.4036</v>
      </c>
      <c r="K4">
        <f>L16*J4</f>
        <v>2970.6343406599999</v>
      </c>
      <c r="L4">
        <f>SUM(K8:K15) + K4</f>
        <v>34033.765040030004</v>
      </c>
    </row>
    <row r="6" spans="1:21" x14ac:dyDescent="0.3">
      <c r="A6" s="1" t="s">
        <v>6</v>
      </c>
      <c r="B6" s="1"/>
    </row>
    <row r="7" spans="1:21" x14ac:dyDescent="0.3">
      <c r="D7" t="s">
        <v>7</v>
      </c>
      <c r="H7" t="s">
        <v>8</v>
      </c>
      <c r="I7" s="4" t="s">
        <v>9</v>
      </c>
      <c r="J7" t="s">
        <v>10</v>
      </c>
      <c r="K7" t="s">
        <v>11</v>
      </c>
      <c r="L7" t="s">
        <v>12</v>
      </c>
      <c r="N7" t="s">
        <v>13</v>
      </c>
      <c r="O7" t="s">
        <v>99</v>
      </c>
      <c r="P7" t="s">
        <v>14</v>
      </c>
      <c r="Q7" t="s">
        <v>15</v>
      </c>
      <c r="R7" t="s">
        <v>10</v>
      </c>
      <c r="S7" t="s">
        <v>16</v>
      </c>
      <c r="T7" t="s">
        <v>17</v>
      </c>
      <c r="U7" t="s">
        <v>18</v>
      </c>
    </row>
    <row r="8" spans="1:21" x14ac:dyDescent="0.3">
      <c r="A8" t="s">
        <v>19</v>
      </c>
      <c r="D8" s="3"/>
      <c r="H8" s="3">
        <v>92</v>
      </c>
      <c r="I8">
        <v>131</v>
      </c>
      <c r="J8">
        <f t="shared" ref="J8:J16" si="0">I8*2.54/100</f>
        <v>3.3273999999999999</v>
      </c>
      <c r="K8">
        <f t="shared" ref="K8:K16" si="1">J8*L8</f>
        <v>3002.0195433199997</v>
      </c>
      <c r="L8">
        <f t="shared" ref="L8:L16" si="2">H8*9.80665</f>
        <v>902.21179999999993</v>
      </c>
    </row>
    <row r="9" spans="1:21" x14ac:dyDescent="0.3">
      <c r="A9" t="s">
        <v>20</v>
      </c>
      <c r="D9" s="3"/>
      <c r="H9" s="3">
        <v>89</v>
      </c>
      <c r="I9">
        <v>131</v>
      </c>
      <c r="J9">
        <f t="shared" si="0"/>
        <v>3.3273999999999999</v>
      </c>
      <c r="K9">
        <f t="shared" si="1"/>
        <v>2904.1276016899997</v>
      </c>
      <c r="L9">
        <f t="shared" si="2"/>
        <v>872.79184999999995</v>
      </c>
      <c r="N9" t="s">
        <v>21</v>
      </c>
      <c r="O9">
        <f>H18</f>
        <v>1837.0475999999999</v>
      </c>
      <c r="P9">
        <f>(11418.2+11705.5)*100/2</f>
        <v>1156185</v>
      </c>
      <c r="Q9">
        <f>P9*0.113</f>
        <v>130648.905</v>
      </c>
      <c r="R9">
        <f>Q9/(H18*9.80665)</f>
        <v>7.2521151132019188</v>
      </c>
      <c r="S9">
        <f>R9*100/2.54</f>
        <v>285.51634303944564</v>
      </c>
      <c r="T9">
        <f>S9-261.45</f>
        <v>24.066343039445655</v>
      </c>
      <c r="U9">
        <f>T9*2.54/100</f>
        <v>0.61128511320191969</v>
      </c>
    </row>
    <row r="10" spans="1:21" x14ac:dyDescent="0.3">
      <c r="A10" t="s">
        <v>22</v>
      </c>
      <c r="D10" s="3"/>
      <c r="H10" s="3">
        <v>70</v>
      </c>
      <c r="I10">
        <v>170</v>
      </c>
      <c r="J10">
        <f t="shared" si="0"/>
        <v>4.3180000000000005</v>
      </c>
      <c r="K10">
        <f t="shared" si="1"/>
        <v>2964.1580289999997</v>
      </c>
      <c r="L10">
        <f t="shared" si="2"/>
        <v>686.46549999999991</v>
      </c>
      <c r="N10" t="s">
        <v>23</v>
      </c>
      <c r="O10">
        <f>H17</f>
        <v>4157.1706800000002</v>
      </c>
      <c r="P10">
        <v>2677847.5</v>
      </c>
      <c r="Q10">
        <f>P10*0.113</f>
        <v>302596.76750000002</v>
      </c>
      <c r="R10">
        <f>Q10/(H17*9.80665)</f>
        <v>7.4224238927438657</v>
      </c>
      <c r="S10">
        <f>R10*100/2.54</f>
        <v>292.22141310015218</v>
      </c>
      <c r="T10">
        <f>S10-261.45</f>
        <v>30.771413100152188</v>
      </c>
      <c r="U10">
        <f>T10*2.54/100</f>
        <v>0.78159389274386559</v>
      </c>
    </row>
    <row r="11" spans="1:21" x14ac:dyDescent="0.3">
      <c r="A11" t="s">
        <v>24</v>
      </c>
      <c r="D11" s="3"/>
      <c r="H11" s="3">
        <v>76</v>
      </c>
      <c r="I11">
        <v>214</v>
      </c>
      <c r="J11">
        <f t="shared" si="0"/>
        <v>5.4356000000000009</v>
      </c>
      <c r="K11">
        <f t="shared" si="1"/>
        <v>4051.1820322400004</v>
      </c>
      <c r="L11">
        <f t="shared" si="2"/>
        <v>745.30539999999996</v>
      </c>
      <c r="N11" t="s">
        <v>25</v>
      </c>
      <c r="O11">
        <f>O12+O10</f>
        <v>4867.1706800000002</v>
      </c>
      <c r="Q11">
        <f>Q10+K19</f>
        <v>340044.54514048999</v>
      </c>
      <c r="R11">
        <f>Q11/(H17*9.80665 + L19)</f>
        <v>7.124240315617258</v>
      </c>
      <c r="S11">
        <f>R11*100/2.54</f>
        <v>280.48190218965578</v>
      </c>
      <c r="T11">
        <f>S11-261.45</f>
        <v>19.031902189655796</v>
      </c>
      <c r="U11">
        <f>T11*2.54/100</f>
        <v>0.48341031561725722</v>
      </c>
    </row>
    <row r="12" spans="1:21" x14ac:dyDescent="0.3">
      <c r="A12" t="s">
        <v>26</v>
      </c>
      <c r="D12" s="3"/>
      <c r="H12" s="3">
        <v>88</v>
      </c>
      <c r="I12">
        <v>214</v>
      </c>
      <c r="J12">
        <f t="shared" si="0"/>
        <v>5.4356000000000009</v>
      </c>
      <c r="K12">
        <f t="shared" si="1"/>
        <v>4690.8423531200006</v>
      </c>
      <c r="L12">
        <f t="shared" si="2"/>
        <v>862.98519999999996</v>
      </c>
      <c r="N12" t="s">
        <v>27</v>
      </c>
      <c r="O12">
        <f>SUM(H8:H16)</f>
        <v>710</v>
      </c>
      <c r="Q12">
        <f>K19</f>
        <v>37447.77764049</v>
      </c>
      <c r="R12">
        <f>K19/L19</f>
        <v>5.3783247887323942</v>
      </c>
      <c r="S12">
        <f>R12*100/2.54</f>
        <v>211.74507042253521</v>
      </c>
      <c r="T12">
        <f>S12-261.45</f>
        <v>-49.704929577464782</v>
      </c>
      <c r="U12">
        <f>T12*2.54/100</f>
        <v>-1.2625052112676054</v>
      </c>
    </row>
    <row r="13" spans="1:21" x14ac:dyDescent="0.3">
      <c r="A13" t="s">
        <v>28</v>
      </c>
      <c r="D13" s="3"/>
      <c r="H13" s="3">
        <v>77</v>
      </c>
      <c r="I13">
        <v>251</v>
      </c>
      <c r="J13">
        <f t="shared" si="0"/>
        <v>6.3754</v>
      </c>
      <c r="K13">
        <f t="shared" si="1"/>
        <v>4814.1413635700001</v>
      </c>
      <c r="L13">
        <f t="shared" si="2"/>
        <v>755.11204999999995</v>
      </c>
      <c r="N13" t="s">
        <v>29</v>
      </c>
      <c r="O13">
        <f>O11+O9</f>
        <v>6704.21828</v>
      </c>
      <c r="P13">
        <f>P9+P11</f>
        <v>1156185</v>
      </c>
      <c r="Q13">
        <f>Q9+Q11</f>
        <v>470693.45014048996</v>
      </c>
      <c r="R13">
        <f>Q13/((H18+H17)*9.80665+L19)</f>
        <v>7.1592797609623151</v>
      </c>
      <c r="S13">
        <f>R13*100/2.54</f>
        <v>281.86140791190218</v>
      </c>
      <c r="T13">
        <f>S13-261.45</f>
        <v>20.411407911902188</v>
      </c>
      <c r="U13">
        <f>T13*2.54/100</f>
        <v>0.51844976096231554</v>
      </c>
    </row>
    <row r="14" spans="1:21" x14ac:dyDescent="0.3">
      <c r="A14" t="s">
        <v>30</v>
      </c>
      <c r="D14" s="3"/>
      <c r="H14" s="3">
        <v>67</v>
      </c>
      <c r="I14">
        <v>251</v>
      </c>
      <c r="J14">
        <f t="shared" si="0"/>
        <v>6.3754</v>
      </c>
      <c r="K14">
        <f t="shared" si="1"/>
        <v>4188.9281994699995</v>
      </c>
      <c r="L14">
        <f t="shared" si="2"/>
        <v>657.04554999999993</v>
      </c>
      <c r="N14" t="s">
        <v>102</v>
      </c>
    </row>
    <row r="15" spans="1:21" x14ac:dyDescent="0.3">
      <c r="A15" t="s">
        <v>31</v>
      </c>
      <c r="D15" s="3"/>
      <c r="H15" s="3">
        <v>62</v>
      </c>
      <c r="I15">
        <v>288</v>
      </c>
      <c r="J15">
        <f t="shared" si="0"/>
        <v>7.3151999999999999</v>
      </c>
      <c r="K15">
        <f t="shared" si="1"/>
        <v>4447.73157696</v>
      </c>
      <c r="L15">
        <f t="shared" si="2"/>
        <v>608.01229999999998</v>
      </c>
      <c r="N15" t="s">
        <v>32</v>
      </c>
      <c r="Q15">
        <f>L4</f>
        <v>34033.765040030004</v>
      </c>
      <c r="R15">
        <f>Q15/L19</f>
        <v>4.8879974647887332</v>
      </c>
      <c r="S15">
        <f>R15*100/2.54</f>
        <v>192.44084507042257</v>
      </c>
      <c r="T15">
        <f t="shared" ref="T15:T17" si="3">S15-261.45</f>
        <v>-69.00915492957742</v>
      </c>
      <c r="U15">
        <f t="shared" ref="U15:U17" si="4">T15*2.54/100</f>
        <v>-1.7528325352112666</v>
      </c>
    </row>
    <row r="16" spans="1:21" x14ac:dyDescent="0.3">
      <c r="A16" t="s">
        <v>33</v>
      </c>
      <c r="D16" s="3"/>
      <c r="H16" s="3">
        <v>89</v>
      </c>
      <c r="I16">
        <v>288</v>
      </c>
      <c r="J16">
        <f t="shared" si="0"/>
        <v>7.3151999999999999</v>
      </c>
      <c r="K16">
        <f t="shared" si="1"/>
        <v>6384.6469411199996</v>
      </c>
      <c r="L16">
        <f t="shared" si="2"/>
        <v>872.79184999999995</v>
      </c>
      <c r="N16" t="s">
        <v>101</v>
      </c>
      <c r="Q16">
        <f>Q10+L4</f>
        <v>336630.53254003002</v>
      </c>
      <c r="R16">
        <f>Q16/(H17*9.80665 + L19)</f>
        <v>7.0527136684358611</v>
      </c>
      <c r="S16">
        <f t="shared" ref="S16:S17" si="5">R16*100/2.54</f>
        <v>277.66589245810474</v>
      </c>
      <c r="T16">
        <f t="shared" si="3"/>
        <v>16.215892458104747</v>
      </c>
      <c r="U16">
        <f t="shared" si="4"/>
        <v>0.41188366843586061</v>
      </c>
    </row>
    <row r="17" spans="1:23" x14ac:dyDescent="0.3">
      <c r="A17" t="s">
        <v>34</v>
      </c>
      <c r="D17">
        <v>9165</v>
      </c>
      <c r="F17" t="s">
        <v>35</v>
      </c>
      <c r="H17">
        <f>D17*0.453592</f>
        <v>4157.1706800000002</v>
      </c>
      <c r="N17" t="s">
        <v>98</v>
      </c>
      <c r="Q17">
        <f>Q16+Q9</f>
        <v>467279.43754002999</v>
      </c>
      <c r="R17">
        <f>Q17/((H18+H17)*9.80665+L19)</f>
        <v>7.1073523944207828</v>
      </c>
      <c r="S17">
        <f t="shared" si="5"/>
        <v>279.81702340239303</v>
      </c>
      <c r="T17">
        <f t="shared" si="3"/>
        <v>18.367023402393045</v>
      </c>
      <c r="U17">
        <f t="shared" si="4"/>
        <v>0.4665223944207833</v>
      </c>
    </row>
    <row r="18" spans="1:23" x14ac:dyDescent="0.3">
      <c r="A18" t="s">
        <v>36</v>
      </c>
      <c r="D18" s="3">
        <v>4050</v>
      </c>
      <c r="F18" t="s">
        <v>37</v>
      </c>
      <c r="H18">
        <f>D18*0.453592</f>
        <v>1837.0475999999999</v>
      </c>
      <c r="K18" t="s">
        <v>38</v>
      </c>
      <c r="N18" t="s">
        <v>39</v>
      </c>
      <c r="P18">
        <f>D17+(SUM(H8:H16)/0.453592)</f>
        <v>10730.283338330482</v>
      </c>
    </row>
    <row r="19" spans="1:23" x14ac:dyDescent="0.3">
      <c r="K19">
        <f>SUM(K8:K16)</f>
        <v>37447.77764049</v>
      </c>
      <c r="L19">
        <f>SUM(L8:L16)</f>
        <v>6962.7214999999997</v>
      </c>
    </row>
    <row r="20" spans="1:23" x14ac:dyDescent="0.3">
      <c r="A20" t="s">
        <v>40</v>
      </c>
      <c r="B20">
        <v>36</v>
      </c>
      <c r="F20" t="s">
        <v>41</v>
      </c>
      <c r="H20">
        <f>SUM(H8:H18)</f>
        <v>6704.21828</v>
      </c>
    </row>
    <row r="21" spans="1:23" x14ac:dyDescent="0.3">
      <c r="A21" s="1" t="s">
        <v>42</v>
      </c>
    </row>
    <row r="23" spans="1:23" x14ac:dyDescent="0.3">
      <c r="A23" t="s">
        <v>43</v>
      </c>
      <c r="E23" t="s">
        <v>44</v>
      </c>
    </row>
    <row r="25" spans="1:23" x14ac:dyDescent="0.3">
      <c r="A25" t="s">
        <v>45</v>
      </c>
      <c r="B25" t="s">
        <v>46</v>
      </c>
      <c r="C25" t="s">
        <v>47</v>
      </c>
      <c r="D25" t="s">
        <v>48</v>
      </c>
      <c r="E25" t="s">
        <v>49</v>
      </c>
      <c r="F25" t="s">
        <v>50</v>
      </c>
      <c r="G25" t="s">
        <v>51</v>
      </c>
      <c r="H25" t="s">
        <v>52</v>
      </c>
      <c r="I25" t="s">
        <v>53</v>
      </c>
      <c r="J25" t="s">
        <v>54</v>
      </c>
      <c r="K25" t="s">
        <v>55</v>
      </c>
      <c r="L25" t="s">
        <v>56</v>
      </c>
      <c r="N25" t="s">
        <v>57</v>
      </c>
      <c r="O25" t="s">
        <v>58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  <c r="U25" t="s">
        <v>64</v>
      </c>
      <c r="V25" t="s">
        <v>65</v>
      </c>
      <c r="W25" t="s">
        <v>66</v>
      </c>
    </row>
    <row r="26" spans="1:23" x14ac:dyDescent="0.3">
      <c r="B26" s="5" t="s">
        <v>67</v>
      </c>
      <c r="C26" s="5" t="s">
        <v>68</v>
      </c>
      <c r="D26" s="5" t="s">
        <v>69</v>
      </c>
      <c r="E26" s="5" t="s">
        <v>70</v>
      </c>
      <c r="F26" s="5" t="s">
        <v>71</v>
      </c>
      <c r="G26" s="5" t="s">
        <v>72</v>
      </c>
      <c r="H26" s="5" t="s">
        <v>72</v>
      </c>
      <c r="I26" s="5" t="s">
        <v>73</v>
      </c>
      <c r="J26" s="5" t="s">
        <v>74</v>
      </c>
      <c r="K26" s="5" t="s">
        <v>75</v>
      </c>
      <c r="L26" s="5" t="s">
        <v>75</v>
      </c>
      <c r="M26" s="5"/>
      <c r="N26" s="5" t="s">
        <v>76</v>
      </c>
      <c r="O26" s="5" t="s">
        <v>76</v>
      </c>
      <c r="P26" s="5" t="s">
        <v>76</v>
      </c>
      <c r="Q26" s="5" t="s">
        <v>76</v>
      </c>
      <c r="R26" s="5" t="s">
        <v>76</v>
      </c>
      <c r="S26" s="5" t="s">
        <v>76</v>
      </c>
      <c r="T26" s="5" t="s">
        <v>77</v>
      </c>
      <c r="U26" s="5" t="s">
        <v>78</v>
      </c>
      <c r="V26" s="5" t="s">
        <v>79</v>
      </c>
      <c r="W26" s="5" t="s">
        <v>79</v>
      </c>
    </row>
    <row r="28" spans="1:23" x14ac:dyDescent="0.3">
      <c r="A28">
        <v>1</v>
      </c>
      <c r="B28" s="7">
        <v>1.9259259259259261E-2</v>
      </c>
      <c r="C28" s="3"/>
      <c r="D28" s="3">
        <v>12020</v>
      </c>
      <c r="E28" s="3">
        <v>240</v>
      </c>
      <c r="F28" s="3">
        <v>1.6</v>
      </c>
      <c r="G28" s="3">
        <v>712</v>
      </c>
      <c r="H28" s="3">
        <v>756</v>
      </c>
      <c r="I28" s="3">
        <v>645</v>
      </c>
      <c r="J28" s="3">
        <v>2.5</v>
      </c>
      <c r="K28">
        <f t="shared" ref="K28:K33" si="6">I28*0.453592</f>
        <v>292.56684000000001</v>
      </c>
      <c r="L28">
        <f>$H$20-K28</f>
        <v>6411.6514399999996</v>
      </c>
      <c r="N28">
        <f t="shared" ref="N28:N33" si="7">L28*9.80665</f>
        <v>62876.821594075991</v>
      </c>
      <c r="O28">
        <f>R28+S28</f>
        <v>7631.5300000000007</v>
      </c>
      <c r="P28">
        <f t="shared" ref="P28:P33" si="8">O28*COS(RADIANS(F28))</f>
        <v>7628.554581233916</v>
      </c>
      <c r="Q28">
        <f>N28-O28*SIN(RADIANS(F28))</f>
        <v>62663.736770507916</v>
      </c>
      <c r="R28">
        <v>3652.61</v>
      </c>
      <c r="S28">
        <v>3978.92</v>
      </c>
      <c r="T28">
        <f>1.225*(((288.15-0.0065*(D28*0.3048))/288.15)^(-9.80665/(-0.0065*287.05)-1))</f>
        <v>0.84859186310327495</v>
      </c>
      <c r="U28">
        <f>E28*0.5144444444</f>
        <v>123.466666656</v>
      </c>
      <c r="V28">
        <f>Q28/(0.5*T28*U28^2*$B$20)</f>
        <v>0.26911969038509898</v>
      </c>
      <c r="W28">
        <f t="shared" ref="W28:W33" si="9">P28/(0.5*T28*U28^2*$B$20)</f>
        <v>3.2762078241617434E-2</v>
      </c>
    </row>
    <row r="29" spans="1:23" x14ac:dyDescent="0.3">
      <c r="A29">
        <v>2</v>
      </c>
      <c r="B29" s="7">
        <v>2.0428240740740743E-2</v>
      </c>
      <c r="C29" s="3"/>
      <c r="D29" s="3">
        <v>12020</v>
      </c>
      <c r="E29" s="3">
        <v>217</v>
      </c>
      <c r="F29" s="3">
        <v>2.2999999999999998</v>
      </c>
      <c r="G29" s="3">
        <v>611</v>
      </c>
      <c r="H29" s="3">
        <v>640</v>
      </c>
      <c r="I29" s="3">
        <v>676</v>
      </c>
      <c r="J29" s="3">
        <v>1.5</v>
      </c>
      <c r="K29">
        <f t="shared" si="6"/>
        <v>306.62819200000001</v>
      </c>
      <c r="L29">
        <f t="shared" ref="L29:L33" si="10">$H$20-K29</f>
        <v>6397.5900879999999</v>
      </c>
      <c r="N29">
        <f t="shared" si="7"/>
        <v>62738.926836485196</v>
      </c>
      <c r="O29">
        <f t="shared" ref="O28:O33" si="11">R29+S29</f>
        <v>7047.01</v>
      </c>
      <c r="P29">
        <f t="shared" si="8"/>
        <v>7041.332894315452</v>
      </c>
      <c r="Q29">
        <f t="shared" ref="Q28:Q33" si="12">N29-O29*SIN(RADIANS(F29))</f>
        <v>62456.117693190325</v>
      </c>
      <c r="R29">
        <v>3068.09</v>
      </c>
      <c r="S29">
        <v>3978.92</v>
      </c>
      <c r="T29">
        <f t="shared" ref="T28:T33" si="13">1.225*(((288.15-0.0065*(D29*0.3048))/288.15)^(-9.80665/(-0.0065*287.05)-1))</f>
        <v>0.84859186310327495</v>
      </c>
      <c r="U29">
        <f t="shared" ref="U28:U33" si="14">E29*0.5144444444</f>
        <v>111.6344444348</v>
      </c>
      <c r="V29">
        <f t="shared" ref="V28:V33" si="15">Q29/(0.5*T29*U29^2*$B$20)</f>
        <v>0.32810072174714611</v>
      </c>
      <c r="W29">
        <f t="shared" si="9"/>
        <v>3.6990233943707207E-2</v>
      </c>
    </row>
    <row r="30" spans="1:23" x14ac:dyDescent="0.3">
      <c r="A30">
        <v>3</v>
      </c>
      <c r="B30" s="7">
        <v>2.1354166666666664E-2</v>
      </c>
      <c r="C30" s="3"/>
      <c r="D30" s="3">
        <v>12020</v>
      </c>
      <c r="E30" s="3">
        <v>195</v>
      </c>
      <c r="F30" s="3">
        <v>3.2</v>
      </c>
      <c r="G30" s="3">
        <v>524</v>
      </c>
      <c r="H30" s="3">
        <v>562</v>
      </c>
      <c r="I30" s="3">
        <v>700</v>
      </c>
      <c r="J30" s="3">
        <v>0</v>
      </c>
      <c r="K30">
        <f t="shared" si="6"/>
        <v>317.51440000000002</v>
      </c>
      <c r="L30">
        <f t="shared" si="10"/>
        <v>6386.70388</v>
      </c>
      <c r="N30">
        <f t="shared" si="7"/>
        <v>62632.169604801995</v>
      </c>
      <c r="O30">
        <f t="shared" si="11"/>
        <v>5405.99</v>
      </c>
      <c r="P30">
        <f t="shared" si="8"/>
        <v>5397.5607867601475</v>
      </c>
      <c r="Q30">
        <f t="shared" si="12"/>
        <v>62330.399107024001</v>
      </c>
      <c r="R30">
        <v>2562.69</v>
      </c>
      <c r="S30">
        <v>2843.3</v>
      </c>
      <c r="T30">
        <f t="shared" si="13"/>
        <v>0.84859186310327495</v>
      </c>
      <c r="U30">
        <f t="shared" si="14"/>
        <v>100.316666658</v>
      </c>
      <c r="V30">
        <f t="shared" si="15"/>
        <v>0.40549205910467551</v>
      </c>
      <c r="W30">
        <f t="shared" si="9"/>
        <v>3.5113974383638814E-2</v>
      </c>
    </row>
    <row r="31" spans="1:23" x14ac:dyDescent="0.3">
      <c r="A31">
        <v>4</v>
      </c>
      <c r="B31" s="7">
        <v>2.2685185185185183E-2</v>
      </c>
      <c r="C31" s="3"/>
      <c r="D31" s="3">
        <v>12015</v>
      </c>
      <c r="E31" s="3">
        <v>157</v>
      </c>
      <c r="F31" s="3">
        <v>5.8</v>
      </c>
      <c r="G31" s="3">
        <v>415</v>
      </c>
      <c r="H31" s="3">
        <v>457</v>
      </c>
      <c r="I31" s="3">
        <v>722</v>
      </c>
      <c r="J31" s="3">
        <v>-3.2</v>
      </c>
      <c r="K31">
        <f t="shared" si="6"/>
        <v>327.493424</v>
      </c>
      <c r="L31">
        <f t="shared" si="10"/>
        <v>6376.7248559999998</v>
      </c>
      <c r="N31">
        <f t="shared" si="7"/>
        <v>62534.308809092392</v>
      </c>
      <c r="O31">
        <f t="shared" si="11"/>
        <v>4258.3600000000006</v>
      </c>
      <c r="P31">
        <f t="shared" si="8"/>
        <v>4236.5602152481588</v>
      </c>
      <c r="Q31">
        <f t="shared" si="12"/>
        <v>62103.974715420423</v>
      </c>
      <c r="R31">
        <v>1971.27</v>
      </c>
      <c r="S31">
        <v>2287.09</v>
      </c>
      <c r="T31">
        <f t="shared" si="13"/>
        <v>0.84872721430781117</v>
      </c>
      <c r="U31">
        <f t="shared" si="14"/>
        <v>80.767777770800009</v>
      </c>
      <c r="V31">
        <f t="shared" si="15"/>
        <v>0.62316419948477497</v>
      </c>
      <c r="W31">
        <f t="shared" si="9"/>
        <v>4.2510526374548371E-2</v>
      </c>
    </row>
    <row r="32" spans="1:23" x14ac:dyDescent="0.3">
      <c r="A32">
        <v>5</v>
      </c>
      <c r="B32" s="7">
        <v>2.4074074074074071E-2</v>
      </c>
      <c r="C32" s="3"/>
      <c r="D32" s="3">
        <v>12040</v>
      </c>
      <c r="E32" s="3">
        <v>138</v>
      </c>
      <c r="F32" s="3">
        <v>7.5</v>
      </c>
      <c r="G32" s="3">
        <v>419</v>
      </c>
      <c r="H32" s="3">
        <v>458</v>
      </c>
      <c r="I32" s="3">
        <v>750</v>
      </c>
      <c r="J32" s="3">
        <v>-4</v>
      </c>
      <c r="K32">
        <f t="shared" si="6"/>
        <v>340.19400000000002</v>
      </c>
      <c r="L32">
        <f t="shared" si="10"/>
        <v>6364.0242799999996</v>
      </c>
      <c r="N32">
        <f t="shared" si="7"/>
        <v>62409.758705461994</v>
      </c>
      <c r="O32">
        <f t="shared" si="11"/>
        <v>4502.96</v>
      </c>
      <c r="P32">
        <f t="shared" si="8"/>
        <v>4464.4365529718134</v>
      </c>
      <c r="Q32">
        <f t="shared" si="12"/>
        <v>61822.004482942793</v>
      </c>
      <c r="R32">
        <v>2101.08</v>
      </c>
      <c r="S32">
        <v>2401.88</v>
      </c>
      <c r="T32">
        <f t="shared" si="13"/>
        <v>0.8480506234114632</v>
      </c>
      <c r="U32">
        <f t="shared" si="14"/>
        <v>70.993333327200006</v>
      </c>
      <c r="V32">
        <f t="shared" si="15"/>
        <v>0.80355140271382219</v>
      </c>
      <c r="W32">
        <f t="shared" si="9"/>
        <v>5.8027951123085258E-2</v>
      </c>
    </row>
    <row r="33" spans="1:23" x14ac:dyDescent="0.3">
      <c r="A33">
        <v>6</v>
      </c>
      <c r="B33" s="7">
        <v>2.5810185185185183E-2</v>
      </c>
      <c r="C33" s="3"/>
      <c r="D33" s="3">
        <v>11980</v>
      </c>
      <c r="E33" s="3">
        <v>118</v>
      </c>
      <c r="F33" s="3">
        <v>10.8</v>
      </c>
      <c r="G33" s="3">
        <v>375</v>
      </c>
      <c r="H33" s="3">
        <v>399</v>
      </c>
      <c r="I33" s="3">
        <v>774</v>
      </c>
      <c r="J33" s="3">
        <v>-4.2</v>
      </c>
      <c r="K33">
        <f t="shared" si="6"/>
        <v>351.08020799999997</v>
      </c>
      <c r="L33">
        <f t="shared" si="10"/>
        <v>6353.1380719999997</v>
      </c>
      <c r="N33">
        <f t="shared" si="7"/>
        <v>62303.001473778793</v>
      </c>
      <c r="O33">
        <f t="shared" si="11"/>
        <v>3893.4300000000003</v>
      </c>
      <c r="P33">
        <f t="shared" si="8"/>
        <v>3824.4666506045987</v>
      </c>
      <c r="Q33">
        <f t="shared" si="12"/>
        <v>61573.445442131298</v>
      </c>
      <c r="R33">
        <v>1849.74</v>
      </c>
      <c r="S33">
        <v>2043.69</v>
      </c>
      <c r="T33">
        <f t="shared" si="13"/>
        <v>0.84967513524967364</v>
      </c>
      <c r="U33">
        <f t="shared" si="14"/>
        <v>60.704444439200003</v>
      </c>
      <c r="V33">
        <f t="shared" si="15"/>
        <v>1.0925141330046546</v>
      </c>
      <c r="W33">
        <f t="shared" si="9"/>
        <v>6.7858536045662471E-2</v>
      </c>
    </row>
    <row r="34" spans="1:23" x14ac:dyDescent="0.3">
      <c r="A34">
        <v>7</v>
      </c>
      <c r="B34" s="3"/>
      <c r="C34" s="3"/>
      <c r="D34" s="3"/>
      <c r="E34" s="3"/>
      <c r="F34" s="3"/>
      <c r="G34" s="3"/>
      <c r="H34" s="3"/>
      <c r="I34" s="3"/>
      <c r="J34" s="3"/>
    </row>
    <row r="35" spans="1:23" x14ac:dyDescent="0.3">
      <c r="C35" t="s">
        <v>80</v>
      </c>
    </row>
    <row r="37" spans="1:23" x14ac:dyDescent="0.3">
      <c r="A37" s="1"/>
    </row>
    <row r="39" spans="1:23" x14ac:dyDescent="0.3">
      <c r="E39" s="3"/>
    </row>
    <row r="42" spans="1:23" x14ac:dyDescent="0.3">
      <c r="B42" s="5"/>
      <c r="C42" s="5"/>
      <c r="D42" s="5"/>
      <c r="E42" s="5"/>
      <c r="F42" s="5"/>
      <c r="G42" s="5"/>
      <c r="H42" s="5"/>
      <c r="I42" s="5"/>
      <c r="J42" s="5"/>
    </row>
    <row r="44" spans="1:23" x14ac:dyDescent="0.3">
      <c r="B44" s="6"/>
      <c r="C44" s="3"/>
      <c r="D44" s="3"/>
      <c r="E44" s="3"/>
      <c r="F44" s="3"/>
      <c r="G44" s="3"/>
      <c r="H44" s="3"/>
      <c r="I44" s="3"/>
      <c r="J44" s="3"/>
    </row>
    <row r="45" spans="1:23" x14ac:dyDescent="0.3">
      <c r="B45" s="6"/>
      <c r="C45" s="3"/>
      <c r="D45" s="3"/>
      <c r="E45" s="3"/>
      <c r="F45" s="3"/>
      <c r="G45" s="3"/>
      <c r="H45" s="3"/>
      <c r="I45" s="3"/>
      <c r="J45" s="3"/>
    </row>
    <row r="46" spans="1:23" x14ac:dyDescent="0.3">
      <c r="B46" s="6"/>
      <c r="C46" s="3"/>
      <c r="D46" s="3"/>
      <c r="E46" s="3"/>
      <c r="F46" s="3"/>
      <c r="G46" s="3"/>
      <c r="H46" s="3"/>
      <c r="I46" s="3"/>
      <c r="J46" s="3"/>
    </row>
    <row r="47" spans="1:23" x14ac:dyDescent="0.3">
      <c r="B47" s="6"/>
      <c r="C47" s="3"/>
      <c r="D47" s="3"/>
      <c r="E47" s="3"/>
      <c r="F47" s="3"/>
      <c r="G47" s="3"/>
      <c r="H47" s="3"/>
      <c r="I47" s="3"/>
      <c r="J47" s="3"/>
    </row>
    <row r="48" spans="1:23" x14ac:dyDescent="0.3">
      <c r="B48" s="6"/>
      <c r="C48" s="3"/>
      <c r="D48" s="3"/>
      <c r="E48" s="3"/>
      <c r="F48" s="3"/>
      <c r="G48" s="3"/>
      <c r="H48" s="3"/>
      <c r="I48" s="3"/>
      <c r="J48" s="3"/>
    </row>
    <row r="49" spans="1:23" x14ac:dyDescent="0.3">
      <c r="B49" s="6"/>
      <c r="C49" s="3"/>
      <c r="D49" s="3"/>
      <c r="E49" s="3"/>
      <c r="F49" s="3"/>
      <c r="G49" s="3"/>
      <c r="H49" s="3"/>
      <c r="I49" s="3"/>
      <c r="J49" s="3"/>
    </row>
    <row r="50" spans="1:23" x14ac:dyDescent="0.3">
      <c r="B50" s="6"/>
      <c r="C50" s="3"/>
      <c r="D50" s="3"/>
      <c r="E50" s="3"/>
      <c r="F50" s="3"/>
      <c r="G50" s="3"/>
      <c r="H50" s="3"/>
      <c r="I50" s="3"/>
      <c r="J50" s="3"/>
    </row>
    <row r="52" spans="1:23" x14ac:dyDescent="0.3">
      <c r="A52" s="1" t="s">
        <v>82</v>
      </c>
    </row>
    <row r="54" spans="1:23" x14ac:dyDescent="0.3">
      <c r="A54" t="s">
        <v>43</v>
      </c>
      <c r="E54" t="s">
        <v>44</v>
      </c>
    </row>
    <row r="56" spans="1:23" x14ac:dyDescent="0.3">
      <c r="A56" t="s">
        <v>45</v>
      </c>
      <c r="B56" t="s">
        <v>46</v>
      </c>
      <c r="C56" t="s">
        <v>47</v>
      </c>
      <c r="D56" t="s">
        <v>48</v>
      </c>
      <c r="E56" t="s">
        <v>49</v>
      </c>
      <c r="F56" t="s">
        <v>50</v>
      </c>
      <c r="G56" t="s">
        <v>83</v>
      </c>
      <c r="H56" t="s">
        <v>84</v>
      </c>
      <c r="I56" t="s">
        <v>85</v>
      </c>
      <c r="J56" t="s">
        <v>51</v>
      </c>
      <c r="K56" t="s">
        <v>52</v>
      </c>
      <c r="L56" t="s">
        <v>53</v>
      </c>
      <c r="M56" t="s">
        <v>54</v>
      </c>
      <c r="N56" t="s">
        <v>55</v>
      </c>
      <c r="O56" t="s">
        <v>56</v>
      </c>
      <c r="P56" t="s">
        <v>57</v>
      </c>
      <c r="Q56" t="s">
        <v>130</v>
      </c>
      <c r="R56" s="11" t="s">
        <v>132</v>
      </c>
      <c r="S56" t="s">
        <v>133</v>
      </c>
      <c r="T56" t="s">
        <v>63</v>
      </c>
      <c r="U56" t="s">
        <v>64</v>
      </c>
      <c r="V56" t="s">
        <v>134</v>
      </c>
      <c r="W56" t="s">
        <v>136</v>
      </c>
    </row>
    <row r="57" spans="1:23" x14ac:dyDescent="0.3">
      <c r="B57" s="5" t="s">
        <v>81</v>
      </c>
      <c r="C57" s="5" t="s">
        <v>68</v>
      </c>
      <c r="D57" s="5" t="s">
        <v>69</v>
      </c>
      <c r="E57" s="5" t="s">
        <v>70</v>
      </c>
      <c r="F57" s="5" t="s">
        <v>71</v>
      </c>
      <c r="G57" s="5" t="s">
        <v>71</v>
      </c>
      <c r="H57" s="5" t="s">
        <v>71</v>
      </c>
      <c r="I57" s="5" t="s">
        <v>76</v>
      </c>
      <c r="J57" s="5" t="s">
        <v>72</v>
      </c>
      <c r="K57" s="5" t="s">
        <v>72</v>
      </c>
      <c r="L57" s="5" t="s">
        <v>73</v>
      </c>
      <c r="M57" s="5" t="s">
        <v>74</v>
      </c>
      <c r="N57" s="5" t="s">
        <v>75</v>
      </c>
      <c r="O57" s="5" t="s">
        <v>75</v>
      </c>
      <c r="P57" s="5" t="s">
        <v>76</v>
      </c>
      <c r="R57" s="11"/>
      <c r="T57" s="5" t="s">
        <v>77</v>
      </c>
      <c r="U57" s="5" t="s">
        <v>78</v>
      </c>
      <c r="V57" t="s">
        <v>135</v>
      </c>
    </row>
    <row r="58" spans="1:23" x14ac:dyDescent="0.3">
      <c r="R58" s="11"/>
    </row>
    <row r="59" spans="1:23" x14ac:dyDescent="0.3">
      <c r="A59">
        <v>3</v>
      </c>
      <c r="B59" s="7">
        <v>3.1064814814814812E-2</v>
      </c>
      <c r="C59" s="3"/>
      <c r="D59" s="3">
        <v>11920</v>
      </c>
      <c r="E59" s="3">
        <v>138</v>
      </c>
      <c r="F59" s="3">
        <v>7.5</v>
      </c>
      <c r="G59" s="3">
        <v>-1.1000000000000001</v>
      </c>
      <c r="H59" s="3">
        <v>2.7</v>
      </c>
      <c r="I59" s="3">
        <v>-32</v>
      </c>
      <c r="J59" s="3">
        <v>392</v>
      </c>
      <c r="K59" s="3">
        <v>427</v>
      </c>
      <c r="L59" s="3">
        <v>892</v>
      </c>
      <c r="M59" s="3">
        <v>-3.1</v>
      </c>
      <c r="N59">
        <f t="shared" ref="N59:N64" si="16">L59*0.453592</f>
        <v>404.60406399999999</v>
      </c>
      <c r="O59">
        <f t="shared" ref="O59:O64" si="17">$H$20-N59</f>
        <v>6299.6142159999999</v>
      </c>
      <c r="P59">
        <f t="shared" ref="P59:P64" si="18">O59*9.80665</f>
        <v>61778.111751336393</v>
      </c>
      <c r="Q59">
        <f>(G60-G59)/(F60-F59)</f>
        <v>-0.52173913043478248</v>
      </c>
      <c r="R59" s="11">
        <f>-N88*Q65</f>
        <v>-2.2569999096635051E-2</v>
      </c>
      <c r="S59">
        <f t="shared" ref="S59:S64" si="19">-G59</f>
        <v>1.1000000000000001</v>
      </c>
      <c r="T59">
        <f t="shared" ref="T59:T64" si="20">1.225*(((288.15-0.0065*(D59*0.3048))/288.15)^(-9.80665/(-0.0065*287.05)-1))</f>
        <v>0.85130202671685773</v>
      </c>
      <c r="U59">
        <f t="shared" ref="U59:U64" si="21">E59*0.5144444444</f>
        <v>70.993333327200006</v>
      </c>
      <c r="V59">
        <f t="shared" ref="V59:V64" si="22">-I59</f>
        <v>32</v>
      </c>
      <c r="W59">
        <f t="shared" ref="W59:W64" si="23">1/2*T59*U59^2</f>
        <v>2145.3038272610047</v>
      </c>
    </row>
    <row r="60" spans="1:23" x14ac:dyDescent="0.3">
      <c r="A60">
        <v>2</v>
      </c>
      <c r="B60" s="7">
        <v>3.0092592592592591E-2</v>
      </c>
      <c r="C60" s="3"/>
      <c r="D60" s="3">
        <v>11760</v>
      </c>
      <c r="E60" s="3">
        <v>149</v>
      </c>
      <c r="F60" s="3">
        <v>6.35</v>
      </c>
      <c r="G60" s="3">
        <v>-0.5</v>
      </c>
      <c r="H60" s="3">
        <v>2.7</v>
      </c>
      <c r="I60" s="3">
        <v>-20</v>
      </c>
      <c r="J60" s="3">
        <v>395</v>
      </c>
      <c r="K60" s="3">
        <v>430</v>
      </c>
      <c r="L60" s="3">
        <v>873</v>
      </c>
      <c r="M60" s="3">
        <v>-2</v>
      </c>
      <c r="N60">
        <f t="shared" si="16"/>
        <v>395.985816</v>
      </c>
      <c r="O60">
        <f t="shared" si="17"/>
        <v>6308.2324639999997</v>
      </c>
      <c r="P60">
        <f t="shared" si="18"/>
        <v>61862.627893085591</v>
      </c>
      <c r="Q60">
        <f>(G61-G60)/(F61-F60)</f>
        <v>-0.47058823529411786</v>
      </c>
      <c r="S60">
        <f t="shared" si="19"/>
        <v>0.5</v>
      </c>
      <c r="T60">
        <f t="shared" si="20"/>
        <v>0.85565205606755046</v>
      </c>
      <c r="U60">
        <f t="shared" si="21"/>
        <v>76.652222215600005</v>
      </c>
      <c r="V60">
        <f t="shared" si="22"/>
        <v>20</v>
      </c>
      <c r="W60">
        <f t="shared" si="23"/>
        <v>2513.7188537349361</v>
      </c>
    </row>
    <row r="61" spans="1:23" x14ac:dyDescent="0.3">
      <c r="A61">
        <v>1</v>
      </c>
      <c r="B61" s="7">
        <v>3.0844907407407404E-2</v>
      </c>
      <c r="C61" s="3"/>
      <c r="D61" s="3">
        <v>11710</v>
      </c>
      <c r="E61" s="3">
        <v>158</v>
      </c>
      <c r="F61" s="3">
        <v>5.5</v>
      </c>
      <c r="G61" s="3">
        <v>-0.1</v>
      </c>
      <c r="H61" s="3">
        <v>2.7</v>
      </c>
      <c r="I61" s="3">
        <v>0</v>
      </c>
      <c r="J61" s="3">
        <v>398</v>
      </c>
      <c r="K61" s="3">
        <v>433</v>
      </c>
      <c r="L61" s="3">
        <v>859</v>
      </c>
      <c r="M61" s="3">
        <v>-1.5</v>
      </c>
      <c r="N61">
        <f t="shared" si="16"/>
        <v>389.63552800000002</v>
      </c>
      <c r="O61">
        <f t="shared" si="17"/>
        <v>6314.5827520000003</v>
      </c>
      <c r="P61">
        <f t="shared" si="18"/>
        <v>61924.902944900801</v>
      </c>
      <c r="Q61">
        <f>(G62-G61)/(F62-F61)</f>
        <v>-0.44444444444444431</v>
      </c>
      <c r="R61" s="13"/>
      <c r="S61">
        <f t="shared" si="19"/>
        <v>0.1</v>
      </c>
      <c r="T61">
        <f t="shared" si="20"/>
        <v>0.85701492129569312</v>
      </c>
      <c r="U61">
        <f t="shared" si="21"/>
        <v>81.282222215200008</v>
      </c>
      <c r="V61">
        <f t="shared" si="22"/>
        <v>0</v>
      </c>
      <c r="W61">
        <f t="shared" si="23"/>
        <v>2831.0629402769027</v>
      </c>
    </row>
    <row r="62" spans="1:23" x14ac:dyDescent="0.3">
      <c r="A62">
        <v>4</v>
      </c>
      <c r="B62" s="7">
        <v>3.2199074074074074E-2</v>
      </c>
      <c r="C62" s="3"/>
      <c r="D62" s="3">
        <v>11140</v>
      </c>
      <c r="E62" s="3">
        <v>169</v>
      </c>
      <c r="F62" s="3">
        <v>4.5999999999999996</v>
      </c>
      <c r="G62" s="3">
        <v>0.3</v>
      </c>
      <c r="H62" s="3">
        <v>2.7</v>
      </c>
      <c r="I62" s="3">
        <v>26</v>
      </c>
      <c r="J62" s="3">
        <v>407</v>
      </c>
      <c r="K62" s="3">
        <v>443</v>
      </c>
      <c r="L62" s="3">
        <v>914</v>
      </c>
      <c r="M62" s="3">
        <v>0.2</v>
      </c>
      <c r="N62">
        <f t="shared" si="16"/>
        <v>414.58308799999998</v>
      </c>
      <c r="O62">
        <f t="shared" si="17"/>
        <v>6289.6351919999997</v>
      </c>
      <c r="P62">
        <f t="shared" si="18"/>
        <v>61680.250955626791</v>
      </c>
      <c r="Q62">
        <f>(G63-G62)/(F63-F62)</f>
        <v>-0.50000000000000033</v>
      </c>
      <c r="S62">
        <f t="shared" si="19"/>
        <v>-0.3</v>
      </c>
      <c r="T62">
        <f t="shared" si="20"/>
        <v>0.87266926229232178</v>
      </c>
      <c r="U62">
        <f t="shared" si="21"/>
        <v>86.941111103600008</v>
      </c>
      <c r="V62">
        <f t="shared" si="22"/>
        <v>-26</v>
      </c>
      <c r="W62">
        <f t="shared" si="23"/>
        <v>3298.1473602203464</v>
      </c>
    </row>
    <row r="63" spans="1:23" x14ac:dyDescent="0.3">
      <c r="A63">
        <v>5</v>
      </c>
      <c r="B63" s="7">
        <v>3.3067129629629634E-2</v>
      </c>
      <c r="C63" s="3"/>
      <c r="D63" s="3">
        <v>10640</v>
      </c>
      <c r="E63" s="3">
        <v>180</v>
      </c>
      <c r="F63" s="3">
        <v>4</v>
      </c>
      <c r="G63" s="3">
        <v>0.6</v>
      </c>
      <c r="H63" s="3">
        <v>2.7</v>
      </c>
      <c r="I63" s="3">
        <v>49</v>
      </c>
      <c r="J63" s="3">
        <v>417</v>
      </c>
      <c r="K63" s="3">
        <v>455</v>
      </c>
      <c r="L63" s="3">
        <v>933</v>
      </c>
      <c r="M63" s="3">
        <v>0</v>
      </c>
      <c r="N63">
        <f t="shared" si="16"/>
        <v>423.20133599999997</v>
      </c>
      <c r="O63">
        <f t="shared" si="17"/>
        <v>6281.016944</v>
      </c>
      <c r="P63">
        <f t="shared" si="18"/>
        <v>61595.7348138776</v>
      </c>
      <c r="Q63">
        <f>(G64-G63)/(F64-F63)</f>
        <v>-0.53846153846153855</v>
      </c>
      <c r="S63">
        <f t="shared" si="19"/>
        <v>-0.6</v>
      </c>
      <c r="T63">
        <f t="shared" si="20"/>
        <v>0.88658041092326045</v>
      </c>
      <c r="U63">
        <f t="shared" si="21"/>
        <v>92.599999992000008</v>
      </c>
      <c r="V63">
        <f t="shared" si="22"/>
        <v>-49</v>
      </c>
      <c r="W63">
        <f t="shared" si="23"/>
        <v>3801.1071215273901</v>
      </c>
    </row>
    <row r="64" spans="1:23" x14ac:dyDescent="0.3">
      <c r="A64">
        <v>6</v>
      </c>
      <c r="B64" s="7">
        <v>3.3842592592592598E-2</v>
      </c>
      <c r="C64" s="3"/>
      <c r="D64" s="3">
        <v>10810</v>
      </c>
      <c r="E64" s="3">
        <v>160</v>
      </c>
      <c r="F64" s="3">
        <v>5.3</v>
      </c>
      <c r="G64" s="3">
        <v>-0.1</v>
      </c>
      <c r="H64" s="3">
        <v>2.7</v>
      </c>
      <c r="I64" s="3">
        <v>0</v>
      </c>
      <c r="J64" s="3">
        <v>412</v>
      </c>
      <c r="K64" s="3">
        <v>448</v>
      </c>
      <c r="L64" s="3">
        <v>948</v>
      </c>
      <c r="M64" s="3">
        <v>-1.5</v>
      </c>
      <c r="N64">
        <f t="shared" si="16"/>
        <v>430.00521600000002</v>
      </c>
      <c r="O64">
        <f t="shared" si="17"/>
        <v>6274.2130639999996</v>
      </c>
      <c r="P64">
        <f t="shared" si="18"/>
        <v>61529.011544075591</v>
      </c>
      <c r="S64">
        <f t="shared" si="19"/>
        <v>0.1</v>
      </c>
      <c r="T64">
        <f t="shared" si="20"/>
        <v>0.88183172728763926</v>
      </c>
      <c r="U64">
        <f t="shared" si="21"/>
        <v>82.311111104000005</v>
      </c>
      <c r="V64">
        <f t="shared" si="22"/>
        <v>0</v>
      </c>
      <c r="W64">
        <f t="shared" si="23"/>
        <v>2987.2574501019008</v>
      </c>
    </row>
    <row r="65" spans="1:21" x14ac:dyDescent="0.3">
      <c r="A65">
        <v>7</v>
      </c>
      <c r="B65" s="8">
        <v>3.4664351851851849E-2</v>
      </c>
      <c r="C65" s="9"/>
      <c r="D65" s="9">
        <v>10870</v>
      </c>
      <c r="E65" s="9">
        <v>160</v>
      </c>
      <c r="F65" s="9">
        <v>5.3</v>
      </c>
      <c r="G65" s="9">
        <v>-0.5</v>
      </c>
      <c r="H65" s="9">
        <v>2.7</v>
      </c>
      <c r="I65" s="9">
        <v>-22</v>
      </c>
      <c r="J65" s="9">
        <v>413</v>
      </c>
      <c r="K65" s="9">
        <v>450</v>
      </c>
      <c r="L65" s="9">
        <v>965</v>
      </c>
      <c r="M65" s="9">
        <v>-2.5</v>
      </c>
      <c r="N65" t="s">
        <v>109</v>
      </c>
      <c r="P65" t="s">
        <v>131</v>
      </c>
      <c r="Q65" s="12">
        <f>SUM(Q59:Q63)/5</f>
        <v>-0.49504666972697675</v>
      </c>
    </row>
    <row r="66" spans="1:21" x14ac:dyDescent="0.3">
      <c r="C66" t="s">
        <v>80</v>
      </c>
    </row>
    <row r="68" spans="1:21" x14ac:dyDescent="0.3">
      <c r="A68" s="1" t="s">
        <v>86</v>
      </c>
    </row>
    <row r="70" spans="1:21" x14ac:dyDescent="0.3">
      <c r="A70" t="s">
        <v>87</v>
      </c>
      <c r="C70" s="3"/>
    </row>
    <row r="71" spans="1:21" x14ac:dyDescent="0.3">
      <c r="A71" t="s">
        <v>88</v>
      </c>
      <c r="C71" s="3"/>
      <c r="E71" t="s">
        <v>89</v>
      </c>
      <c r="H71" s="3"/>
    </row>
    <row r="73" spans="1:21" x14ac:dyDescent="0.3">
      <c r="A73" t="s">
        <v>45</v>
      </c>
      <c r="B73" t="s">
        <v>46</v>
      </c>
      <c r="C73" t="s">
        <v>47</v>
      </c>
      <c r="D73" t="s">
        <v>48</v>
      </c>
      <c r="E73" t="s">
        <v>49</v>
      </c>
      <c r="F73" t="s">
        <v>50</v>
      </c>
      <c r="G73" t="s">
        <v>83</v>
      </c>
      <c r="H73" t="s">
        <v>84</v>
      </c>
      <c r="I73" t="s">
        <v>85</v>
      </c>
      <c r="J73" t="s">
        <v>51</v>
      </c>
      <c r="K73" t="s">
        <v>52</v>
      </c>
      <c r="L73" t="s">
        <v>53</v>
      </c>
      <c r="M73" t="s">
        <v>54</v>
      </c>
      <c r="N73" t="s">
        <v>55</v>
      </c>
      <c r="O73" t="s">
        <v>56</v>
      </c>
      <c r="P73" t="s">
        <v>57</v>
      </c>
      <c r="Q73" t="s">
        <v>116</v>
      </c>
      <c r="R73" t="s">
        <v>124</v>
      </c>
      <c r="S73" t="s">
        <v>17</v>
      </c>
      <c r="T73" t="s">
        <v>126</v>
      </c>
    </row>
    <row r="74" spans="1:21" x14ac:dyDescent="0.3">
      <c r="B74" s="5" t="s">
        <v>81</v>
      </c>
      <c r="C74" s="5" t="s">
        <v>68</v>
      </c>
      <c r="D74" s="5" t="s">
        <v>69</v>
      </c>
      <c r="E74" s="5" t="s">
        <v>70</v>
      </c>
      <c r="F74" s="5" t="s">
        <v>71</v>
      </c>
      <c r="G74" s="5" t="s">
        <v>71</v>
      </c>
      <c r="H74" s="5" t="s">
        <v>71</v>
      </c>
      <c r="I74" s="5" t="s">
        <v>76</v>
      </c>
      <c r="J74" s="5" t="s">
        <v>72</v>
      </c>
      <c r="K74" s="5" t="s">
        <v>72</v>
      </c>
      <c r="L74" s="5" t="s">
        <v>73</v>
      </c>
      <c r="M74" s="5" t="s">
        <v>74</v>
      </c>
      <c r="N74" s="5" t="s">
        <v>75</v>
      </c>
      <c r="O74" s="5" t="s">
        <v>75</v>
      </c>
      <c r="P74" s="5" t="s">
        <v>76</v>
      </c>
      <c r="Q74" s="5" t="s">
        <v>121</v>
      </c>
    </row>
    <row r="75" spans="1:21" x14ac:dyDescent="0.3">
      <c r="A75">
        <v>1</v>
      </c>
      <c r="B75" s="7">
        <v>3.3842592592592598E-2</v>
      </c>
      <c r="C75" s="3"/>
      <c r="D75" s="3">
        <v>10810</v>
      </c>
      <c r="E75" s="3">
        <v>160</v>
      </c>
      <c r="F75" s="3">
        <v>5.3</v>
      </c>
      <c r="G75" s="3">
        <v>-0.1</v>
      </c>
      <c r="H75" s="3">
        <v>2.7</v>
      </c>
      <c r="I75" s="3">
        <v>0</v>
      </c>
      <c r="J75" s="3">
        <v>412</v>
      </c>
      <c r="K75" s="3">
        <v>448</v>
      </c>
      <c r="L75" s="3">
        <v>948</v>
      </c>
      <c r="M75" s="3">
        <v>-1.5</v>
      </c>
      <c r="N75">
        <f t="shared" ref="N75:N76" si="24">L75*0.453592</f>
        <v>430.00521600000002</v>
      </c>
      <c r="O75">
        <f t="shared" ref="O75:O76" si="25">$H$20-N75</f>
        <v>6274.2130639999996</v>
      </c>
      <c r="P75">
        <f>O75*9.80665</f>
        <v>61529.011544075591</v>
      </c>
      <c r="Q75">
        <f>P80/(M80*9.80665)</f>
        <v>7.2386184825341298</v>
      </c>
      <c r="R75">
        <f>Q75*100/2.54</f>
        <v>284.98497962732796</v>
      </c>
      <c r="S75">
        <f>R75-261.45</f>
        <v>23.534979627327971</v>
      </c>
      <c r="T75">
        <f>S75*2.54/100</f>
        <v>0.59778848253413042</v>
      </c>
    </row>
    <row r="76" spans="1:21" x14ac:dyDescent="0.3">
      <c r="A76">
        <v>2</v>
      </c>
      <c r="B76" s="7">
        <v>3.4664351851851849E-2</v>
      </c>
      <c r="C76" s="3"/>
      <c r="D76" s="3">
        <v>10870</v>
      </c>
      <c r="E76" s="3">
        <v>160</v>
      </c>
      <c r="F76" s="3">
        <v>5.3</v>
      </c>
      <c r="G76" s="3">
        <v>-0.5</v>
      </c>
      <c r="H76" s="3">
        <v>2.7</v>
      </c>
      <c r="I76" s="3">
        <v>-22</v>
      </c>
      <c r="J76" s="3">
        <v>413</v>
      </c>
      <c r="K76" s="3">
        <v>450</v>
      </c>
      <c r="L76" s="3">
        <v>965</v>
      </c>
      <c r="M76" s="3">
        <v>-2.5</v>
      </c>
      <c r="N76">
        <f t="shared" si="24"/>
        <v>437.71627999999998</v>
      </c>
      <c r="O76">
        <f t="shared" si="25"/>
        <v>6266.5020000000004</v>
      </c>
      <c r="P76">
        <f>O76*9.80665</f>
        <v>61453.391838299998</v>
      </c>
      <c r="Q76">
        <f>P81/(M81*9.80665)</f>
        <v>7.2433058912680037</v>
      </c>
      <c r="R76">
        <f>Q76*100/2.54</f>
        <v>285.16952327826789</v>
      </c>
      <c r="S76">
        <f>R76-261.45</f>
        <v>23.7195232782679</v>
      </c>
      <c r="T76">
        <f>S76*2.54/100</f>
        <v>0.60247589126800472</v>
      </c>
    </row>
    <row r="77" spans="1:21" x14ac:dyDescent="0.3">
      <c r="C77" t="s">
        <v>80</v>
      </c>
    </row>
    <row r="78" spans="1:21" x14ac:dyDescent="0.3">
      <c r="M78" t="s">
        <v>117</v>
      </c>
      <c r="N78" t="s">
        <v>112</v>
      </c>
      <c r="O78" t="s">
        <v>113</v>
      </c>
      <c r="P78" t="s">
        <v>113</v>
      </c>
      <c r="Q78" t="s">
        <v>119</v>
      </c>
      <c r="R78" t="s">
        <v>120</v>
      </c>
      <c r="S78" t="s">
        <v>125</v>
      </c>
      <c r="T78" t="s">
        <v>17</v>
      </c>
      <c r="U78" t="s">
        <v>127</v>
      </c>
    </row>
    <row r="79" spans="1:21" x14ac:dyDescent="0.3">
      <c r="A79" s="1" t="s">
        <v>90</v>
      </c>
      <c r="M79" t="s">
        <v>118</v>
      </c>
      <c r="N79" s="10" t="s">
        <v>73</v>
      </c>
      <c r="O79" s="10" t="s">
        <v>114</v>
      </c>
      <c r="P79" s="10" t="s">
        <v>115</v>
      </c>
      <c r="Q79" s="10" t="s">
        <v>122</v>
      </c>
      <c r="R79" s="10" t="s">
        <v>121</v>
      </c>
    </row>
    <row r="80" spans="1:21" x14ac:dyDescent="0.3">
      <c r="M80">
        <f>N80*0.453592</f>
        <v>1407.0423840000001</v>
      </c>
      <c r="N80">
        <f>$D$18-L75</f>
        <v>3102</v>
      </c>
      <c r="O80">
        <f>8839.04*100</f>
        <v>883904.00000000012</v>
      </c>
      <c r="P80">
        <f>O80*0.113</f>
        <v>99881.152000000016</v>
      </c>
      <c r="Q80">
        <f>Q12</f>
        <v>37447.77764049</v>
      </c>
      <c r="R80">
        <f>R12</f>
        <v>5.3783247887323942</v>
      </c>
      <c r="S80">
        <f>R80*100/2.54</f>
        <v>211.74507042253521</v>
      </c>
      <c r="T80">
        <f>S80-261.45</f>
        <v>-49.704929577464782</v>
      </c>
      <c r="U80">
        <f>T80*2.54/100</f>
        <v>-1.2625052112676054</v>
      </c>
    </row>
    <row r="81" spans="1:21" x14ac:dyDescent="0.3">
      <c r="D81" t="s">
        <v>91</v>
      </c>
      <c r="G81" t="s">
        <v>91</v>
      </c>
      <c r="J81" t="s">
        <v>91</v>
      </c>
      <c r="M81">
        <f>N81*0.453592</f>
        <v>1399.33132</v>
      </c>
      <c r="N81">
        <f>$D$18-L76</f>
        <v>3085</v>
      </c>
      <c r="O81">
        <f>8796.2915*100</f>
        <v>879629.14999999991</v>
      </c>
      <c r="P81">
        <f>O81*0.113</f>
        <v>99398.093949999995</v>
      </c>
      <c r="Q81">
        <f>Q15</f>
        <v>34033.765040030004</v>
      </c>
      <c r="R81">
        <f>R15</f>
        <v>4.8879974647887332</v>
      </c>
      <c r="S81">
        <f>R81*100/2.54</f>
        <v>192.44084507042257</v>
      </c>
      <c r="T81">
        <f>S81-261.45</f>
        <v>-69.00915492957742</v>
      </c>
      <c r="U81">
        <f>T81*2.54/100</f>
        <v>-1.7528325352112666</v>
      </c>
    </row>
    <row r="82" spans="1:21" x14ac:dyDescent="0.3">
      <c r="D82" t="s">
        <v>81</v>
      </c>
      <c r="G82" t="s">
        <v>81</v>
      </c>
      <c r="J82" t="s">
        <v>81</v>
      </c>
    </row>
    <row r="83" spans="1:21" x14ac:dyDescent="0.3">
      <c r="A83" t="s">
        <v>92</v>
      </c>
      <c r="D83" s="6" t="s">
        <v>103</v>
      </c>
      <c r="E83" t="s">
        <v>93</v>
      </c>
      <c r="G83" s="6" t="s">
        <v>104</v>
      </c>
      <c r="H83" t="s">
        <v>94</v>
      </c>
      <c r="J83" s="6" t="s">
        <v>105</v>
      </c>
    </row>
    <row r="84" spans="1:21" x14ac:dyDescent="0.3">
      <c r="A84" t="s">
        <v>95</v>
      </c>
      <c r="D84" s="6" t="s">
        <v>106</v>
      </c>
      <c r="E84" t="s">
        <v>96</v>
      </c>
      <c r="G84" s="6" t="s">
        <v>107</v>
      </c>
      <c r="H84" t="s">
        <v>97</v>
      </c>
      <c r="J84" s="6" t="s">
        <v>108</v>
      </c>
      <c r="M84" t="s">
        <v>111</v>
      </c>
      <c r="N84" s="11" t="s">
        <v>110</v>
      </c>
      <c r="O84" t="s">
        <v>63</v>
      </c>
      <c r="P84" t="s">
        <v>64</v>
      </c>
      <c r="Q84" t="s">
        <v>123</v>
      </c>
      <c r="R84" t="s">
        <v>128</v>
      </c>
      <c r="S84" t="s">
        <v>17</v>
      </c>
      <c r="T84" t="s">
        <v>18</v>
      </c>
      <c r="U84" t="s">
        <v>129</v>
      </c>
    </row>
    <row r="85" spans="1:21" x14ac:dyDescent="0.3">
      <c r="M85" s="5" t="s">
        <v>79</v>
      </c>
      <c r="N85" s="12"/>
      <c r="O85" s="5" t="s">
        <v>77</v>
      </c>
      <c r="P85" s="5" t="s">
        <v>78</v>
      </c>
      <c r="Q85" s="5" t="s">
        <v>121</v>
      </c>
    </row>
    <row r="86" spans="1:21" x14ac:dyDescent="0.3">
      <c r="M86">
        <f>P75/(1/2*O86*P86^2*30)</f>
        <v>0.68657190942790147</v>
      </c>
      <c r="N86" s="12">
        <f>-(1/($G$76-$G$75))*M86*(U86/2.0569)</f>
        <v>-4.5576446454765829E-2</v>
      </c>
      <c r="O86">
        <f>1.225*(((288.15-0.0065*(D75*0.3048))/288.15)^(-9.80665/(-0.0065*287.05)-1))</f>
        <v>0.88183172728763926</v>
      </c>
      <c r="P86">
        <f>E75*0.5144444444</f>
        <v>82.311111104000005</v>
      </c>
      <c r="Q86">
        <f>(Q80+P80+$Q$10)/(O75*9.80665)</f>
        <v>7.1498905329456557</v>
      </c>
      <c r="R86">
        <f>Q86*100/2.54</f>
        <v>281.49175326557702</v>
      </c>
      <c r="S86">
        <f>R86-261.45</f>
        <v>20.041753265577029</v>
      </c>
      <c r="T86">
        <f>S86*2.54/100</f>
        <v>0.50906053294565656</v>
      </c>
      <c r="U86">
        <f>T87-T86</f>
        <v>-5.4616969570411678E-2</v>
      </c>
    </row>
    <row r="87" spans="1:21" x14ac:dyDescent="0.3">
      <c r="M87">
        <f>P76/(1/2*O87*P87^2*30)</f>
        <v>0.68703024714779537</v>
      </c>
      <c r="N87" s="12">
        <f>-(1/($G$76-$G$75))*M87*($U$86/2.0569)</f>
        <v>-4.5606872116320134E-2</v>
      </c>
      <c r="O87">
        <f>1.225*(((288.15-0.0065*(D76*0.3048))/288.15)^(-9.80665/(-0.0065*287.05)-1))</f>
        <v>0.88016037581079387</v>
      </c>
      <c r="P87">
        <f>E76*0.5144444444</f>
        <v>82.311111104000005</v>
      </c>
      <c r="Q87">
        <f>(Q81+P81+$Q$10)/(O76*9.80665)</f>
        <v>7.0952735633752448</v>
      </c>
      <c r="R87">
        <f>Q87*100/2.54</f>
        <v>279.34147887304113</v>
      </c>
      <c r="S87">
        <f>R87-261.45</f>
        <v>17.891478873041137</v>
      </c>
      <c r="T87">
        <f>S87*2.54/100</f>
        <v>0.45444356337524489</v>
      </c>
    </row>
    <row r="88" spans="1:21" x14ac:dyDescent="0.3">
      <c r="N88" s="11">
        <f>(N86+N87)/2</f>
        <v>-4.5591659285542985E-2</v>
      </c>
    </row>
  </sheetData>
  <sortState ref="A59:W63">
    <sortCondition ref="U59:U63"/>
  </sortState>
  <conditionalFormatting sqref="B34:J34">
    <cfRule type="expression" dxfId="13" priority="13">
      <formula>LEN(TRIM(B34))=0</formula>
    </cfRule>
  </conditionalFormatting>
  <conditionalFormatting sqref="D18">
    <cfRule type="expression" dxfId="12" priority="14">
      <formula>LEN(TRIM(D18))=0</formula>
    </cfRule>
  </conditionalFormatting>
  <conditionalFormatting sqref="C28:C33">
    <cfRule type="expression" dxfId="11" priority="15">
      <formula>LEN(TRIM(C28))=0</formula>
    </cfRule>
  </conditionalFormatting>
  <conditionalFormatting sqref="C59:C65">
    <cfRule type="expression" dxfId="10" priority="16">
      <formula>LEN(TRIM(C59))=0</formula>
    </cfRule>
  </conditionalFormatting>
  <conditionalFormatting sqref="C44:J50">
    <cfRule type="expression" dxfId="9" priority="17">
      <formula>LEN(TRIM(C44))=0</formula>
    </cfRule>
  </conditionalFormatting>
  <conditionalFormatting sqref="C70">
    <cfRule type="expression" dxfId="8" priority="18">
      <formula>LEN(TRIM(C70))=0</formula>
    </cfRule>
  </conditionalFormatting>
  <conditionalFormatting sqref="C71">
    <cfRule type="expression" dxfId="7" priority="19">
      <formula>LEN(TRIM(C71))=0</formula>
    </cfRule>
  </conditionalFormatting>
  <conditionalFormatting sqref="H71">
    <cfRule type="expression" dxfId="6" priority="20">
      <formula>LEN(TRIM(H71))=0</formula>
    </cfRule>
  </conditionalFormatting>
  <conditionalFormatting sqref="D3:D4">
    <cfRule type="expression" dxfId="5" priority="22">
      <formula>LEN(TRIM(D3))=0</formula>
    </cfRule>
  </conditionalFormatting>
  <conditionalFormatting sqref="E39">
    <cfRule type="expression" dxfId="4" priority="23">
      <formula>LEN(TRIM(E39))=0</formula>
    </cfRule>
  </conditionalFormatting>
  <conditionalFormatting sqref="B59:B65">
    <cfRule type="expression" dxfId="3" priority="27">
      <formula>LEN(TRIM(B59))=0</formula>
    </cfRule>
  </conditionalFormatting>
  <conditionalFormatting sqref="B44:B50">
    <cfRule type="expression" dxfId="2" priority="28">
      <formula>LEN(TRIM(B44))=0</formula>
    </cfRule>
  </conditionalFormatting>
  <conditionalFormatting sqref="D28:J33 D59:M65 D76:M76">
    <cfRule type="expression" priority="11">
      <formula>LEN(TRIM(D28))=0</formula>
    </cfRule>
  </conditionalFormatting>
  <conditionalFormatting sqref="B29:B33">
    <cfRule type="expression" priority="10">
      <formula>LEN(TRIM(B29))=0</formula>
    </cfRule>
  </conditionalFormatting>
  <conditionalFormatting sqref="B76">
    <cfRule type="expression" priority="7">
      <formula>LEN(TRIM(B76))=0</formula>
    </cfRule>
  </conditionalFormatting>
  <conditionalFormatting sqref="D83:D84">
    <cfRule type="expression" priority="4">
      <formula>LEN(TRIM(D83))=0</formula>
    </cfRule>
  </conditionalFormatting>
  <conditionalFormatting sqref="G83:G84">
    <cfRule type="expression" priority="5">
      <formula>LEN(TRIM(G83))=0</formula>
    </cfRule>
  </conditionalFormatting>
  <conditionalFormatting sqref="J83:J84">
    <cfRule type="expression" priority="6">
      <formula>LEN(TRIM(J83))=0</formula>
    </cfRule>
  </conditionalFormatting>
  <conditionalFormatting sqref="C75">
    <cfRule type="expression" dxfId="1" priority="2">
      <formula>LEN(TRIM(C75))=0</formula>
    </cfRule>
  </conditionalFormatting>
  <conditionalFormatting sqref="B75">
    <cfRule type="expression" dxfId="0" priority="3">
      <formula>LEN(TRIM(B75))=0</formula>
    </cfRule>
  </conditionalFormatting>
  <conditionalFormatting sqref="D75:M75">
    <cfRule type="expression" priority="1">
      <formula>LEN(TRIM(D75))=0</formula>
    </cfRule>
  </conditionalFormatting>
  <pageMargins left="0.7" right="0.7" top="0.75" bottom="0.75" header="0.3" footer="0.3"/>
  <pageSetup paperSize="9" scale="24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5488-0BFE-4566-95C3-43278896809C}">
  <dimension ref="A1:W12"/>
  <sheetViews>
    <sheetView zoomScale="90" zoomScaleNormal="90" workbookViewId="0">
      <selection activeCell="O5" sqref="O5"/>
    </sheetView>
  </sheetViews>
  <sheetFormatPr defaultRowHeight="14.4" x14ac:dyDescent="0.3"/>
  <cols>
    <col min="3" max="3" width="12.5546875" customWidth="1"/>
    <col min="9" max="9" width="12.88671875" customWidth="1"/>
    <col min="11" max="11" width="13.44140625" customWidth="1"/>
    <col min="13" max="13" width="14.33203125" customWidth="1"/>
  </cols>
  <sheetData>
    <row r="1" spans="1:23" x14ac:dyDescent="0.3">
      <c r="C1" s="14" t="s">
        <v>48</v>
      </c>
      <c r="D1" s="14" t="s">
        <v>49</v>
      </c>
      <c r="E1" s="14" t="s">
        <v>50</v>
      </c>
      <c r="F1" s="14" t="s">
        <v>51</v>
      </c>
      <c r="G1" s="14" t="s">
        <v>52</v>
      </c>
      <c r="H1" s="14" t="s">
        <v>53</v>
      </c>
      <c r="I1" s="14" t="s">
        <v>54</v>
      </c>
      <c r="J1" s="14" t="s">
        <v>55</v>
      </c>
      <c r="K1" s="14" t="s">
        <v>56</v>
      </c>
      <c r="L1" s="14"/>
      <c r="M1" s="14" t="s">
        <v>57</v>
      </c>
      <c r="N1" s="14" t="s">
        <v>58</v>
      </c>
      <c r="O1" s="14" t="s">
        <v>59</v>
      </c>
      <c r="P1" s="14" t="s">
        <v>60</v>
      </c>
      <c r="Q1" s="14" t="s">
        <v>61</v>
      </c>
      <c r="R1" s="14" t="s">
        <v>62</v>
      </c>
      <c r="S1" s="14" t="s">
        <v>63</v>
      </c>
      <c r="T1" s="14" t="s">
        <v>64</v>
      </c>
      <c r="U1" s="14" t="s">
        <v>65</v>
      </c>
      <c r="V1" s="14" t="s">
        <v>66</v>
      </c>
      <c r="W1" s="14" t="s">
        <v>141</v>
      </c>
    </row>
    <row r="2" spans="1:23" x14ac:dyDescent="0.3">
      <c r="C2" s="15" t="s">
        <v>69</v>
      </c>
      <c r="D2" s="15" t="s">
        <v>70</v>
      </c>
      <c r="E2" s="15" t="s">
        <v>71</v>
      </c>
      <c r="F2" s="15" t="s">
        <v>72</v>
      </c>
      <c r="G2" s="15" t="s">
        <v>72</v>
      </c>
      <c r="H2" s="15" t="s">
        <v>73</v>
      </c>
      <c r="I2" s="15" t="s">
        <v>74</v>
      </c>
      <c r="J2" s="15" t="s">
        <v>75</v>
      </c>
      <c r="K2" s="15" t="s">
        <v>75</v>
      </c>
      <c r="L2" s="15"/>
      <c r="M2" s="15" t="s">
        <v>76</v>
      </c>
      <c r="N2" s="15" t="s">
        <v>76</v>
      </c>
      <c r="O2" s="15" t="s">
        <v>76</v>
      </c>
      <c r="P2" s="15" t="s">
        <v>76</v>
      </c>
      <c r="Q2" s="15" t="s">
        <v>76</v>
      </c>
      <c r="R2" s="15" t="s">
        <v>76</v>
      </c>
      <c r="S2" s="15" t="s">
        <v>77</v>
      </c>
      <c r="T2" s="15" t="s">
        <v>78</v>
      </c>
      <c r="U2" s="15" t="s">
        <v>79</v>
      </c>
      <c r="V2" s="15" t="s">
        <v>79</v>
      </c>
      <c r="W2" s="15" t="s">
        <v>79</v>
      </c>
    </row>
    <row r="4" spans="1:23" x14ac:dyDescent="0.3">
      <c r="A4" t="s">
        <v>137</v>
      </c>
      <c r="C4" s="3">
        <v>10451.5622982761</v>
      </c>
      <c r="D4" s="3">
        <v>182.462934746418</v>
      </c>
      <c r="E4" s="3">
        <v>7.0942990328948197</v>
      </c>
      <c r="F4" s="3">
        <v>712</v>
      </c>
      <c r="G4" s="3">
        <v>756</v>
      </c>
      <c r="H4" s="3">
        <v>645</v>
      </c>
      <c r="I4" s="3">
        <v>2.5</v>
      </c>
      <c r="J4">
        <v>448.50357949238798</v>
      </c>
      <c r="K4">
        <f>$E$12-J4</f>
        <v>6255.7147205076126</v>
      </c>
      <c r="M4">
        <f>K4*9.80665</f>
        <v>61347.604763865973</v>
      </c>
      <c r="N4">
        <f>Q4+R4</f>
        <v>7499.77</v>
      </c>
      <c r="O4">
        <f>N4*COS(RADIANS(E4))</f>
        <v>7442.3534963274205</v>
      </c>
      <c r="P4">
        <f>M4-N4*SIN(RADIANS(E4))</f>
        <v>60421.362631050244</v>
      </c>
      <c r="Q4">
        <v>3697.8</v>
      </c>
      <c r="R4">
        <v>3801.97</v>
      </c>
      <c r="S4">
        <f>1.225*(((288.15-0.0065*(C4*0.3048))/288.15)^(-9.80665/(-0.0065*287.05)-1))</f>
        <v>0.89186695733452492</v>
      </c>
      <c r="T4">
        <f>D4*0.5144444444</f>
        <v>93.867043089214462</v>
      </c>
      <c r="U4">
        <f>P4/(0.5*S4*T4^2*$D$11)</f>
        <v>0.42716106577927948</v>
      </c>
      <c r="V4">
        <f>O4/(0.5*S4*T4^2*$D$11)</f>
        <v>5.2615226022123048E-2</v>
      </c>
      <c r="W4">
        <f>V4-(U4^2)/(PI()*7.11111*0.8)</f>
        <v>4.2405688573615034E-2</v>
      </c>
    </row>
    <row r="5" spans="1:23" x14ac:dyDescent="0.3">
      <c r="A5" t="s">
        <v>138</v>
      </c>
      <c r="C5">
        <v>10647.934607355</v>
      </c>
      <c r="D5">
        <v>151.86092119588099</v>
      </c>
      <c r="E5">
        <v>8.9587318239251399</v>
      </c>
      <c r="J5">
        <v>454.011702963152</v>
      </c>
      <c r="K5">
        <f t="shared" ref="K5:K9" si="0">$E$12-J5</f>
        <v>6250.2065970368485</v>
      </c>
      <c r="M5">
        <f t="shared" ref="M5:M9" si="1">K5*9.80665</f>
        <v>61293.588524831408</v>
      </c>
      <c r="N5">
        <f>Q5+R5</f>
        <v>0</v>
      </c>
      <c r="O5">
        <f t="shared" ref="O5:O9" si="2">N5*COS(RADIANS(E5))</f>
        <v>0</v>
      </c>
      <c r="P5">
        <f t="shared" ref="P5:P9" si="3">M5-N5*SIN(RADIANS(E5))</f>
        <v>61293.588524831408</v>
      </c>
      <c r="S5">
        <f t="shared" ref="S5:S9" si="4">1.225*(((288.15-0.0065*(C5*0.3048))/288.15)^(-9.80665/(-0.0065*287.05)-1))</f>
        <v>0.88635833583980284</v>
      </c>
      <c r="T5">
        <f t="shared" ref="T5:T9" si="5">D5*0.5144444444</f>
        <v>78.124007230687184</v>
      </c>
      <c r="U5">
        <f t="shared" ref="U5:U9" si="6">P5/(0.5*S5*T5^2*$D$11)</f>
        <v>0.62945427422597178</v>
      </c>
      <c r="V5">
        <f t="shared" ref="V5:V9" si="7">O5/(0.5*S5*T5^2*$D$11)</f>
        <v>0</v>
      </c>
      <c r="W5">
        <f t="shared" ref="W5:W9" si="8">V5-(U5^2)/(PI()*7.11111*0.8)</f>
        <v>-2.2169255949309914E-2</v>
      </c>
    </row>
    <row r="6" spans="1:23" x14ac:dyDescent="0.3">
      <c r="A6" t="s">
        <v>139</v>
      </c>
      <c r="C6">
        <v>10120.628741644699</v>
      </c>
      <c r="D6">
        <v>191.672982280665</v>
      </c>
      <c r="E6">
        <v>5.2577614540925897</v>
      </c>
      <c r="J6">
        <v>463.00838557364199</v>
      </c>
      <c r="K6">
        <f t="shared" si="0"/>
        <v>6241.2099144263584</v>
      </c>
      <c r="M6">
        <f t="shared" si="1"/>
        <v>61205.361207309244</v>
      </c>
      <c r="N6">
        <f t="shared" ref="N5:N9" si="9">Q6+R6</f>
        <v>0</v>
      </c>
      <c r="O6">
        <f t="shared" si="2"/>
        <v>0</v>
      </c>
      <c r="P6">
        <f t="shared" si="3"/>
        <v>61205.361207309244</v>
      </c>
      <c r="S6">
        <f t="shared" si="4"/>
        <v>0.90120950018440349</v>
      </c>
      <c r="T6">
        <f t="shared" si="5"/>
        <v>98.605100875867748</v>
      </c>
      <c r="U6">
        <f t="shared" si="6"/>
        <v>0.38805424221215346</v>
      </c>
      <c r="V6">
        <f t="shared" si="7"/>
        <v>0</v>
      </c>
      <c r="W6">
        <f t="shared" si="8"/>
        <v>-8.4257314835718376E-3</v>
      </c>
    </row>
    <row r="7" spans="1:23" x14ac:dyDescent="0.3">
      <c r="A7" t="s">
        <v>93</v>
      </c>
      <c r="C7">
        <v>9990.0746787326898</v>
      </c>
      <c r="D7">
        <v>195.010528801552</v>
      </c>
      <c r="E7">
        <v>4.6338421086146004</v>
      </c>
      <c r="J7">
        <v>481.655082840896</v>
      </c>
      <c r="K7">
        <f t="shared" si="0"/>
        <v>6222.5632171591042</v>
      </c>
      <c r="M7">
        <f t="shared" si="1"/>
        <v>61022.499573553323</v>
      </c>
      <c r="N7">
        <f t="shared" si="9"/>
        <v>0</v>
      </c>
      <c r="O7">
        <f t="shared" si="2"/>
        <v>0</v>
      </c>
      <c r="P7">
        <f t="shared" si="3"/>
        <v>61022.499573553323</v>
      </c>
      <c r="S7">
        <f t="shared" si="4"/>
        <v>0.90491567624137825</v>
      </c>
      <c r="T7">
        <f t="shared" si="5"/>
        <v>100.32208314146462</v>
      </c>
      <c r="U7">
        <f t="shared" si="6"/>
        <v>0.37223421764716219</v>
      </c>
      <c r="V7">
        <f t="shared" si="7"/>
        <v>0</v>
      </c>
      <c r="W7">
        <f t="shared" si="8"/>
        <v>-7.7527419722753805E-3</v>
      </c>
    </row>
    <row r="8" spans="1:23" x14ac:dyDescent="0.3">
      <c r="A8" t="s">
        <v>96</v>
      </c>
      <c r="C8">
        <v>10015.6397841905</v>
      </c>
      <c r="D8">
        <v>193.01644679767799</v>
      </c>
      <c r="E8">
        <v>5.1586097840693901</v>
      </c>
      <c r="J8">
        <v>487.499543495978</v>
      </c>
      <c r="K8">
        <f t="shared" si="0"/>
        <v>6216.7187565040222</v>
      </c>
      <c r="M8">
        <f t="shared" si="1"/>
        <v>60965.184993470168</v>
      </c>
      <c r="N8">
        <f t="shared" si="9"/>
        <v>0</v>
      </c>
      <c r="O8">
        <f t="shared" si="2"/>
        <v>0</v>
      </c>
      <c r="P8">
        <f t="shared" si="3"/>
        <v>60965.184993470168</v>
      </c>
      <c r="S8">
        <f t="shared" si="4"/>
        <v>0.90418901618067593</v>
      </c>
      <c r="T8">
        <f t="shared" si="5"/>
        <v>99.296238732893613</v>
      </c>
      <c r="U8">
        <f t="shared" si="6"/>
        <v>0.37991336132465564</v>
      </c>
      <c r="V8">
        <f t="shared" si="7"/>
        <v>0</v>
      </c>
      <c r="W8">
        <f t="shared" si="8"/>
        <v>-8.0759175984166497E-3</v>
      </c>
    </row>
    <row r="9" spans="1:23" x14ac:dyDescent="0.3">
      <c r="A9" t="s">
        <v>140</v>
      </c>
      <c r="C9">
        <v>12276.3149767134</v>
      </c>
      <c r="D9">
        <v>198.011541386994</v>
      </c>
      <c r="E9">
        <v>5.2720601838328296</v>
      </c>
      <c r="J9">
        <v>524.75043572306504</v>
      </c>
      <c r="K9">
        <f t="shared" si="0"/>
        <v>6179.4678642769359</v>
      </c>
      <c r="M9">
        <f t="shared" si="1"/>
        <v>60599.878531211412</v>
      </c>
      <c r="N9">
        <f t="shared" si="9"/>
        <v>0</v>
      </c>
      <c r="O9">
        <f t="shared" si="2"/>
        <v>0</v>
      </c>
      <c r="P9">
        <f t="shared" si="3"/>
        <v>60599.878531211412</v>
      </c>
      <c r="S9">
        <f t="shared" si="4"/>
        <v>0.84167544546475292</v>
      </c>
      <c r="T9">
        <f t="shared" si="5"/>
        <v>101.86593739361975</v>
      </c>
      <c r="U9">
        <f t="shared" si="6"/>
        <v>0.38547535671077471</v>
      </c>
      <c r="V9">
        <f t="shared" si="7"/>
        <v>0</v>
      </c>
      <c r="W9">
        <f t="shared" si="8"/>
        <v>-8.3141141250022664E-3</v>
      </c>
    </row>
    <row r="11" spans="1:23" x14ac:dyDescent="0.3">
      <c r="C11" s="14" t="s">
        <v>40</v>
      </c>
      <c r="D11">
        <v>36</v>
      </c>
    </row>
    <row r="12" spans="1:23" x14ac:dyDescent="0.3">
      <c r="C12" s="14" t="s">
        <v>41</v>
      </c>
      <c r="E12">
        <v>6704.2183000000005</v>
      </c>
    </row>
  </sheetData>
  <conditionalFormatting sqref="C4:I4">
    <cfRule type="expression" priority="1">
      <formula>LEN(TRIM(C4))=0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 Mulder - LR</dc:creator>
  <dc:description/>
  <cp:lastModifiedBy>Emilie Bessette</cp:lastModifiedBy>
  <cp:revision>6</cp:revision>
  <cp:lastPrinted>2013-02-27T10:55:04Z</cp:lastPrinted>
  <dcterms:created xsi:type="dcterms:W3CDTF">2013-02-25T15:54:42Z</dcterms:created>
  <dcterms:modified xsi:type="dcterms:W3CDTF">2019-03-19T15:25:35Z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