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 Saez\Desktop\Course 2018-2019\Q3\Flight Dynamics\SVV_FD_B23\"/>
    </mc:Choice>
  </mc:AlternateContent>
  <xr:revisionPtr revIDLastSave="0" documentId="13_ncr:1_{FFC9169E-7C29-4CDA-8FBB-0CAF8BA43032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Sheet1!$A$1:$AD$92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86" i="1" l="1"/>
  <c r="N86" i="1"/>
  <c r="M86" i="1"/>
  <c r="U80" i="1"/>
  <c r="T80" i="1"/>
  <c r="S80" i="1"/>
  <c r="Q15" i="1"/>
  <c r="R15" i="1"/>
  <c r="R81" i="1"/>
  <c r="Q81" i="1"/>
  <c r="K8" i="1"/>
  <c r="Q80" i="1"/>
  <c r="V29" i="1"/>
  <c r="V28" i="1"/>
  <c r="U28" i="1"/>
  <c r="Q86" i="1"/>
  <c r="O86" i="1"/>
  <c r="P86" i="1" l="1"/>
  <c r="Q66" i="1"/>
  <c r="N66" i="1"/>
  <c r="O66" i="1" s="1"/>
  <c r="P66" i="1" s="1"/>
  <c r="R66" i="1" l="1"/>
  <c r="S66" i="1" s="1"/>
  <c r="T66" i="1" s="1"/>
  <c r="U66" i="1" l="1"/>
  <c r="V66" i="1" s="1"/>
  <c r="S28" i="1" l="1"/>
  <c r="N61" i="1"/>
  <c r="O61" i="1" s="1"/>
  <c r="P61" i="1" s="1"/>
  <c r="Q61" i="1"/>
  <c r="R28" i="1"/>
  <c r="R61" i="1" l="1"/>
  <c r="S61" i="1" s="1"/>
  <c r="T61" i="1" s="1"/>
  <c r="P33" i="1"/>
  <c r="Q33" i="1" s="1"/>
  <c r="P28" i="1"/>
  <c r="Q28" i="1" s="1"/>
  <c r="O29" i="1"/>
  <c r="P29" i="1" s="1"/>
  <c r="Q29" i="1" s="1"/>
  <c r="O33" i="1"/>
  <c r="N29" i="1"/>
  <c r="N30" i="1"/>
  <c r="O30" i="1" s="1"/>
  <c r="P30" i="1" s="1"/>
  <c r="Q30" i="1" s="1"/>
  <c r="N31" i="1"/>
  <c r="O31" i="1" s="1"/>
  <c r="P31" i="1" s="1"/>
  <c r="Q31" i="1" s="1"/>
  <c r="N32" i="1"/>
  <c r="O32" i="1" s="1"/>
  <c r="P32" i="1" s="1"/>
  <c r="Q32" i="1" s="1"/>
  <c r="N33" i="1"/>
  <c r="N28" i="1"/>
  <c r="O28" i="1" s="1"/>
  <c r="V61" i="1" l="1"/>
  <c r="W61" i="1" s="1"/>
  <c r="U61" i="1"/>
  <c r="S31" i="1"/>
  <c r="S33" i="1"/>
  <c r="Q67" i="1"/>
  <c r="R67" i="1" s="1"/>
  <c r="S67" i="1" s="1"/>
  <c r="N67" i="1"/>
  <c r="Q60" i="1"/>
  <c r="R60" i="1" s="1"/>
  <c r="S60" i="1" s="1"/>
  <c r="Q62" i="1"/>
  <c r="R62" i="1" s="1"/>
  <c r="S62" i="1" s="1"/>
  <c r="Q63" i="1"/>
  <c r="R63" i="1" s="1"/>
  <c r="S63" i="1" s="1"/>
  <c r="T63" i="1" s="1"/>
  <c r="Q59" i="1"/>
  <c r="R59" i="1" s="1"/>
  <c r="S59" i="1" s="1"/>
  <c r="T59" i="1" s="1"/>
  <c r="P9" i="1"/>
  <c r="Q9" i="1" s="1"/>
  <c r="H18" i="1"/>
  <c r="Q10" i="1"/>
  <c r="H17" i="1"/>
  <c r="O10" i="1" s="1"/>
  <c r="J8" i="1"/>
  <c r="L8" i="1"/>
  <c r="J9" i="1"/>
  <c r="L9" i="1"/>
  <c r="J10" i="1"/>
  <c r="L10" i="1"/>
  <c r="J11" i="1"/>
  <c r="L11" i="1"/>
  <c r="J12" i="1"/>
  <c r="K12" i="1" s="1"/>
  <c r="L12" i="1"/>
  <c r="J13" i="1"/>
  <c r="L13" i="1"/>
  <c r="K13" i="1" s="1"/>
  <c r="J14" i="1"/>
  <c r="L14" i="1"/>
  <c r="J15" i="1"/>
  <c r="L15" i="1"/>
  <c r="J16" i="1"/>
  <c r="L16" i="1"/>
  <c r="J4" i="1"/>
  <c r="R29" i="1"/>
  <c r="S29" i="1" s="1"/>
  <c r="R30" i="1"/>
  <c r="S30" i="1" s="1"/>
  <c r="R31" i="1"/>
  <c r="R32" i="1"/>
  <c r="S32" i="1" s="1"/>
  <c r="R33" i="1"/>
  <c r="O80" i="1"/>
  <c r="P80" i="1" s="1"/>
  <c r="N80" i="1"/>
  <c r="M80" i="1" s="1"/>
  <c r="O81" i="1"/>
  <c r="P81" i="1" s="1"/>
  <c r="N81" i="1"/>
  <c r="M81" i="1" s="1"/>
  <c r="N75" i="1"/>
  <c r="N76" i="1"/>
  <c r="O12" i="1"/>
  <c r="N63" i="1"/>
  <c r="N62" i="1"/>
  <c r="N59" i="1"/>
  <c r="N60" i="1"/>
  <c r="P18" i="1"/>
  <c r="U33" i="1"/>
  <c r="V33" i="1" s="1"/>
  <c r="AA33" i="1" s="1"/>
  <c r="K33" i="1"/>
  <c r="U32" i="1"/>
  <c r="V32" i="1" s="1"/>
  <c r="K32" i="1"/>
  <c r="U31" i="1"/>
  <c r="V31" i="1" s="1"/>
  <c r="AA31" i="1" s="1"/>
  <c r="K31" i="1"/>
  <c r="U30" i="1"/>
  <c r="V30" i="1" s="1"/>
  <c r="K30" i="1"/>
  <c r="U29" i="1"/>
  <c r="K29" i="1"/>
  <c r="K28" i="1"/>
  <c r="K11" i="1" l="1"/>
  <c r="K14" i="1"/>
  <c r="K10" i="1"/>
  <c r="H20" i="1"/>
  <c r="L29" i="1" s="1"/>
  <c r="M29" i="1" s="1"/>
  <c r="AA32" i="1"/>
  <c r="AA29" i="1"/>
  <c r="O11" i="1"/>
  <c r="AA30" i="1"/>
  <c r="P13" i="1"/>
  <c r="K15" i="1"/>
  <c r="O13" i="1"/>
  <c r="O19" i="1" s="1"/>
  <c r="K16" i="1"/>
  <c r="K9" i="1"/>
  <c r="L4" i="1" s="1"/>
  <c r="O9" i="1"/>
  <c r="L19" i="1"/>
  <c r="K4" i="1"/>
  <c r="U67" i="1"/>
  <c r="O87" i="1" s="1"/>
  <c r="T67" i="1"/>
  <c r="V67" i="1" s="1"/>
  <c r="P87" i="1" s="1"/>
  <c r="U62" i="1"/>
  <c r="T62" i="1"/>
  <c r="V62" i="1" s="1"/>
  <c r="W62" i="1" s="1"/>
  <c r="Q76" i="1"/>
  <c r="R76" i="1" s="1"/>
  <c r="S76" i="1" s="1"/>
  <c r="T76" i="1" s="1"/>
  <c r="T60" i="1"/>
  <c r="U60" i="1"/>
  <c r="U59" i="1"/>
  <c r="V59" i="1" s="1"/>
  <c r="L30" i="1"/>
  <c r="M30" i="1" s="1"/>
  <c r="W30" i="1" s="1"/>
  <c r="Z30" i="1" s="1"/>
  <c r="AB30" i="1" s="1"/>
  <c r="O67" i="1"/>
  <c r="P67" i="1" s="1"/>
  <c r="L28" i="1"/>
  <c r="M28" i="1" s="1"/>
  <c r="T28" i="1" s="1"/>
  <c r="O75" i="1"/>
  <c r="P75" i="1" s="1"/>
  <c r="O62" i="1"/>
  <c r="P62" i="1" s="1"/>
  <c r="Q75" i="1"/>
  <c r="R75" i="1" s="1"/>
  <c r="S75" i="1" s="1"/>
  <c r="T75" i="1" s="1"/>
  <c r="R9" i="1"/>
  <c r="S9" i="1" s="1"/>
  <c r="T9" i="1" s="1"/>
  <c r="U9" i="1" s="1"/>
  <c r="R10" i="1"/>
  <c r="S10" i="1" s="1"/>
  <c r="T10" i="1" s="1"/>
  <c r="U10" i="1" s="1"/>
  <c r="U63" i="1"/>
  <c r="V63" i="1" s="1"/>
  <c r="AA28" i="1"/>
  <c r="M87" i="1" l="1"/>
  <c r="W29" i="1"/>
  <c r="Z29" i="1" s="1"/>
  <c r="AB29" i="1" s="1"/>
  <c r="T29" i="1"/>
  <c r="W28" i="1"/>
  <c r="Z28" i="1" s="1"/>
  <c r="AB28" i="1" s="1"/>
  <c r="T30" i="1"/>
  <c r="O76" i="1"/>
  <c r="P76" i="1" s="1"/>
  <c r="O60" i="1"/>
  <c r="P60" i="1" s="1"/>
  <c r="O59" i="1"/>
  <c r="P59" i="1" s="1"/>
  <c r="W59" i="1" s="1"/>
  <c r="O63" i="1"/>
  <c r="P63" i="1" s="1"/>
  <c r="L31" i="1"/>
  <c r="M31" i="1" s="1"/>
  <c r="L32" i="1"/>
  <c r="M32" i="1" s="1"/>
  <c r="K19" i="1"/>
  <c r="Q11" i="1" s="1"/>
  <c r="Q13" i="1" s="1"/>
  <c r="R13" i="1" s="1"/>
  <c r="S13" i="1" s="1"/>
  <c r="T13" i="1" s="1"/>
  <c r="U13" i="1" s="1"/>
  <c r="L33" i="1"/>
  <c r="M33" i="1" s="1"/>
  <c r="V60" i="1"/>
  <c r="W60" i="1" s="1"/>
  <c r="Q16" i="1"/>
  <c r="R16" i="1" s="1"/>
  <c r="S16" i="1" s="1"/>
  <c r="T16" i="1" s="1"/>
  <c r="U16" i="1" s="1"/>
  <c r="N87" i="1" l="1"/>
  <c r="W63" i="1"/>
  <c r="Q12" i="1"/>
  <c r="R86" i="1" s="1"/>
  <c r="S86" i="1" s="1"/>
  <c r="T86" i="1" s="1"/>
  <c r="R12" i="1"/>
  <c r="S12" i="1" s="1"/>
  <c r="T12" i="1" s="1"/>
  <c r="U12" i="1" s="1"/>
  <c r="R11" i="1"/>
  <c r="S11" i="1" s="1"/>
  <c r="T11" i="1" s="1"/>
  <c r="U11" i="1" s="1"/>
  <c r="W33" i="1"/>
  <c r="Z33" i="1" s="1"/>
  <c r="AB33" i="1" s="1"/>
  <c r="T33" i="1"/>
  <c r="W32" i="1"/>
  <c r="Z32" i="1" s="1"/>
  <c r="AB32" i="1" s="1"/>
  <c r="T32" i="1"/>
  <c r="Q87" i="1"/>
  <c r="R87" i="1" s="1"/>
  <c r="S87" i="1" s="1"/>
  <c r="T87" i="1" s="1"/>
  <c r="W31" i="1"/>
  <c r="Z31" i="1" s="1"/>
  <c r="AB31" i="1" s="1"/>
  <c r="T31" i="1"/>
  <c r="Q17" i="1"/>
  <c r="R17" i="1" s="1"/>
  <c r="S17" i="1" s="1"/>
  <c r="T17" i="1" s="1"/>
  <c r="U17" i="1" s="1"/>
  <c r="S81" i="1"/>
  <c r="T81" i="1" s="1"/>
  <c r="U81" i="1" s="1"/>
  <c r="S15" i="1"/>
  <c r="T15" i="1" s="1"/>
  <c r="U15" i="1" s="1"/>
  <c r="N88" i="1" l="1"/>
  <c r="V86" i="1" s="1"/>
  <c r="R80" i="1"/>
</calcChain>
</file>

<file path=xl/sharedStrings.xml><?xml version="1.0" encoding="utf-8"?>
<sst xmlns="http://schemas.openxmlformats.org/spreadsheetml/2006/main" count="232" uniqueCount="138">
  <si>
    <t>Post-Flight Data Sheet AE3202</t>
  </si>
  <si>
    <t>date of flight:</t>
  </si>
  <si>
    <t>T/O time:</t>
  </si>
  <si>
    <t>flight number:</t>
  </si>
  <si>
    <t>LND time:</t>
  </si>
  <si>
    <t>Moved fat</t>
  </si>
  <si>
    <t>Weights</t>
  </si>
  <si>
    <t>name</t>
  </si>
  <si>
    <t>mass [kg]</t>
  </si>
  <si>
    <t>X_cg datum [inch]</t>
  </si>
  <si>
    <t>X_cg datum [m]</t>
  </si>
  <si>
    <t>Moment [Nm]</t>
  </si>
  <si>
    <t>Weight [N]</t>
  </si>
  <si>
    <t>Moments</t>
  </si>
  <si>
    <t>(inch pound)</t>
  </si>
  <si>
    <t>(Nm)</t>
  </si>
  <si>
    <t>X_cg [inch]</t>
  </si>
  <si>
    <t>X_cg wrt to MAC [inch]</t>
  </si>
  <si>
    <t>X-cg MAC [m]</t>
  </si>
  <si>
    <t>pilot 1:</t>
  </si>
  <si>
    <t>pilot 2:</t>
  </si>
  <si>
    <t xml:space="preserve">Fuel </t>
  </si>
  <si>
    <t>co-ordinator:</t>
  </si>
  <si>
    <t>BEM</t>
  </si>
  <si>
    <t>observer 1L:</t>
  </si>
  <si>
    <t>ZFM</t>
  </si>
  <si>
    <t>observer 1R:</t>
  </si>
  <si>
    <t>Payload</t>
  </si>
  <si>
    <t>observer 2L:</t>
  </si>
  <si>
    <t>Ramp mass</t>
  </si>
  <si>
    <t>observer 2R:</t>
  </si>
  <si>
    <t>observer 3L:</t>
  </si>
  <si>
    <t>Payload fat boi</t>
  </si>
  <si>
    <t>observer 3R:</t>
  </si>
  <si>
    <t>OEW[lbs]</t>
  </si>
  <si>
    <t>OEW[kg]</t>
  </si>
  <si>
    <t>block fuel [lbs]:</t>
  </si>
  <si>
    <t>blockfuel[kg]</t>
  </si>
  <si>
    <t>TOTAL</t>
  </si>
  <si>
    <t>Zero fuel mass</t>
  </si>
  <si>
    <t>S+Sh</t>
  </si>
  <si>
    <t>Total mass[kg]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</si>
  <si>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</si>
  <si>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</si>
  <si>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</si>
  <si>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</si>
  <si>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</si>
  <si>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</si>
  <si>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</si>
  <si>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</si>
  <si>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</si>
  <si>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</si>
  <si>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</si>
  <si>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</si>
  <si>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</si>
  <si>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F.used</t>
  </si>
  <si>
    <t>Current mass</t>
  </si>
  <si>
    <t>Current weight</t>
  </si>
  <si>
    <t>Thrust</t>
  </si>
  <si>
    <t>Drag</t>
  </si>
  <si>
    <t>Lift</t>
  </si>
  <si>
    <t>Thrust L</t>
  </si>
  <si>
    <t>Thrust R</t>
  </si>
  <si>
    <t>rho</t>
  </si>
  <si>
    <t>V</t>
  </si>
  <si>
    <t>C_L</t>
  </si>
  <si>
    <t>C_D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</si>
  <si>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</si>
  <si>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</si>
  <si>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</si>
  <si>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</si>
  <si>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</si>
  <si>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</si>
  <si>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</si>
  <si>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</si>
  <si>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[kg]</t>
  </si>
  <si>
    <t>[N]</t>
  </si>
  <si>
    <t>[kg/m^3]</t>
  </si>
  <si>
    <t>[m/s]</t>
  </si>
  <si>
    <t>[-]</t>
  </si>
  <si>
    <t>* ET = Elapsed Time</t>
  </si>
  <si>
    <t>[hh:mm]</t>
  </si>
  <si>
    <t>Stationary measurements Elevator Trim Curve</t>
  </si>
  <si>
    <t>de</t>
  </si>
  <si>
    <t>detr</t>
  </si>
  <si>
    <t>Fe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</si>
  <si>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</si>
  <si>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</si>
  <si>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</si>
  <si>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</si>
  <si>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</si>
  <si>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</si>
  <si>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</si>
  <si>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</si>
  <si>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</si>
  <si>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</si>
  <si>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</si>
  <si>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</si>
  <si>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Ramp mass fat</t>
  </si>
  <si>
    <t>Weight [kg]</t>
  </si>
  <si>
    <t>Total fat boi</t>
  </si>
  <si>
    <t>Zero fuel fat boi</t>
  </si>
  <si>
    <t>FAT BOI</t>
  </si>
  <si>
    <t>53.25</t>
  </si>
  <si>
    <t>56.14</t>
  </si>
  <si>
    <t>51.13</t>
  </si>
  <si>
    <t>52.03</t>
  </si>
  <si>
    <t>57.07</t>
  </si>
  <si>
    <t>1.01.10</t>
  </si>
  <si>
    <t>C_m_d</t>
  </si>
  <si>
    <t>C_N</t>
  </si>
  <si>
    <t>Remaining Fuel</t>
  </si>
  <si>
    <t>Moment by fuel</t>
  </si>
  <si>
    <t>[inch-pound]</t>
  </si>
  <si>
    <t>Nm</t>
  </si>
  <si>
    <t>x_cg fuel</t>
  </si>
  <si>
    <t xml:space="preserve">Remaining Fuel </t>
  </si>
  <si>
    <t>[kgs]</t>
  </si>
  <si>
    <t>Moment by payload</t>
  </si>
  <si>
    <t>x_cg payload</t>
  </si>
  <si>
    <t>[m]</t>
  </si>
  <si>
    <t>[Nm]</t>
  </si>
  <si>
    <t>X_cg total</t>
  </si>
  <si>
    <t>X_cg fuel [inch]</t>
  </si>
  <si>
    <t>X_cg payload [inch]</t>
  </si>
  <si>
    <t>X-cg fuel MAC [m]</t>
  </si>
  <si>
    <t>X-cg pay MAC [m]</t>
  </si>
  <si>
    <t>X_cg [inch] total</t>
  </si>
  <si>
    <t xml:space="preserve">diff = </t>
  </si>
  <si>
    <t>Pressure</t>
  </si>
  <si>
    <t>Mach</t>
  </si>
  <si>
    <t>Temp</t>
  </si>
  <si>
    <t>Ve</t>
  </si>
  <si>
    <t>Rho</t>
  </si>
  <si>
    <t>Ve-eq</t>
  </si>
  <si>
    <t>delta_eq</t>
  </si>
  <si>
    <t>C_L^2</t>
  </si>
  <si>
    <t>Cm_alpha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</si>
</sst>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21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3"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  <dxf>
      <font>
        <color rgb="FF000000"/>
        <name val="Calibri"/>
        <family val="2"/>
        <charset val="1"/>
      </font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C_L vs C_D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Sheet1!$Z$28:$Z$33</c:f>
              <c:numCache>
                <c:formatCode>General</c:formatCode>
                <c:ptCount val="6"/>
                <c:pt idx="0">
                  <c:v>0.26735149138650505</c:v>
                </c:pt>
                <c:pt idx="1">
                  <c:v>0.32384827818784895</c:v>
                </c:pt>
                <c:pt idx="2">
                  <c:v>0.3985657310425807</c:v>
                </c:pt>
                <c:pt idx="3">
                  <c:v>0.61128612654707926</c:v>
                </c:pt>
                <c:pt idx="4">
                  <c:v>0.78576879521676424</c:v>
                </c:pt>
                <c:pt idx="5">
                  <c:v>1.0639116277698055</c:v>
                </c:pt>
              </c:numCache>
            </c:numRef>
          </c:xVal>
          <c:yVal>
            <c:numRef>
              <c:f>Sheet1!$AA$28:$AA$33</c:f>
              <c:numCache>
                <c:formatCode>General</c:formatCode>
                <c:ptCount val="6"/>
                <c:pt idx="0">
                  <c:v>3.2546821328027102E-2</c:v>
                </c:pt>
                <c:pt idx="1">
                  <c:v>3.2927020351463041E-2</c:v>
                </c:pt>
                <c:pt idx="2">
                  <c:v>3.4514182351503629E-2</c:v>
                </c:pt>
                <c:pt idx="3">
                  <c:v>4.170023731539798E-2</c:v>
                </c:pt>
                <c:pt idx="4">
                  <c:v>5.6743791484765528E-2</c:v>
                </c:pt>
                <c:pt idx="5">
                  <c:v>6.6081969433075705E-2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6B-4264-8F19-1203A8342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6892"/>
        <c:axId val="20133356"/>
      </c:scatterChart>
      <c:valAx>
        <c:axId val="541868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C_L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0133356"/>
        <c:crosses val="autoZero"/>
        <c:crossBetween val="midCat"/>
      </c:valAx>
      <c:valAx>
        <c:axId val="201333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C_D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41868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CL-alpha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1"/>
            <c:trendlineLbl>
              <c:layout>
                <c:manualLayout>
                  <c:x val="-6.1065549694974873E-2"/>
                  <c:y val="-3.7964984780366084E-2"/>
                </c:manualLayout>
              </c:layout>
              <c:numFmt formatCode="General" sourceLinked="0"/>
            </c:trendlineLbl>
          </c:trendline>
          <c:xVal>
            <c:numRef>
              <c:f>Sheet1!$F$28:$F$33</c:f>
              <c:numCache>
                <c:formatCode>General</c:formatCode>
                <c:ptCount val="6"/>
                <c:pt idx="0">
                  <c:v>1.6</c:v>
                </c:pt>
                <c:pt idx="1">
                  <c:v>2.2999999999999998</c:v>
                </c:pt>
                <c:pt idx="2">
                  <c:v>3.2</c:v>
                </c:pt>
                <c:pt idx="3">
                  <c:v>5.8</c:v>
                </c:pt>
                <c:pt idx="4">
                  <c:v>7.5</c:v>
                </c:pt>
                <c:pt idx="5">
                  <c:v>10.8</c:v>
                </c:pt>
              </c:numCache>
            </c:numRef>
          </c:xVal>
          <c:yVal>
            <c:numRef>
              <c:f>Sheet1!$Z$28:$Z$33</c:f>
              <c:numCache>
                <c:formatCode>General</c:formatCode>
                <c:ptCount val="6"/>
                <c:pt idx="0">
                  <c:v>0.26735149138650505</c:v>
                </c:pt>
                <c:pt idx="1">
                  <c:v>0.32384827818784895</c:v>
                </c:pt>
                <c:pt idx="2">
                  <c:v>0.3985657310425807</c:v>
                </c:pt>
                <c:pt idx="3">
                  <c:v>0.61128612654707926</c:v>
                </c:pt>
                <c:pt idx="4">
                  <c:v>0.78576879521676424</c:v>
                </c:pt>
                <c:pt idx="5">
                  <c:v>1.0639116277698055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7A-4100-A289-4B9C48C12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85396"/>
        <c:axId val="7171523"/>
      </c:scatterChart>
      <c:valAx>
        <c:axId val="7438539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alpha [deg]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171523"/>
        <c:crosses val="autoZero"/>
        <c:crossBetween val="midCat"/>
      </c:valAx>
      <c:valAx>
        <c:axId val="71715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CL [ - 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43853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C_D-Alpha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Sheet1!$F$28:$F$33</c:f>
              <c:numCache>
                <c:formatCode>General</c:formatCode>
                <c:ptCount val="6"/>
                <c:pt idx="0">
                  <c:v>1.6</c:v>
                </c:pt>
                <c:pt idx="1">
                  <c:v>2.2999999999999998</c:v>
                </c:pt>
                <c:pt idx="2">
                  <c:v>3.2</c:v>
                </c:pt>
                <c:pt idx="3">
                  <c:v>5.8</c:v>
                </c:pt>
                <c:pt idx="4">
                  <c:v>7.5</c:v>
                </c:pt>
                <c:pt idx="5">
                  <c:v>10.8</c:v>
                </c:pt>
              </c:numCache>
            </c:numRef>
          </c:xVal>
          <c:yVal>
            <c:numRef>
              <c:f>Sheet1!$AA$28:$AA$33</c:f>
              <c:numCache>
                <c:formatCode>General</c:formatCode>
                <c:ptCount val="6"/>
                <c:pt idx="0">
                  <c:v>3.2546821328027102E-2</c:v>
                </c:pt>
                <c:pt idx="1">
                  <c:v>3.2927020351463041E-2</c:v>
                </c:pt>
                <c:pt idx="2">
                  <c:v>3.4514182351503629E-2</c:v>
                </c:pt>
                <c:pt idx="3">
                  <c:v>4.170023731539798E-2</c:v>
                </c:pt>
                <c:pt idx="4">
                  <c:v>5.6743791484765528E-2</c:v>
                </c:pt>
                <c:pt idx="5">
                  <c:v>6.6081969433075705E-2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0B-462F-A941-2DFB87A50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509"/>
        <c:axId val="80103906"/>
      </c:scatterChart>
      <c:valAx>
        <c:axId val="55105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Alpha [deg]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103906"/>
        <c:crosses val="autoZero"/>
        <c:crossBetween val="midCat"/>
      </c:valAx>
      <c:valAx>
        <c:axId val="801039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C_D [-]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5105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CL^2-CD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Sheet1!$AB$28:$AB$33</c:f>
              <c:numCache>
                <c:formatCode>General</c:formatCode>
                <c:ptCount val="6"/>
                <c:pt idx="0">
                  <c:v>7.1476819946588485E-2</c:v>
                </c:pt>
                <c:pt idx="1">
                  <c:v>0.10487770728523441</c:v>
                </c:pt>
                <c:pt idx="2">
                  <c:v>0.15885464196150678</c:v>
                </c:pt>
                <c:pt idx="3">
                  <c:v>0.37367072850893179</c:v>
                </c:pt>
                <c:pt idx="4">
                  <c:v>0.61743259953640517</c:v>
                </c:pt>
                <c:pt idx="5">
                  <c:v>1.1319079517037973</c:v>
                </c:pt>
              </c:numCache>
            </c:numRef>
          </c:xVal>
          <c:yVal>
            <c:numRef>
              <c:f>Sheet1!$AA$28:$AA$33</c:f>
              <c:numCache>
                <c:formatCode>General</c:formatCode>
                <c:ptCount val="6"/>
                <c:pt idx="0">
                  <c:v>3.2546821328027102E-2</c:v>
                </c:pt>
                <c:pt idx="1">
                  <c:v>3.2927020351463041E-2</c:v>
                </c:pt>
                <c:pt idx="2">
                  <c:v>3.4514182351503629E-2</c:v>
                </c:pt>
                <c:pt idx="3">
                  <c:v>4.170023731539798E-2</c:v>
                </c:pt>
                <c:pt idx="4">
                  <c:v>5.6743791484765528E-2</c:v>
                </c:pt>
                <c:pt idx="5">
                  <c:v>6.6081969433075705E-2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36-41B8-8168-FA124293A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832864"/>
        <c:axId val="542895848"/>
      </c:scatterChart>
      <c:valAx>
        <c:axId val="60983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95848"/>
        <c:crosses val="autoZero"/>
        <c:crossBetween val="midCat"/>
      </c:valAx>
      <c:valAx>
        <c:axId val="54289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3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delta_e/alpha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Sheet1!$F$59:$F$63</c:f>
              <c:numCache>
                <c:formatCode>General</c:formatCode>
                <c:ptCount val="5"/>
                <c:pt idx="0">
                  <c:v>7.5</c:v>
                </c:pt>
                <c:pt idx="1">
                  <c:v>6.35</c:v>
                </c:pt>
                <c:pt idx="2">
                  <c:v>5.5</c:v>
                </c:pt>
                <c:pt idx="3">
                  <c:v>4.5999999999999996</c:v>
                </c:pt>
                <c:pt idx="4">
                  <c:v>4</c:v>
                </c:pt>
              </c:numCache>
            </c:numRef>
          </c:xVal>
          <c:yVal>
            <c:numRef>
              <c:f>Sheet1!$G$59:$G$63</c:f>
              <c:numCache>
                <c:formatCode>General</c:formatCode>
                <c:ptCount val="5"/>
                <c:pt idx="0">
                  <c:v>-1.1000000000000001</c:v>
                </c:pt>
                <c:pt idx="1">
                  <c:v>-0.5</c:v>
                </c:pt>
                <c:pt idx="2">
                  <c:v>-0.1</c:v>
                </c:pt>
                <c:pt idx="3">
                  <c:v>0.3</c:v>
                </c:pt>
                <c:pt idx="4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02-40D0-9917-5953B389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42144"/>
        <c:axId val="551142472"/>
      </c:scatterChart>
      <c:valAx>
        <c:axId val="55114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42472"/>
        <c:crosses val="autoZero"/>
        <c:crossBetween val="midCat"/>
      </c:valAx>
      <c:valAx>
        <c:axId val="5511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4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963453</xdr:colOff>
      <xdr:row>36</xdr:row>
      <xdr:rowOff>105616</xdr:rowOff>
    </xdr:from>
    <xdr:to>
      <xdr:col>18</xdr:col>
      <xdr:colOff>221004</xdr:colOff>
      <xdr:row>50</xdr:row>
      <xdr:rowOff>64705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164224</xdr:colOff>
      <xdr:row>35</xdr:row>
      <xdr:rowOff>71815</xdr:rowOff>
    </xdr:from>
    <xdr:to>
      <xdr:col>7</xdr:col>
      <xdr:colOff>391080</xdr:colOff>
      <xdr:row>49</xdr:row>
      <xdr:rowOff>145264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409606</xdr:colOff>
      <xdr:row>35</xdr:row>
      <xdr:rowOff>153361</xdr:rowOff>
    </xdr:from>
    <xdr:to>
      <xdr:col>12</xdr:col>
      <xdr:colOff>935830</xdr:colOff>
      <xdr:row>52</xdr:row>
      <xdr:rowOff>155881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386080</xdr:colOff>
      <xdr:row>34</xdr:row>
      <xdr:rowOff>137160</xdr:rowOff>
    </xdr:from>
    <xdr:to>
      <xdr:col>25</xdr:col>
      <xdr:colOff>274320</xdr:colOff>
      <xdr:row>49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954988-D46E-47D4-AB4A-FE2EF2666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142240</xdr:colOff>
      <xdr:row>67</xdr:row>
      <xdr:rowOff>5080</xdr:rowOff>
    </xdr:from>
    <xdr:to>
      <xdr:col>29</xdr:col>
      <xdr:colOff>447040</xdr:colOff>
      <xdr:row>82</xdr:row>
      <xdr:rowOff>5080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F0FF3F9-B252-4788-81BA-B5FC66B0D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view="pageBreakPreview" topLeftCell="I52" zoomScale="75" zoomScaleNormal="100" zoomScaleSheetLayoutView="36" workbookViewId="0">
      <selection activeCell="U87" sqref="U87"/>
    </sheetView>
  </sheetViews>
  <sheetFormatPr baseColWidth="10" defaultColWidth="8.88671875" defaultRowHeight="14.4" x14ac:dyDescent="0.3"/>
  <cols>
    <col min="1" max="7" width="8.88671875" customWidth="1"/>
    <col min="8" max="8" width="11.44140625" bestFit="1" customWidth="1"/>
    <col min="9" max="9" width="15.5546875" customWidth="1"/>
    <col min="10" max="10" width="15.21875" customWidth="1"/>
    <col min="11" max="11" width="12.6640625" customWidth="1"/>
    <col min="12" max="12" width="13.21875" bestFit="1" customWidth="1"/>
    <col min="13" max="13" width="16.21875" bestFit="1" customWidth="1"/>
    <col min="14" max="14" width="16.109375" bestFit="1" customWidth="1"/>
    <col min="15" max="15" width="13.44140625" customWidth="1"/>
    <col min="16" max="16" width="14.6640625" bestFit="1" customWidth="1"/>
    <col min="17" max="17" width="12.5546875" bestFit="1" customWidth="1"/>
    <col min="18" max="18" width="15.21875" bestFit="1" customWidth="1"/>
    <col min="19" max="19" width="15.33203125" customWidth="1"/>
    <col min="20" max="20" width="20" customWidth="1"/>
    <col min="21" max="21" width="12.77734375" customWidth="1"/>
    <col min="22" max="1026" width="8.88671875" customWidth="1"/>
  </cols>
  <sheetData>
    <row r="1" spans="1:21" x14ac:dyDescent="0.3">
      <c r="A1" s="1" t="s">
        <v>0</v>
      </c>
    </row>
    <row r="3" spans="1:21" x14ac:dyDescent="0.3">
      <c r="A3" t="s">
        <v>1</v>
      </c>
      <c r="D3" s="2">
        <v>43171</v>
      </c>
      <c r="F3" t="s">
        <v>2</v>
      </c>
      <c r="H3" s="3"/>
      <c r="L3" t="s">
        <v>100</v>
      </c>
    </row>
    <row r="4" spans="1:21" x14ac:dyDescent="0.3">
      <c r="A4" t="s">
        <v>3</v>
      </c>
      <c r="D4" s="3">
        <v>1</v>
      </c>
      <c r="F4" t="s">
        <v>4</v>
      </c>
      <c r="H4" s="3" t="s">
        <v>5</v>
      </c>
      <c r="I4">
        <v>134</v>
      </c>
      <c r="J4">
        <f>I4*2.54/100</f>
        <v>3.4036</v>
      </c>
      <c r="K4">
        <f>L16*J4</f>
        <v>2970.6343406599999</v>
      </c>
      <c r="L4">
        <f>SUM(K8:K15) + K4</f>
        <v>34033.765040030004</v>
      </c>
    </row>
    <row r="6" spans="1:21" x14ac:dyDescent="0.3">
      <c r="A6" s="1" t="s">
        <v>6</v>
      </c>
      <c r="B6" s="1"/>
    </row>
    <row r="7" spans="1:21" x14ac:dyDescent="0.3">
      <c r="D7" t="s">
        <v>7</v>
      </c>
      <c r="H7" t="s">
        <v>8</v>
      </c>
      <c r="I7" s="4" t="s">
        <v>9</v>
      </c>
      <c r="J7" t="s">
        <v>10</v>
      </c>
      <c r="K7" t="s">
        <v>11</v>
      </c>
      <c r="L7" t="s">
        <v>12</v>
      </c>
      <c r="N7" t="s">
        <v>13</v>
      </c>
      <c r="O7" t="s">
        <v>99</v>
      </c>
      <c r="P7" t="s">
        <v>14</v>
      </c>
      <c r="Q7" t="s">
        <v>15</v>
      </c>
      <c r="R7" t="s">
        <v>10</v>
      </c>
      <c r="S7" t="s">
        <v>16</v>
      </c>
      <c r="T7" t="s">
        <v>17</v>
      </c>
      <c r="U7" t="s">
        <v>18</v>
      </c>
    </row>
    <row r="8" spans="1:21" x14ac:dyDescent="0.3">
      <c r="A8" t="s">
        <v>19</v>
      </c>
      <c r="D8" s="3"/>
      <c r="H8" s="3">
        <v>92</v>
      </c>
      <c r="I8">
        <v>131</v>
      </c>
      <c r="J8">
        <f t="shared" ref="J8:J16" si="0">I8*2.54/100</f>
        <v>3.3273999999999999</v>
      </c>
      <c r="K8">
        <f>J8*L8</f>
        <v>3002.0195433199997</v>
      </c>
      <c r="L8">
        <f t="shared" ref="L8:L16" si="1">H8*9.80665</f>
        <v>902.21179999999993</v>
      </c>
    </row>
    <row r="9" spans="1:21" x14ac:dyDescent="0.3">
      <c r="A9" t="s">
        <v>20</v>
      </c>
      <c r="D9" s="3"/>
      <c r="H9" s="3">
        <v>89</v>
      </c>
      <c r="I9">
        <v>131</v>
      </c>
      <c r="J9">
        <f t="shared" si="0"/>
        <v>3.3273999999999999</v>
      </c>
      <c r="K9">
        <f t="shared" ref="K8:K16" si="2">J9*L9</f>
        <v>2904.1276016899997</v>
      </c>
      <c r="L9">
        <f t="shared" si="1"/>
        <v>872.79184999999995</v>
      </c>
      <c r="N9" t="s">
        <v>21</v>
      </c>
      <c r="O9">
        <f>H18</f>
        <v>1837.0475999999999</v>
      </c>
      <c r="P9">
        <f>(11418.2+11705.5)*100/2</f>
        <v>1156185</v>
      </c>
      <c r="Q9">
        <f>P9*0.113</f>
        <v>130648.905</v>
      </c>
      <c r="R9">
        <f>Q9/(H18*9.80665)</f>
        <v>7.2521151132019188</v>
      </c>
      <c r="S9">
        <f>R9*100/2.54</f>
        <v>285.51634303944564</v>
      </c>
      <c r="T9">
        <f>S9-261.45</f>
        <v>24.066343039445655</v>
      </c>
      <c r="U9">
        <f>T9*2.54/100</f>
        <v>0.61128511320191969</v>
      </c>
    </row>
    <row r="10" spans="1:21" x14ac:dyDescent="0.3">
      <c r="A10" t="s">
        <v>22</v>
      </c>
      <c r="D10" s="3"/>
      <c r="H10" s="3">
        <v>70</v>
      </c>
      <c r="I10">
        <v>170</v>
      </c>
      <c r="J10">
        <f t="shared" si="0"/>
        <v>4.3180000000000005</v>
      </c>
      <c r="K10">
        <f t="shared" si="2"/>
        <v>2964.1580289999997</v>
      </c>
      <c r="L10">
        <f t="shared" si="1"/>
        <v>686.46549999999991</v>
      </c>
      <c r="N10" t="s">
        <v>23</v>
      </c>
      <c r="O10">
        <f>H17</f>
        <v>4157.1706800000002</v>
      </c>
      <c r="P10">
        <v>2677847.5</v>
      </c>
      <c r="Q10">
        <f>P10*0.113</f>
        <v>302596.76750000002</v>
      </c>
      <c r="R10">
        <f>Q10/(H17*9.80665)</f>
        <v>7.4224238927438657</v>
      </c>
      <c r="S10">
        <f>R10*100/2.54</f>
        <v>292.22141310015218</v>
      </c>
      <c r="T10">
        <f>S10-261.45</f>
        <v>30.771413100152188</v>
      </c>
      <c r="U10">
        <f>T10*2.54/100</f>
        <v>0.78159389274386559</v>
      </c>
    </row>
    <row r="11" spans="1:21" x14ac:dyDescent="0.3">
      <c r="A11" t="s">
        <v>24</v>
      </c>
      <c r="D11" s="3"/>
      <c r="H11" s="3">
        <v>76</v>
      </c>
      <c r="I11">
        <v>214</v>
      </c>
      <c r="J11">
        <f t="shared" si="0"/>
        <v>5.4356000000000009</v>
      </c>
      <c r="K11">
        <f t="shared" si="2"/>
        <v>4051.1820322400004</v>
      </c>
      <c r="L11">
        <f t="shared" si="1"/>
        <v>745.30539999999996</v>
      </c>
      <c r="N11" t="s">
        <v>25</v>
      </c>
      <c r="O11">
        <f>O12+O10</f>
        <v>4867.1706800000002</v>
      </c>
      <c r="Q11">
        <f>Q10+K19</f>
        <v>340044.54514048999</v>
      </c>
      <c r="R11">
        <f>Q11/(H17*9.80665 + L19)</f>
        <v>7.124240315617258</v>
      </c>
      <c r="S11">
        <f>R11*100/2.54</f>
        <v>280.48190218965578</v>
      </c>
      <c r="T11">
        <f>S11-261.45</f>
        <v>19.031902189655796</v>
      </c>
      <c r="U11">
        <f>T11*2.54/100</f>
        <v>0.48341031561725722</v>
      </c>
    </row>
    <row r="12" spans="1:21" x14ac:dyDescent="0.3">
      <c r="A12" t="s">
        <v>26</v>
      </c>
      <c r="D12" s="3"/>
      <c r="H12" s="3">
        <v>88</v>
      </c>
      <c r="I12">
        <v>214</v>
      </c>
      <c r="J12">
        <f t="shared" si="0"/>
        <v>5.4356000000000009</v>
      </c>
      <c r="K12">
        <f t="shared" si="2"/>
        <v>4690.8423531200006</v>
      </c>
      <c r="L12">
        <f t="shared" si="1"/>
        <v>862.98519999999996</v>
      </c>
      <c r="N12" t="s">
        <v>27</v>
      </c>
      <c r="O12">
        <f>SUM(H8:H16)</f>
        <v>710</v>
      </c>
      <c r="Q12">
        <f>K19</f>
        <v>37447.77764049</v>
      </c>
      <c r="R12">
        <f>K19/L19</f>
        <v>5.3783247887323942</v>
      </c>
      <c r="S12">
        <f>R12*100/2.54</f>
        <v>211.74507042253521</v>
      </c>
      <c r="T12">
        <f>S12-261.45</f>
        <v>-49.704929577464782</v>
      </c>
      <c r="U12">
        <f>T12*2.54/100</f>
        <v>-1.2625052112676054</v>
      </c>
    </row>
    <row r="13" spans="1:21" x14ac:dyDescent="0.3">
      <c r="A13" t="s">
        <v>28</v>
      </c>
      <c r="D13" s="3"/>
      <c r="H13" s="3">
        <v>77</v>
      </c>
      <c r="I13">
        <v>251</v>
      </c>
      <c r="J13">
        <f t="shared" si="0"/>
        <v>6.3754</v>
      </c>
      <c r="K13">
        <f t="shared" si="2"/>
        <v>4814.1413635700001</v>
      </c>
      <c r="L13">
        <f t="shared" si="1"/>
        <v>755.11204999999995</v>
      </c>
      <c r="N13" t="s">
        <v>29</v>
      </c>
      <c r="O13">
        <f>O11+O9</f>
        <v>6704.21828</v>
      </c>
      <c r="P13">
        <f>P9+P11</f>
        <v>1156185</v>
      </c>
      <c r="Q13">
        <f>Q9+Q11</f>
        <v>470693.45014048996</v>
      </c>
      <c r="R13">
        <f>Q13/((H18+H17)*9.80665+L19)</f>
        <v>7.1592797609623151</v>
      </c>
      <c r="S13">
        <f>R13*100/2.54</f>
        <v>281.86140791190218</v>
      </c>
      <c r="T13">
        <f>S13-261.45</f>
        <v>20.411407911902188</v>
      </c>
      <c r="U13">
        <f>T13*2.54/100</f>
        <v>0.51844976096231554</v>
      </c>
    </row>
    <row r="14" spans="1:21" x14ac:dyDescent="0.3">
      <c r="A14" t="s">
        <v>30</v>
      </c>
      <c r="D14" s="3"/>
      <c r="H14" s="3">
        <v>67</v>
      </c>
      <c r="I14">
        <v>251</v>
      </c>
      <c r="J14">
        <f t="shared" si="0"/>
        <v>6.3754</v>
      </c>
      <c r="K14">
        <f t="shared" si="2"/>
        <v>4188.9281994699995</v>
      </c>
      <c r="L14">
        <f t="shared" si="1"/>
        <v>657.04554999999993</v>
      </c>
      <c r="N14" t="s">
        <v>102</v>
      </c>
    </row>
    <row r="15" spans="1:21" x14ac:dyDescent="0.3">
      <c r="A15" t="s">
        <v>31</v>
      </c>
      <c r="D15" s="3"/>
      <c r="H15" s="3">
        <v>62</v>
      </c>
      <c r="I15">
        <v>288</v>
      </c>
      <c r="J15">
        <f t="shared" si="0"/>
        <v>7.3151999999999999</v>
      </c>
      <c r="K15">
        <f t="shared" si="2"/>
        <v>4447.73157696</v>
      </c>
      <c r="L15">
        <f t="shared" si="1"/>
        <v>608.01229999999998</v>
      </c>
      <c r="N15" t="s">
        <v>32</v>
      </c>
      <c r="Q15">
        <f>L4</f>
        <v>34033.765040030004</v>
      </c>
      <c r="R15">
        <f>Q15/L19</f>
        <v>4.8879974647887332</v>
      </c>
      <c r="S15">
        <f>R15*100/2.54</f>
        <v>192.44084507042257</v>
      </c>
      <c r="T15">
        <f t="shared" ref="T15:T17" si="3">S15-261.45</f>
        <v>-69.00915492957742</v>
      </c>
      <c r="U15">
        <f>T15*2.54/100</f>
        <v>-1.7528325352112666</v>
      </c>
    </row>
    <row r="16" spans="1:21" x14ac:dyDescent="0.3">
      <c r="A16" t="s">
        <v>33</v>
      </c>
      <c r="D16" s="3"/>
      <c r="H16" s="3">
        <v>89</v>
      </c>
      <c r="I16">
        <v>288</v>
      </c>
      <c r="J16">
        <f t="shared" si="0"/>
        <v>7.3151999999999999</v>
      </c>
      <c r="K16">
        <f t="shared" si="2"/>
        <v>6384.6469411199996</v>
      </c>
      <c r="L16">
        <f t="shared" si="1"/>
        <v>872.79184999999995</v>
      </c>
      <c r="N16" t="s">
        <v>101</v>
      </c>
      <c r="Q16">
        <f>Q10+L4</f>
        <v>336630.53254003002</v>
      </c>
      <c r="R16">
        <f>Q16/(H17*9.80665 + L19)</f>
        <v>7.0527136684358611</v>
      </c>
      <c r="S16">
        <f t="shared" ref="S16:S17" si="4">R16*100/2.54</f>
        <v>277.66589245810474</v>
      </c>
      <c r="T16">
        <f t="shared" si="3"/>
        <v>16.215892458104747</v>
      </c>
      <c r="U16">
        <f>T16*2.54/100</f>
        <v>0.41188366843586061</v>
      </c>
    </row>
    <row r="17" spans="1:28" x14ac:dyDescent="0.3">
      <c r="A17" t="s">
        <v>34</v>
      </c>
      <c r="D17">
        <v>9165</v>
      </c>
      <c r="F17" t="s">
        <v>35</v>
      </c>
      <c r="H17">
        <f>D17*0.453592</f>
        <v>4157.1706800000002</v>
      </c>
      <c r="N17" t="s">
        <v>98</v>
      </c>
      <c r="Q17">
        <f>Q16+Q9</f>
        <v>467279.43754002999</v>
      </c>
      <c r="R17">
        <f>Q17/((H18+H17)*9.80665+L19)</f>
        <v>7.1073523944207828</v>
      </c>
      <c r="S17">
        <f t="shared" si="4"/>
        <v>279.81702340239303</v>
      </c>
      <c r="T17">
        <f t="shared" si="3"/>
        <v>18.367023402393045</v>
      </c>
      <c r="U17">
        <f>T17*2.54/100</f>
        <v>0.4665223944207833</v>
      </c>
    </row>
    <row r="18" spans="1:28" x14ac:dyDescent="0.3">
      <c r="A18" t="s">
        <v>36</v>
      </c>
      <c r="D18" s="3">
        <v>4050</v>
      </c>
      <c r="F18" t="s">
        <v>37</v>
      </c>
      <c r="H18">
        <f>D18*0.453592</f>
        <v>1837.0475999999999</v>
      </c>
      <c r="K18" t="s">
        <v>38</v>
      </c>
      <c r="N18" t="s">
        <v>39</v>
      </c>
      <c r="P18">
        <f>D17+(SUM(H8:H16)/0.453592)</f>
        <v>10730.283338330482</v>
      </c>
    </row>
    <row r="19" spans="1:28" x14ac:dyDescent="0.3">
      <c r="K19">
        <f>SUM(K8:K16)</f>
        <v>37447.77764049</v>
      </c>
      <c r="L19">
        <f>SUM(L8:L16)</f>
        <v>6962.7214999999997</v>
      </c>
      <c r="O19">
        <f>9.81*O13</f>
        <v>65768.381326800009</v>
      </c>
    </row>
    <row r="20" spans="1:28" x14ac:dyDescent="0.3">
      <c r="A20" t="s">
        <v>40</v>
      </c>
      <c r="B20">
        <v>36</v>
      </c>
      <c r="F20" t="s">
        <v>41</v>
      </c>
      <c r="H20">
        <f>SUM(H8:H18)</f>
        <v>6704.21828</v>
      </c>
    </row>
    <row r="21" spans="1:28" x14ac:dyDescent="0.3">
      <c r="A21" s="1" t="s">
        <v>42</v>
      </c>
    </row>
    <row r="23" spans="1:28" x14ac:dyDescent="0.3">
      <c r="A23" t="s">
        <v>43</v>
      </c>
      <c r="E23" t="s">
        <v>44</v>
      </c>
    </row>
    <row r="25" spans="1:28" x14ac:dyDescent="0.3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 t="s">
        <v>57</v>
      </c>
      <c r="N25" t="s">
        <v>129</v>
      </c>
      <c r="O25" t="s">
        <v>130</v>
      </c>
      <c r="P25" t="s">
        <v>131</v>
      </c>
      <c r="Q25" t="s">
        <v>50</v>
      </c>
      <c r="R25" t="s">
        <v>63</v>
      </c>
      <c r="S25" t="s">
        <v>132</v>
      </c>
      <c r="T25" t="s">
        <v>134</v>
      </c>
      <c r="U25" t="s">
        <v>58</v>
      </c>
      <c r="V25" t="s">
        <v>59</v>
      </c>
      <c r="W25" t="s">
        <v>60</v>
      </c>
      <c r="X25" t="s">
        <v>61</v>
      </c>
      <c r="Y25" t="s">
        <v>62</v>
      </c>
      <c r="Z25" t="s">
        <v>65</v>
      </c>
      <c r="AA25" t="s">
        <v>66</v>
      </c>
      <c r="AB25" t="s">
        <v>136</v>
      </c>
    </row>
    <row r="26" spans="1:28" x14ac:dyDescent="0.3">
      <c r="B26" s="5" t="s">
        <v>67</v>
      </c>
      <c r="C26" s="5" t="s">
        <v>68</v>
      </c>
      <c r="D26" s="5" t="s">
        <v>69</v>
      </c>
      <c r="E26" s="5" t="s">
        <v>70</v>
      </c>
      <c r="F26" s="5" t="s">
        <v>71</v>
      </c>
      <c r="G26" s="5" t="s">
        <v>72</v>
      </c>
      <c r="H26" s="5" t="s">
        <v>72</v>
      </c>
      <c r="I26" s="5" t="s">
        <v>73</v>
      </c>
      <c r="J26" s="5" t="s">
        <v>74</v>
      </c>
      <c r="K26" s="5" t="s">
        <v>75</v>
      </c>
      <c r="L26" s="5" t="s">
        <v>75</v>
      </c>
      <c r="M26" s="5" t="s">
        <v>76</v>
      </c>
      <c r="Q26" s="5"/>
      <c r="R26" s="5" t="s">
        <v>77</v>
      </c>
      <c r="U26" s="5" t="s">
        <v>76</v>
      </c>
      <c r="V26" s="5" t="s">
        <v>76</v>
      </c>
      <c r="W26" s="5" t="s">
        <v>76</v>
      </c>
      <c r="X26" s="5" t="s">
        <v>76</v>
      </c>
      <c r="Y26" s="5" t="s">
        <v>76</v>
      </c>
      <c r="Z26" s="5" t="s">
        <v>79</v>
      </c>
      <c r="AA26" s="5" t="s">
        <v>79</v>
      </c>
      <c r="AB26" s="5" t="s">
        <v>79</v>
      </c>
    </row>
    <row r="28" spans="1:28" x14ac:dyDescent="0.3">
      <c r="A28">
        <v>1</v>
      </c>
      <c r="B28" s="7">
        <v>1.9259259259259261E-2</v>
      </c>
      <c r="C28" s="3"/>
      <c r="D28" s="3">
        <v>12020</v>
      </c>
      <c r="E28" s="3">
        <v>240</v>
      </c>
      <c r="F28" s="3">
        <v>1.6</v>
      </c>
      <c r="G28" s="3">
        <v>712</v>
      </c>
      <c r="H28" s="3">
        <v>756</v>
      </c>
      <c r="I28" s="3">
        <v>645</v>
      </c>
      <c r="J28" s="3">
        <v>2.5</v>
      </c>
      <c r="K28">
        <f t="shared" ref="K28:K33" si="5">I28*0.453592</f>
        <v>292.56684000000001</v>
      </c>
      <c r="L28">
        <f>$H$20-K28</f>
        <v>6411.6514399999996</v>
      </c>
      <c r="M28">
        <f t="shared" ref="M28:M33" si="6">L28*9.80665</f>
        <v>62876.821594075991</v>
      </c>
      <c r="N28">
        <f>101325*(1+(-0.0065*D28*0.305)/273.15)^(-9.80665/(-0.0065*287))</f>
        <v>62707.123408601794</v>
      </c>
      <c r="O28">
        <f>SQRT(2/(1.4-1)*((1+101325/N28*((1+0.4/2.8*1.225/101325*(E28*0.514)^2)^(1.4/0.4)-1))^(0.4/1.4)-1))</f>
        <v>0.45643634618660783</v>
      </c>
      <c r="P28">
        <f>(273.15+J28)/(1+0.4/2*O28^2)</f>
        <v>264.62395911055069</v>
      </c>
      <c r="Q28">
        <f>SQRT(1.4*287*P28)</f>
        <v>326.07653514262455</v>
      </c>
      <c r="R28">
        <f>1.225*(((288.15-0.0065*(D28*0.3048))/288.15)^(-9.80665/(-0.0065*287.05)-1))</f>
        <v>0.84859186310327495</v>
      </c>
      <c r="S28">
        <f>Q28*O28*SQRT(R28/1.225)</f>
        <v>123.87428333956294</v>
      </c>
      <c r="T28">
        <f>S28*SQRT(M28/M28)</f>
        <v>123.87428333956294</v>
      </c>
      <c r="U28">
        <f>X28+Y28</f>
        <v>7631.5300000000007</v>
      </c>
      <c r="V28">
        <f>U28*COS(RADIANS(F28))</f>
        <v>7628.554581233916</v>
      </c>
      <c r="W28">
        <f>M28-U28*SIN(RADIANS(F28))</f>
        <v>62663.736770507916</v>
      </c>
      <c r="X28">
        <v>3652.61</v>
      </c>
      <c r="Y28">
        <v>3978.92</v>
      </c>
      <c r="Z28">
        <f>W28/(0.5*R28*S28^2*$B$20)</f>
        <v>0.26735149138650505</v>
      </c>
      <c r="AA28">
        <f>V28/(0.5*R28*S28^2*$B$20)</f>
        <v>3.2546821328027102E-2</v>
      </c>
      <c r="AB28">
        <f>Z28^2</f>
        <v>7.1476819946588485E-2</v>
      </c>
    </row>
    <row r="29" spans="1:28" x14ac:dyDescent="0.3">
      <c r="A29">
        <v>2</v>
      </c>
      <c r="B29" s="7">
        <v>2.0428240740740743E-2</v>
      </c>
      <c r="C29" s="3"/>
      <c r="D29" s="3">
        <v>12020</v>
      </c>
      <c r="E29" s="3">
        <v>217</v>
      </c>
      <c r="F29" s="3">
        <v>2.2999999999999998</v>
      </c>
      <c r="G29" s="3">
        <v>611</v>
      </c>
      <c r="H29" s="3">
        <v>640</v>
      </c>
      <c r="I29" s="3">
        <v>676</v>
      </c>
      <c r="J29" s="3">
        <v>1.5</v>
      </c>
      <c r="K29">
        <f t="shared" si="5"/>
        <v>306.62819200000001</v>
      </c>
      <c r="L29">
        <f t="shared" ref="L29:L33" si="7">$H$20-K29</f>
        <v>6397.5900879999999</v>
      </c>
      <c r="M29">
        <f t="shared" si="6"/>
        <v>62738.926836485196</v>
      </c>
      <c r="N29">
        <f t="shared" ref="N29:N33" si="8">101325*(1+(-0.0065*D29*0.305)/273.15)^(-9.80665/(-0.0065*287))</f>
        <v>62707.123408601794</v>
      </c>
      <c r="O29">
        <f t="shared" ref="O29:O33" si="9">SQRT(2/(1.4-1)*((1+101325/N29*((1+0.4/2.8*1.225/101325*(E29*0.514)^2)^(1.4/0.4)-1))^(0.4/1.4)-1))</f>
        <v>0.41337886948581681</v>
      </c>
      <c r="P29">
        <f t="shared" ref="P29:P33" si="10">(273.15+J29)/(1+0.4/2*O29^2)</f>
        <v>265.57364414197019</v>
      </c>
      <c r="Q29">
        <f t="shared" ref="Q29:Q33" si="11">SQRT(1.4*287*P29)</f>
        <v>326.66112443363016</v>
      </c>
      <c r="R29">
        <f t="shared" ref="R29:R33" si="12">1.225*(((288.15-0.0065*(D29*0.3048))/288.15)^(-9.80665/(-0.0065*287.05)-1))</f>
        <v>0.84859186310327495</v>
      </c>
      <c r="S29">
        <f t="shared" ref="S29:S33" si="13">Q29*O29*SQRT(R29/1.225)</f>
        <v>112.38985556319705</v>
      </c>
      <c r="T29">
        <f>S29*SQRT(M29/M28)</f>
        <v>112.26654718061971</v>
      </c>
      <c r="U29">
        <f t="shared" ref="U28:U33" si="14">X29+Y29</f>
        <v>6358.1100000000006</v>
      </c>
      <c r="V29">
        <f>U29*COS(RADIANS(F29))</f>
        <v>6352.9878755211103</v>
      </c>
      <c r="W29">
        <f t="shared" ref="W29:W33" si="15">M29-U29*SIN(RADIANS(F29))</f>
        <v>62483.764485066</v>
      </c>
      <c r="X29">
        <v>3068.09</v>
      </c>
      <c r="Y29">
        <v>3290.02</v>
      </c>
      <c r="Z29">
        <f t="shared" ref="Z29:Z33" si="16">W29/(0.5*R29*S29^2*$B$20)</f>
        <v>0.32384827818784895</v>
      </c>
      <c r="AA29">
        <f t="shared" ref="AA29:AA33" si="17">V29/(0.5*R29*S29^2*$B$20)</f>
        <v>3.2927020351463041E-2</v>
      </c>
      <c r="AB29">
        <f t="shared" ref="AB29:AB33" si="18">Z29^2</f>
        <v>0.10487770728523441</v>
      </c>
    </row>
    <row r="30" spans="1:28" x14ac:dyDescent="0.3">
      <c r="A30">
        <v>3</v>
      </c>
      <c r="B30" s="7">
        <v>2.1354166666666664E-2</v>
      </c>
      <c r="C30" s="3"/>
      <c r="D30" s="3">
        <v>12020</v>
      </c>
      <c r="E30" s="3">
        <v>195</v>
      </c>
      <c r="F30" s="3">
        <v>3.2</v>
      </c>
      <c r="G30" s="3">
        <v>524</v>
      </c>
      <c r="H30" s="3">
        <v>562</v>
      </c>
      <c r="I30" s="3">
        <v>700</v>
      </c>
      <c r="J30" s="3">
        <v>0</v>
      </c>
      <c r="K30">
        <f t="shared" si="5"/>
        <v>317.51440000000002</v>
      </c>
      <c r="L30">
        <f t="shared" si="7"/>
        <v>6386.70388</v>
      </c>
      <c r="M30">
        <f t="shared" si="6"/>
        <v>62632.169604801995</v>
      </c>
      <c r="N30">
        <f t="shared" si="8"/>
        <v>62707.123408601794</v>
      </c>
      <c r="O30">
        <f t="shared" si="9"/>
        <v>0.37201115554094472</v>
      </c>
      <c r="P30">
        <f t="shared" si="10"/>
        <v>265.79325211130543</v>
      </c>
      <c r="Q30">
        <f t="shared" si="11"/>
        <v>326.7961577165841</v>
      </c>
      <c r="R30">
        <f t="shared" si="12"/>
        <v>0.84859186310327495</v>
      </c>
      <c r="S30">
        <f t="shared" si="13"/>
        <v>101.18457042201341</v>
      </c>
      <c r="T30">
        <f t="shared" ref="T30:T33" si="19">S30*SQRT(M30/M29)</f>
        <v>101.09844539274995</v>
      </c>
      <c r="U30">
        <f t="shared" si="14"/>
        <v>5405.99</v>
      </c>
      <c r="V30">
        <f t="shared" ref="V28:V33" si="20">U30*COS(RADIANS(F30))</f>
        <v>5397.5607867601475</v>
      </c>
      <c r="W30">
        <f t="shared" si="15"/>
        <v>62330.399107024001</v>
      </c>
      <c r="X30">
        <v>2562.69</v>
      </c>
      <c r="Y30">
        <v>2843.3</v>
      </c>
      <c r="Z30">
        <f t="shared" si="16"/>
        <v>0.3985657310425807</v>
      </c>
      <c r="AA30">
        <f t="shared" si="17"/>
        <v>3.4514182351503629E-2</v>
      </c>
      <c r="AB30">
        <f t="shared" si="18"/>
        <v>0.15885464196150678</v>
      </c>
    </row>
    <row r="31" spans="1:28" x14ac:dyDescent="0.3">
      <c r="A31">
        <v>4</v>
      </c>
      <c r="B31" s="7">
        <v>2.2685185185185183E-2</v>
      </c>
      <c r="C31" s="3"/>
      <c r="D31" s="3">
        <v>12015</v>
      </c>
      <c r="E31" s="3">
        <v>157</v>
      </c>
      <c r="F31" s="3">
        <v>5.8</v>
      </c>
      <c r="G31" s="3">
        <v>415</v>
      </c>
      <c r="H31" s="3">
        <v>457</v>
      </c>
      <c r="I31" s="3">
        <v>722</v>
      </c>
      <c r="J31" s="3">
        <v>-3.2</v>
      </c>
      <c r="K31">
        <f t="shared" si="5"/>
        <v>327.493424</v>
      </c>
      <c r="L31">
        <f t="shared" si="7"/>
        <v>6376.7248559999998</v>
      </c>
      <c r="M31">
        <f t="shared" si="6"/>
        <v>62534.308809092392</v>
      </c>
      <c r="N31">
        <f t="shared" si="8"/>
        <v>62720.230445565801</v>
      </c>
      <c r="O31">
        <f t="shared" si="9"/>
        <v>0.30014566740084059</v>
      </c>
      <c r="P31">
        <f t="shared" si="10"/>
        <v>265.1722629078044</v>
      </c>
      <c r="Q31">
        <f t="shared" si="11"/>
        <v>326.41417744386627</v>
      </c>
      <c r="R31">
        <f t="shared" si="12"/>
        <v>0.84872721430781117</v>
      </c>
      <c r="S31">
        <f t="shared" si="13"/>
        <v>81.548713101097078</v>
      </c>
      <c r="T31">
        <f t="shared" si="19"/>
        <v>81.484979545874168</v>
      </c>
      <c r="U31">
        <f t="shared" si="14"/>
        <v>4258.3600000000006</v>
      </c>
      <c r="V31">
        <f t="shared" si="20"/>
        <v>4236.5602152481588</v>
      </c>
      <c r="W31">
        <f t="shared" si="15"/>
        <v>62103.974715420423</v>
      </c>
      <c r="X31">
        <v>1971.27</v>
      </c>
      <c r="Y31">
        <v>2287.09</v>
      </c>
      <c r="Z31">
        <f t="shared" si="16"/>
        <v>0.61128612654707926</v>
      </c>
      <c r="AA31">
        <f t="shared" si="17"/>
        <v>4.170023731539798E-2</v>
      </c>
      <c r="AB31">
        <f t="shared" si="18"/>
        <v>0.37367072850893179</v>
      </c>
    </row>
    <row r="32" spans="1:28" x14ac:dyDescent="0.3">
      <c r="A32">
        <v>5</v>
      </c>
      <c r="B32" s="7">
        <v>2.4074074074074071E-2</v>
      </c>
      <c r="C32" s="3"/>
      <c r="D32" s="3">
        <v>12040</v>
      </c>
      <c r="E32" s="3">
        <v>138</v>
      </c>
      <c r="F32" s="3">
        <v>7.5</v>
      </c>
      <c r="G32" s="3">
        <v>419</v>
      </c>
      <c r="H32" s="3">
        <v>458</v>
      </c>
      <c r="I32" s="3">
        <v>750</v>
      </c>
      <c r="J32" s="3">
        <v>-4</v>
      </c>
      <c r="K32">
        <f t="shared" si="5"/>
        <v>340.19400000000002</v>
      </c>
      <c r="L32">
        <f t="shared" si="7"/>
        <v>6364.0242799999996</v>
      </c>
      <c r="M32">
        <f t="shared" si="6"/>
        <v>62409.758705461994</v>
      </c>
      <c r="N32">
        <f t="shared" si="8"/>
        <v>62654.717438887521</v>
      </c>
      <c r="O32">
        <f t="shared" si="9"/>
        <v>0.26420596874271379</v>
      </c>
      <c r="P32">
        <f t="shared" si="10"/>
        <v>265.44414522904168</v>
      </c>
      <c r="Q32">
        <f t="shared" si="11"/>
        <v>326.58147153968935</v>
      </c>
      <c r="R32">
        <f t="shared" si="12"/>
        <v>0.8480506234114632</v>
      </c>
      <c r="S32">
        <f t="shared" si="13"/>
        <v>71.792158457626925</v>
      </c>
      <c r="T32">
        <f t="shared" si="19"/>
        <v>71.720628303136962</v>
      </c>
      <c r="U32">
        <f t="shared" si="14"/>
        <v>4502.96</v>
      </c>
      <c r="V32">
        <f t="shared" si="20"/>
        <v>4464.4365529718134</v>
      </c>
      <c r="W32">
        <f t="shared" si="15"/>
        <v>61822.004482942793</v>
      </c>
      <c r="X32">
        <v>2101.08</v>
      </c>
      <c r="Y32">
        <v>2401.88</v>
      </c>
      <c r="Z32">
        <f t="shared" si="16"/>
        <v>0.78576879521676424</v>
      </c>
      <c r="AA32">
        <f t="shared" si="17"/>
        <v>5.6743791484765528E-2</v>
      </c>
      <c r="AB32">
        <f t="shared" si="18"/>
        <v>0.61743259953640517</v>
      </c>
    </row>
    <row r="33" spans="1:28" x14ac:dyDescent="0.3">
      <c r="A33">
        <v>6</v>
      </c>
      <c r="B33" s="7">
        <v>2.5810185185185183E-2</v>
      </c>
      <c r="C33" s="3"/>
      <c r="D33" s="3">
        <v>11980</v>
      </c>
      <c r="E33" s="3">
        <v>118</v>
      </c>
      <c r="F33" s="3">
        <v>10.8</v>
      </c>
      <c r="G33" s="3">
        <v>375</v>
      </c>
      <c r="H33" s="3">
        <v>399</v>
      </c>
      <c r="I33" s="3">
        <v>774</v>
      </c>
      <c r="J33" s="3">
        <v>-4.2</v>
      </c>
      <c r="K33">
        <f t="shared" si="5"/>
        <v>351.08020799999997</v>
      </c>
      <c r="L33">
        <f t="shared" si="7"/>
        <v>6353.1380719999997</v>
      </c>
      <c r="M33">
        <f t="shared" si="6"/>
        <v>62303.001473778793</v>
      </c>
      <c r="N33">
        <f t="shared" si="8"/>
        <v>62812.041835283053</v>
      </c>
      <c r="O33">
        <f t="shared" si="9"/>
        <v>0.22583215630039688</v>
      </c>
      <c r="P33">
        <f t="shared" si="10"/>
        <v>266.23440044583344</v>
      </c>
      <c r="Q33">
        <f t="shared" si="11"/>
        <v>327.06724400211016</v>
      </c>
      <c r="R33">
        <f t="shared" si="12"/>
        <v>0.84967513524967364</v>
      </c>
      <c r="S33">
        <f t="shared" si="13"/>
        <v>61.515030409579396</v>
      </c>
      <c r="T33">
        <f t="shared" si="19"/>
        <v>61.462394529208225</v>
      </c>
      <c r="U33">
        <f t="shared" si="14"/>
        <v>3893.4300000000003</v>
      </c>
      <c r="V33">
        <f t="shared" si="20"/>
        <v>3824.4666506045987</v>
      </c>
      <c r="W33">
        <f t="shared" si="15"/>
        <v>61573.445442131298</v>
      </c>
      <c r="X33">
        <v>1849.74</v>
      </c>
      <c r="Y33">
        <v>2043.69</v>
      </c>
      <c r="Z33">
        <f t="shared" si="16"/>
        <v>1.0639116277698055</v>
      </c>
      <c r="AA33">
        <f t="shared" si="17"/>
        <v>6.6081969433075705E-2</v>
      </c>
      <c r="AB33">
        <f t="shared" si="18"/>
        <v>1.1319079517037973</v>
      </c>
    </row>
    <row r="34" spans="1:28" x14ac:dyDescent="0.3">
      <c r="A34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28" x14ac:dyDescent="0.3">
      <c r="C35" t="s">
        <v>80</v>
      </c>
    </row>
    <row r="37" spans="1:28" x14ac:dyDescent="0.3">
      <c r="A37" s="1"/>
    </row>
    <row r="39" spans="1:28" x14ac:dyDescent="0.3">
      <c r="E39" s="3"/>
    </row>
    <row r="42" spans="1:28" x14ac:dyDescent="0.3">
      <c r="B42" s="5"/>
      <c r="C42" s="5"/>
      <c r="D42" s="5"/>
      <c r="E42" s="5"/>
      <c r="F42" s="5"/>
      <c r="G42" s="5"/>
      <c r="H42" s="5"/>
      <c r="I42" s="5"/>
      <c r="J42" s="5"/>
    </row>
    <row r="44" spans="1:28" x14ac:dyDescent="0.3">
      <c r="B44" s="6"/>
      <c r="C44" s="3"/>
      <c r="D44" s="3"/>
      <c r="E44" s="3"/>
      <c r="F44" s="3"/>
      <c r="G44" s="3"/>
      <c r="H44" s="3"/>
      <c r="I44" s="3"/>
      <c r="J44" s="3"/>
    </row>
    <row r="45" spans="1:28" x14ac:dyDescent="0.3">
      <c r="B45" s="6"/>
      <c r="C45" s="3"/>
      <c r="D45" s="3"/>
      <c r="E45" s="3"/>
      <c r="F45" s="3"/>
      <c r="G45" s="3"/>
      <c r="H45" s="3"/>
      <c r="I45" s="3"/>
      <c r="J45" s="3"/>
    </row>
    <row r="46" spans="1:28" x14ac:dyDescent="0.3">
      <c r="B46" s="6"/>
      <c r="C46" s="3"/>
      <c r="D46" s="3"/>
      <c r="E46" s="3"/>
      <c r="F46" s="3"/>
      <c r="G46" s="3"/>
      <c r="H46" s="3"/>
      <c r="I46" s="3"/>
      <c r="J46" s="3"/>
    </row>
    <row r="47" spans="1:28" x14ac:dyDescent="0.3">
      <c r="B47" s="6"/>
      <c r="C47" s="3"/>
      <c r="D47" s="3"/>
      <c r="E47" s="3"/>
      <c r="F47" s="3"/>
      <c r="G47" s="3"/>
      <c r="H47" s="3"/>
      <c r="I47" s="3"/>
      <c r="J47" s="3"/>
    </row>
    <row r="48" spans="1:28" x14ac:dyDescent="0.3">
      <c r="B48" s="6"/>
      <c r="C48" s="3"/>
      <c r="D48" s="3"/>
      <c r="E48" s="3"/>
      <c r="F48" s="3"/>
      <c r="G48" s="3"/>
      <c r="H48" s="3"/>
      <c r="I48" s="3"/>
      <c r="J48" s="3"/>
    </row>
    <row r="49" spans="1:24" x14ac:dyDescent="0.3">
      <c r="B49" s="6"/>
      <c r="C49" s="3"/>
      <c r="D49" s="3"/>
      <c r="E49" s="3"/>
      <c r="F49" s="3"/>
      <c r="G49" s="3"/>
      <c r="H49" s="3"/>
      <c r="I49" s="3"/>
      <c r="J49" s="3"/>
    </row>
    <row r="50" spans="1:24" x14ac:dyDescent="0.3">
      <c r="B50" s="6"/>
      <c r="C50" s="3"/>
      <c r="D50" s="3"/>
      <c r="E50" s="3"/>
      <c r="F50" s="3"/>
      <c r="G50" s="3"/>
      <c r="H50" s="3"/>
      <c r="I50" s="3"/>
      <c r="J50" s="3"/>
    </row>
    <row r="52" spans="1:24" x14ac:dyDescent="0.3">
      <c r="A52" s="1" t="s">
        <v>82</v>
      </c>
    </row>
    <row r="54" spans="1:24" x14ac:dyDescent="0.3">
      <c r="A54" t="s">
        <v>43</v>
      </c>
      <c r="E54" t="s">
        <v>44</v>
      </c>
    </row>
    <row r="56" spans="1:24" x14ac:dyDescent="0.3">
      <c r="A56" t="s">
        <v>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83</v>
      </c>
      <c r="H56" t="s">
        <v>84</v>
      </c>
      <c r="I56" t="s">
        <v>85</v>
      </c>
      <c r="J56" t="s">
        <v>51</v>
      </c>
      <c r="K56" t="s">
        <v>52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129</v>
      </c>
      <c r="R56" t="s">
        <v>130</v>
      </c>
      <c r="S56" t="s">
        <v>131</v>
      </c>
      <c r="T56" t="s">
        <v>50</v>
      </c>
      <c r="U56" t="s">
        <v>133</v>
      </c>
      <c r="V56" t="s">
        <v>132</v>
      </c>
      <c r="W56" t="s">
        <v>134</v>
      </c>
      <c r="X56" t="s">
        <v>135</v>
      </c>
    </row>
    <row r="57" spans="1:24" x14ac:dyDescent="0.3">
      <c r="B57" s="5" t="s">
        <v>81</v>
      </c>
      <c r="C57" s="5" t="s">
        <v>68</v>
      </c>
      <c r="D57" s="5" t="s">
        <v>69</v>
      </c>
      <c r="E57" s="5" t="s">
        <v>70</v>
      </c>
      <c r="F57" s="5" t="s">
        <v>71</v>
      </c>
      <c r="G57" s="5" t="s">
        <v>71</v>
      </c>
      <c r="H57" s="5" t="s">
        <v>71</v>
      </c>
      <c r="I57" s="5" t="s">
        <v>76</v>
      </c>
      <c r="J57" s="5" t="s">
        <v>72</v>
      </c>
      <c r="K57" s="5" t="s">
        <v>72</v>
      </c>
      <c r="L57" s="5" t="s">
        <v>73</v>
      </c>
      <c r="M57" s="5" t="s">
        <v>74</v>
      </c>
      <c r="N57" s="5" t="s">
        <v>75</v>
      </c>
      <c r="O57" s="5" t="s">
        <v>75</v>
      </c>
      <c r="P57" s="5" t="s">
        <v>76</v>
      </c>
      <c r="T57" s="5"/>
      <c r="U57" s="5"/>
    </row>
    <row r="59" spans="1:24" x14ac:dyDescent="0.3">
      <c r="A59">
        <v>3</v>
      </c>
      <c r="B59" s="7">
        <v>3.1064814814814812E-2</v>
      </c>
      <c r="C59" s="3"/>
      <c r="D59" s="3">
        <v>11920</v>
      </c>
      <c r="E59" s="3">
        <v>138</v>
      </c>
      <c r="F59" s="3">
        <v>7.5</v>
      </c>
      <c r="G59" s="3">
        <v>-1.1000000000000001</v>
      </c>
      <c r="H59" s="3">
        <v>2.7</v>
      </c>
      <c r="I59" s="3">
        <v>-32</v>
      </c>
      <c r="J59" s="3">
        <v>392</v>
      </c>
      <c r="K59" s="3">
        <v>427</v>
      </c>
      <c r="L59" s="3">
        <v>892</v>
      </c>
      <c r="M59" s="3">
        <v>-3.1</v>
      </c>
      <c r="N59">
        <f t="shared" ref="N59:N61" si="21">L59*0.453592</f>
        <v>404.60406399999999</v>
      </c>
      <c r="O59">
        <f>$H$20-N59</f>
        <v>6299.6142159999999</v>
      </c>
      <c r="P59">
        <f t="shared" ref="P59:P61" si="22">O59*9.80665</f>
        <v>61778.111751336393</v>
      </c>
      <c r="Q59">
        <f>101325*(1+(-0.0065*D59*0.305)/273.15)^(-9.80665/(-0.0065*287))</f>
        <v>62969.685969309998</v>
      </c>
      <c r="R59">
        <f>SQRT(2/(1.4-1)*((1+101325/Q59*((1+0.4/2.8*1.225/101325*(E59*0.514)^2)^(1.4/0.4)-1))^(0.4/1.4)-1))</f>
        <v>0.26355564077556248</v>
      </c>
      <c r="S59">
        <f>(273.15+M59)/(1+0.4/2*R59^2)</f>
        <v>266.34978484692766</v>
      </c>
      <c r="T59">
        <f>SQRT(1.4*287*S59)</f>
        <v>327.13811082094293</v>
      </c>
      <c r="U59">
        <f>Q59/(S59*287)</f>
        <v>0.82375351437858857</v>
      </c>
      <c r="V59">
        <f>T59*R59*SQRT(U59/1.225)</f>
        <v>70.702383181419847</v>
      </c>
      <c r="W59">
        <f>V59*SQRT(P59/P59)</f>
        <v>70.702383181419847</v>
      </c>
    </row>
    <row r="60" spans="1:24" x14ac:dyDescent="0.3">
      <c r="A60">
        <v>2</v>
      </c>
      <c r="B60" s="7">
        <v>3.0092592592592591E-2</v>
      </c>
      <c r="C60" s="3"/>
      <c r="D60" s="3">
        <v>11760</v>
      </c>
      <c r="E60" s="3">
        <v>149</v>
      </c>
      <c r="F60" s="3">
        <v>6.35</v>
      </c>
      <c r="G60" s="3">
        <v>-0.5</v>
      </c>
      <c r="H60" s="3">
        <v>2.7</v>
      </c>
      <c r="I60" s="3">
        <v>-20</v>
      </c>
      <c r="J60" s="3">
        <v>395</v>
      </c>
      <c r="K60" s="3">
        <v>430</v>
      </c>
      <c r="L60" s="3">
        <v>873</v>
      </c>
      <c r="M60" s="3">
        <v>-2</v>
      </c>
      <c r="N60">
        <f t="shared" si="21"/>
        <v>395.985816</v>
      </c>
      <c r="O60">
        <f>$H$20-N60</f>
        <v>6308.2324639999997</v>
      </c>
      <c r="P60">
        <f t="shared" si="22"/>
        <v>61862.627893085591</v>
      </c>
      <c r="Q60">
        <f t="shared" ref="Q60:Q61" si="23">101325*(1+(-0.0065*D60*0.305)/273.15)^(-9.80665/(-0.0065*287))</f>
        <v>63391.637269271603</v>
      </c>
      <c r="R60">
        <f t="shared" ref="R60:R61" si="24">SQRT(2/(1.4-1)*((1+101325/Q60*((1+0.4/2.8*1.225/101325*(E60*0.514)^2)^(1.4/0.4)-1))^(0.4/1.4)-1))</f>
        <v>0.28348478672632055</v>
      </c>
      <c r="S60">
        <f t="shared" ref="S60:S61" si="25">(273.15+M60)/(1+0.4/2*R60^2)</f>
        <v>266.86081947242445</v>
      </c>
      <c r="T60">
        <f t="shared" ref="T60:T67" si="26">SQRT(1.4*287*S60)</f>
        <v>327.45179380180548</v>
      </c>
      <c r="U60">
        <f t="shared" ref="U60:U61" si="27">Q60/(S60*287)</f>
        <v>0.82768532805610273</v>
      </c>
      <c r="V60">
        <f t="shared" ref="V60:V61" si="28">T60*R60*SQRT(U60/1.225)</f>
        <v>76.30301788904201</v>
      </c>
      <c r="W60">
        <f t="shared" ref="W60:W62" si="29">V60*SQRT(P60/P59)</f>
        <v>76.35519359012892</v>
      </c>
    </row>
    <row r="61" spans="1:24" x14ac:dyDescent="0.3">
      <c r="A61">
        <v>1</v>
      </c>
      <c r="B61" s="7">
        <v>3.0844907407407404E-2</v>
      </c>
      <c r="C61" s="3"/>
      <c r="D61" s="3">
        <v>11710</v>
      </c>
      <c r="E61" s="3">
        <v>158</v>
      </c>
      <c r="F61" s="3">
        <v>5.5</v>
      </c>
      <c r="G61" s="3">
        <v>-0.1</v>
      </c>
      <c r="H61" s="3">
        <v>2.7</v>
      </c>
      <c r="I61" s="3">
        <v>0</v>
      </c>
      <c r="J61" s="3">
        <v>398</v>
      </c>
      <c r="K61" s="3">
        <v>433</v>
      </c>
      <c r="L61" s="3">
        <v>859</v>
      </c>
      <c r="M61" s="3">
        <v>-1.5</v>
      </c>
      <c r="N61">
        <f t="shared" si="21"/>
        <v>389.63552800000002</v>
      </c>
      <c r="O61">
        <f t="shared" ref="O61" si="30">$H$20-N61</f>
        <v>6314.5827520000003</v>
      </c>
      <c r="P61">
        <f t="shared" si="22"/>
        <v>61924.902944900801</v>
      </c>
      <c r="Q61">
        <f t="shared" si="23"/>
        <v>63523.965551478999</v>
      </c>
      <c r="R61">
        <f t="shared" si="24"/>
        <v>0.3001668658459572</v>
      </c>
      <c r="S61">
        <f t="shared" si="25"/>
        <v>266.84150815905923</v>
      </c>
      <c r="T61">
        <f t="shared" si="26"/>
        <v>327.43994560577056</v>
      </c>
      <c r="U61">
        <f t="shared" si="27"/>
        <v>0.82947312279636576</v>
      </c>
      <c r="V61">
        <f t="shared" si="28"/>
        <v>80.877463974356829</v>
      </c>
      <c r="W61">
        <f t="shared" si="29"/>
        <v>80.918162062299217</v>
      </c>
    </row>
    <row r="62" spans="1:24" x14ac:dyDescent="0.3">
      <c r="A62">
        <v>4</v>
      </c>
      <c r="B62" s="7">
        <v>3.2199074074074074E-2</v>
      </c>
      <c r="C62" s="3"/>
      <c r="D62" s="3">
        <v>11140</v>
      </c>
      <c r="E62" s="3">
        <v>169</v>
      </c>
      <c r="F62" s="3">
        <v>4.5999999999999996</v>
      </c>
      <c r="G62" s="3">
        <v>0.3</v>
      </c>
      <c r="H62" s="3">
        <v>2.7</v>
      </c>
      <c r="I62" s="3">
        <v>26</v>
      </c>
      <c r="J62" s="3">
        <v>407</v>
      </c>
      <c r="K62" s="3">
        <v>443</v>
      </c>
      <c r="L62" s="3">
        <v>914</v>
      </c>
      <c r="M62" s="3">
        <v>0.2</v>
      </c>
      <c r="N62">
        <f>L62*0.453592</f>
        <v>414.58308799999998</v>
      </c>
      <c r="O62">
        <f>$H$20-N62</f>
        <v>6289.6351919999997</v>
      </c>
      <c r="P62">
        <f>O62*9.80665</f>
        <v>61680.250955626791</v>
      </c>
      <c r="Q62">
        <f>101325*(1+(-0.0065*D62*0.305)/273.15)^(-9.80665/(-0.0065*287))</f>
        <v>65048.382669531355</v>
      </c>
      <c r="R62">
        <f>SQRT(2/(1.4-1)*((1+101325/Q62*((1+0.4/2.8*1.225/101325*(E62*0.514)^2)^(1.4/0.4)-1))^(0.4/1.4)-1))</f>
        <v>0.31718985285243695</v>
      </c>
      <c r="S62">
        <f>(273.15+M62)/(1+0.4/2*R62^2)</f>
        <v>267.95817755863277</v>
      </c>
      <c r="T62">
        <f>SQRT(1.4*287*S62)</f>
        <v>328.12436017927507</v>
      </c>
      <c r="U62">
        <f>Q62/(S62*287)</f>
        <v>0.8458387761553362</v>
      </c>
      <c r="V62">
        <f>T62*R62*SQRT(U62/1.225)</f>
        <v>86.483550412126107</v>
      </c>
      <c r="W62">
        <f>V62*SQRT(P62/P61)</f>
        <v>86.312542376013198</v>
      </c>
    </row>
    <row r="63" spans="1:24" x14ac:dyDescent="0.3">
      <c r="A63">
        <v>5</v>
      </c>
      <c r="B63" s="7">
        <v>3.3067129629629634E-2</v>
      </c>
      <c r="C63" s="3"/>
      <c r="D63" s="3">
        <v>10640</v>
      </c>
      <c r="E63" s="3">
        <v>180</v>
      </c>
      <c r="F63" s="3">
        <v>4</v>
      </c>
      <c r="G63" s="3">
        <v>0.6</v>
      </c>
      <c r="H63" s="3">
        <v>2.7</v>
      </c>
      <c r="I63" s="3">
        <v>49</v>
      </c>
      <c r="J63" s="3">
        <v>417</v>
      </c>
      <c r="K63" s="3">
        <v>455</v>
      </c>
      <c r="L63" s="3">
        <v>933</v>
      </c>
      <c r="M63" s="3">
        <v>0</v>
      </c>
      <c r="N63">
        <f>L63*0.453592</f>
        <v>423.20133599999997</v>
      </c>
      <c r="O63">
        <f>$H$20-N63</f>
        <v>6281.016944</v>
      </c>
      <c r="P63">
        <f>O63*9.80665</f>
        <v>61595.7348138776</v>
      </c>
      <c r="Q63">
        <f>101325*(1+(-0.0065*D63*0.305)/273.15)^(-9.80665/(-0.0065*287))</f>
        <v>66409.855215522417</v>
      </c>
      <c r="R63">
        <f>SQRT(2/(1.4-1)*((1+101325/Q63*((1+0.4/2.8*1.225/101325*(E63*0.514)^2)^(1.4/0.4)-1))^(0.4/1.4)-1))</f>
        <v>0.33425702291170822</v>
      </c>
      <c r="S63">
        <f>(273.15+M63)/(1+0.4/2*R63^2)</f>
        <v>267.17972177450332</v>
      </c>
      <c r="T63">
        <f>SQRT(1.4*287*S63)</f>
        <v>327.64739005369086</v>
      </c>
      <c r="U63">
        <f>Q63/(S63*287)</f>
        <v>0.86605833036519941</v>
      </c>
      <c r="V63">
        <f>T63*R63*SQRT(U63/1.225)</f>
        <v>92.085824503744817</v>
      </c>
      <c r="W63">
        <f>V63*SQRT(P63/P62)</f>
        <v>92.022713488953414</v>
      </c>
    </row>
    <row r="66" spans="1:22" x14ac:dyDescent="0.3">
      <c r="A66">
        <v>6</v>
      </c>
      <c r="B66" s="7">
        <v>3.3842592592592598E-2</v>
      </c>
      <c r="C66" s="3"/>
      <c r="D66" s="3">
        <v>10810</v>
      </c>
      <c r="E66" s="3">
        <v>160</v>
      </c>
      <c r="F66" s="3">
        <v>5.3</v>
      </c>
      <c r="G66" s="3">
        <v>-0.1</v>
      </c>
      <c r="H66" s="3">
        <v>2.7</v>
      </c>
      <c r="I66" s="3">
        <v>0</v>
      </c>
      <c r="J66" s="3">
        <v>412</v>
      </c>
      <c r="K66" s="3">
        <v>448</v>
      </c>
      <c r="L66" s="3">
        <v>948</v>
      </c>
      <c r="M66" s="3">
        <v>-1.5</v>
      </c>
      <c r="N66">
        <f t="shared" ref="N66" si="31">L66*0.453592</f>
        <v>430.00521600000002</v>
      </c>
      <c r="O66">
        <f t="shared" ref="O66" si="32">$H$20-N66</f>
        <v>6274.2130639999996</v>
      </c>
      <c r="P66">
        <f t="shared" ref="P66" si="33">O66*9.80665</f>
        <v>61529.011544075591</v>
      </c>
      <c r="Q66">
        <f t="shared" ref="Q66" si="34">101325*(1+(-0.0065*D66*0.305)/273.15)^(-9.80665/(-0.0065*287))</f>
        <v>65944.390509253382</v>
      </c>
      <c r="R66">
        <f t="shared" ref="R66" si="35">SQRT(2/(1.4-1)*((1+101325/Q66*((1+0.4/2.8*1.225/101325*(E66*0.514)^2)^(1.4/0.4)-1))^(0.4/1.4)-1))</f>
        <v>0.29842849947900552</v>
      </c>
      <c r="S66">
        <f t="shared" ref="S66" si="36">(273.15+M66)/(1+0.4/2*R66^2)</f>
        <v>266.89607018816696</v>
      </c>
      <c r="T66">
        <f t="shared" ref="T66" si="37">SQRT(1.4*287*S66)</f>
        <v>327.47342029790065</v>
      </c>
      <c r="U66">
        <f t="shared" ref="U66" si="38">Q66/(S66*287)</f>
        <v>0.86090213070815058</v>
      </c>
      <c r="V66">
        <f t="shared" ref="V66" si="39">T66*R66*SQRT(U66/1.225)</f>
        <v>81.926650236417373</v>
      </c>
    </row>
    <row r="67" spans="1:22" x14ac:dyDescent="0.3">
      <c r="A67">
        <v>7</v>
      </c>
      <c r="B67" s="8">
        <v>3.4664351851851849E-2</v>
      </c>
      <c r="C67" s="9"/>
      <c r="D67" s="9">
        <v>10870</v>
      </c>
      <c r="E67" s="9">
        <v>160</v>
      </c>
      <c r="F67" s="9">
        <v>5.3</v>
      </c>
      <c r="G67" s="9">
        <v>-0.5</v>
      </c>
      <c r="H67" s="9">
        <v>2.7</v>
      </c>
      <c r="I67" s="9">
        <v>-22</v>
      </c>
      <c r="J67" s="9">
        <v>413</v>
      </c>
      <c r="K67" s="9">
        <v>450</v>
      </c>
      <c r="L67" s="9">
        <v>965</v>
      </c>
      <c r="M67" s="9">
        <v>-2.5</v>
      </c>
      <c r="N67">
        <f t="shared" ref="N67" si="40">L67*0.453592</f>
        <v>437.71627999999998</v>
      </c>
      <c r="O67">
        <f>$H$20-N67</f>
        <v>6266.5020000000004</v>
      </c>
      <c r="P67">
        <f t="shared" ref="P67" si="41">O67*9.80665</f>
        <v>61453.391838299998</v>
      </c>
      <c r="Q67">
        <f t="shared" ref="Q67" si="42">101325*(1+(-0.0065*D67*0.305)/273.15)^(-9.80665/(-0.0065*287))</f>
        <v>65780.741031411613</v>
      </c>
      <c r="R67">
        <f t="shared" ref="R67" si="43">SQRT(2/(1.4-1)*((1+101325/Q67*((1+0.4/2.8*1.225/101325*(E67*0.514)^2)^(1.4/0.4)-1))^(0.4/1.4)-1))</f>
        <v>0.29879142548031667</v>
      </c>
      <c r="S67">
        <f t="shared" ref="S67" si="44">(273.15+M67)/(1+0.4/2*R67^2)</f>
        <v>265.90224542561566</v>
      </c>
      <c r="T67">
        <f t="shared" si="26"/>
        <v>326.86315517661569</v>
      </c>
      <c r="U67">
        <f t="shared" ref="U67" si="45">Q67/(S67*287)</f>
        <v>0.86197537706343186</v>
      </c>
      <c r="V67">
        <f t="shared" ref="V67" si="46">T67*R67*SQRT(U67/1.225)</f>
        <v>81.924440582244088</v>
      </c>
    </row>
    <row r="68" spans="1:22" x14ac:dyDescent="0.3">
      <c r="A68" s="1" t="s">
        <v>86</v>
      </c>
    </row>
    <row r="70" spans="1:22" x14ac:dyDescent="0.3">
      <c r="A70" t="s">
        <v>87</v>
      </c>
      <c r="C70" s="3"/>
    </row>
    <row r="71" spans="1:22" x14ac:dyDescent="0.3">
      <c r="A71" t="s">
        <v>88</v>
      </c>
      <c r="C71" s="3"/>
      <c r="E71" t="s">
        <v>89</v>
      </c>
      <c r="H71" s="3"/>
    </row>
    <row r="73" spans="1:22" x14ac:dyDescent="0.3">
      <c r="A73" t="s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83</v>
      </c>
      <c r="H73" t="s">
        <v>84</v>
      </c>
      <c r="I73" t="s">
        <v>85</v>
      </c>
      <c r="J73" t="s">
        <v>51</v>
      </c>
      <c r="K73" t="s">
        <v>52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115</v>
      </c>
      <c r="R73" t="s">
        <v>123</v>
      </c>
      <c r="S73" t="s">
        <v>17</v>
      </c>
      <c r="T73" t="s">
        <v>125</v>
      </c>
    </row>
    <row r="74" spans="1:22" x14ac:dyDescent="0.3">
      <c r="B74" s="5" t="s">
        <v>81</v>
      </c>
      <c r="C74" s="5" t="s">
        <v>68</v>
      </c>
      <c r="D74" s="5" t="s">
        <v>69</v>
      </c>
      <c r="E74" s="5" t="s">
        <v>70</v>
      </c>
      <c r="F74" s="5" t="s">
        <v>71</v>
      </c>
      <c r="G74" s="5" t="s">
        <v>71</v>
      </c>
      <c r="H74" s="5" t="s">
        <v>71</v>
      </c>
      <c r="I74" s="5" t="s">
        <v>76</v>
      </c>
      <c r="J74" s="5" t="s">
        <v>72</v>
      </c>
      <c r="K74" s="5" t="s">
        <v>72</v>
      </c>
      <c r="L74" s="5" t="s">
        <v>73</v>
      </c>
      <c r="M74" s="5" t="s">
        <v>74</v>
      </c>
      <c r="N74" s="5" t="s">
        <v>75</v>
      </c>
      <c r="O74" s="5" t="s">
        <v>75</v>
      </c>
      <c r="P74" s="5" t="s">
        <v>76</v>
      </c>
      <c r="Q74" s="5" t="s">
        <v>120</v>
      </c>
    </row>
    <row r="75" spans="1:22" x14ac:dyDescent="0.3">
      <c r="A75">
        <v>1</v>
      </c>
      <c r="B75" s="7">
        <v>3.3842592592592598E-2</v>
      </c>
      <c r="C75" s="3"/>
      <c r="D75" s="3">
        <v>10810</v>
      </c>
      <c r="E75" s="3">
        <v>160</v>
      </c>
      <c r="F75" s="3">
        <v>5.3</v>
      </c>
      <c r="G75" s="3">
        <v>-0.1</v>
      </c>
      <c r="H75" s="3">
        <v>2.7</v>
      </c>
      <c r="I75" s="3">
        <v>0</v>
      </c>
      <c r="J75" s="3">
        <v>412</v>
      </c>
      <c r="K75" s="3">
        <v>448</v>
      </c>
      <c r="L75" s="3">
        <v>948</v>
      </c>
      <c r="M75" s="3">
        <v>-1.5</v>
      </c>
      <c r="N75">
        <f t="shared" ref="N75:N76" si="47">L75*0.453592</f>
        <v>430.00521600000002</v>
      </c>
      <c r="O75">
        <f t="shared" ref="O75:O76" si="48">$H$20-N75</f>
        <v>6274.2130639999996</v>
      </c>
      <c r="P75">
        <f>O75*9.80665</f>
        <v>61529.011544075591</v>
      </c>
      <c r="Q75">
        <f>P80/(M80*9.80665)</f>
        <v>7.2386184825341298</v>
      </c>
      <c r="R75">
        <f>Q75*100/2.54</f>
        <v>284.98497962732796</v>
      </c>
      <c r="S75">
        <f>R75-261.45</f>
        <v>23.534979627327971</v>
      </c>
      <c r="T75">
        <f>S75*2.54/100</f>
        <v>0.59778848253413042</v>
      </c>
    </row>
    <row r="76" spans="1:22" x14ac:dyDescent="0.3">
      <c r="A76">
        <v>2</v>
      </c>
      <c r="B76" s="7">
        <v>3.4664351851851849E-2</v>
      </c>
      <c r="C76" s="3"/>
      <c r="D76" s="3">
        <v>10870</v>
      </c>
      <c r="E76" s="3">
        <v>160</v>
      </c>
      <c r="F76" s="3">
        <v>5.3</v>
      </c>
      <c r="G76" s="3">
        <v>-0.5</v>
      </c>
      <c r="H76" s="3">
        <v>2.7</v>
      </c>
      <c r="I76" s="3">
        <v>-22</v>
      </c>
      <c r="J76" s="3">
        <v>413</v>
      </c>
      <c r="K76" s="3">
        <v>450</v>
      </c>
      <c r="L76" s="3">
        <v>965</v>
      </c>
      <c r="M76" s="3">
        <v>-2.5</v>
      </c>
      <c r="N76">
        <f t="shared" si="47"/>
        <v>437.71627999999998</v>
      </c>
      <c r="O76">
        <f t="shared" si="48"/>
        <v>6266.5020000000004</v>
      </c>
      <c r="P76">
        <f>O76*9.80665</f>
        <v>61453.391838299998</v>
      </c>
      <c r="Q76">
        <f>P81/(M81*9.80665)</f>
        <v>7.2433058912680037</v>
      </c>
      <c r="R76">
        <f>Q76*100/2.54</f>
        <v>285.16952327826789</v>
      </c>
      <c r="S76">
        <f>R76-261.45</f>
        <v>23.7195232782679</v>
      </c>
      <c r="T76">
        <f>S76*2.54/100</f>
        <v>0.60247589126800472</v>
      </c>
    </row>
    <row r="77" spans="1:22" x14ac:dyDescent="0.3">
      <c r="C77" t="s">
        <v>80</v>
      </c>
    </row>
    <row r="78" spans="1:22" x14ac:dyDescent="0.3">
      <c r="M78" t="s">
        <v>116</v>
      </c>
      <c r="N78" t="s">
        <v>111</v>
      </c>
      <c r="O78" t="s">
        <v>112</v>
      </c>
      <c r="P78" t="s">
        <v>112</v>
      </c>
      <c r="Q78" t="s">
        <v>118</v>
      </c>
      <c r="R78" t="s">
        <v>119</v>
      </c>
      <c r="S78" t="s">
        <v>124</v>
      </c>
      <c r="T78" t="s">
        <v>17</v>
      </c>
      <c r="U78" t="s">
        <v>126</v>
      </c>
    </row>
    <row r="79" spans="1:22" x14ac:dyDescent="0.3">
      <c r="A79" s="1" t="s">
        <v>90</v>
      </c>
      <c r="M79" t="s">
        <v>117</v>
      </c>
      <c r="N79" s="10" t="s">
        <v>73</v>
      </c>
      <c r="O79" s="10" t="s">
        <v>113</v>
      </c>
      <c r="P79" s="10" t="s">
        <v>114</v>
      </c>
      <c r="Q79" s="10" t="s">
        <v>121</v>
      </c>
      <c r="R79" s="10" t="s">
        <v>120</v>
      </c>
    </row>
    <row r="80" spans="1:22" x14ac:dyDescent="0.3">
      <c r="M80">
        <f>N80*0.453592</f>
        <v>1407.0423840000001</v>
      </c>
      <c r="N80">
        <f>$D$18-L75</f>
        <v>3102</v>
      </c>
      <c r="O80">
        <f>8839.04*100</f>
        <v>883904.00000000012</v>
      </c>
      <c r="P80">
        <f>O80*0.113</f>
        <v>99881.152000000016</v>
      </c>
      <c r="Q80">
        <f>Q12</f>
        <v>37447.77764049</v>
      </c>
      <c r="R80">
        <f>R12</f>
        <v>5.3783247887323942</v>
      </c>
      <c r="S80">
        <f>R80*100/2.54</f>
        <v>211.74507042253521</v>
      </c>
      <c r="T80">
        <f>S80-261.45</f>
        <v>-49.704929577464782</v>
      </c>
      <c r="U80">
        <f>T80*2.54/100</f>
        <v>-1.2625052112676054</v>
      </c>
    </row>
    <row r="81" spans="1:22" x14ac:dyDescent="0.3">
      <c r="D81" t="s">
        <v>91</v>
      </c>
      <c r="G81" t="s">
        <v>91</v>
      </c>
      <c r="J81" t="s">
        <v>91</v>
      </c>
      <c r="M81">
        <f>N81*0.453592</f>
        <v>1399.33132</v>
      </c>
      <c r="N81">
        <f>$D$18-L76</f>
        <v>3085</v>
      </c>
      <c r="O81">
        <f>8796.2915*100</f>
        <v>879629.14999999991</v>
      </c>
      <c r="P81">
        <f>O81*0.113</f>
        <v>99398.093949999995</v>
      </c>
      <c r="Q81">
        <f>Q15</f>
        <v>34033.765040030004</v>
      </c>
      <c r="R81">
        <f>R15</f>
        <v>4.8879974647887332</v>
      </c>
      <c r="S81">
        <f>R81*100/2.54</f>
        <v>192.44084507042257</v>
      </c>
      <c r="T81">
        <f>S81-261.45</f>
        <v>-69.00915492957742</v>
      </c>
      <c r="U81">
        <f>T81*2.54/100</f>
        <v>-1.7528325352112666</v>
      </c>
    </row>
    <row r="82" spans="1:22" x14ac:dyDescent="0.3">
      <c r="D82" t="s">
        <v>81</v>
      </c>
      <c r="G82" t="s">
        <v>81</v>
      </c>
      <c r="J82" t="s">
        <v>81</v>
      </c>
    </row>
    <row r="83" spans="1:22" x14ac:dyDescent="0.3">
      <c r="A83" t="s">
        <v>92</v>
      </c>
      <c r="D83" s="6" t="s">
        <v>103</v>
      </c>
      <c r="E83" t="s">
        <v>93</v>
      </c>
      <c r="G83" s="6" t="s">
        <v>104</v>
      </c>
      <c r="H83" t="s">
        <v>94</v>
      </c>
      <c r="J83" s="6" t="s">
        <v>105</v>
      </c>
    </row>
    <row r="84" spans="1:22" x14ac:dyDescent="0.3">
      <c r="A84" t="s">
        <v>95</v>
      </c>
      <c r="D84" s="6" t="s">
        <v>106</v>
      </c>
      <c r="E84" t="s">
        <v>96</v>
      </c>
      <c r="G84" s="6" t="s">
        <v>107</v>
      </c>
      <c r="H84" t="s">
        <v>97</v>
      </c>
      <c r="J84" s="6" t="s">
        <v>108</v>
      </c>
      <c r="M84" t="s">
        <v>110</v>
      </c>
      <c r="N84" s="12" t="s">
        <v>109</v>
      </c>
      <c r="O84" t="s">
        <v>63</v>
      </c>
      <c r="P84" t="s">
        <v>64</v>
      </c>
      <c r="Q84" t="s">
        <v>122</v>
      </c>
      <c r="R84" t="s">
        <v>127</v>
      </c>
      <c r="S84" t="s">
        <v>17</v>
      </c>
      <c r="T84" t="s">
        <v>18</v>
      </c>
      <c r="U84" t="s">
        <v>128</v>
      </c>
      <c r="V84" s="12" t="s">
        <v>137</v>
      </c>
    </row>
    <row r="85" spans="1:22" x14ac:dyDescent="0.3">
      <c r="M85" s="5" t="s">
        <v>79</v>
      </c>
      <c r="N85" s="11"/>
      <c r="O85" s="5" t="s">
        <v>77</v>
      </c>
      <c r="P85" s="5" t="s">
        <v>78</v>
      </c>
      <c r="Q85" s="5" t="s">
        <v>120</v>
      </c>
      <c r="V85" s="12"/>
    </row>
    <row r="86" spans="1:22" x14ac:dyDescent="0.3">
      <c r="M86">
        <f>P75/(1/2*O86*P86^2*36)</f>
        <v>0.59156606697514802</v>
      </c>
      <c r="N86" s="11">
        <f>-(1/RADIANS($G$76-$G$75))*M86*($U$86/2.0569)</f>
        <v>-2.2499885955121055</v>
      </c>
      <c r="O86">
        <f>U66</f>
        <v>0.86090213070815058</v>
      </c>
      <c r="P86">
        <f>V66</f>
        <v>81.926650236417373</v>
      </c>
      <c r="Q86">
        <f>(Q80+P80+$Q$10)/(O75*9.80665)</f>
        <v>7.1498905329456557</v>
      </c>
      <c r="R86">
        <f>Q86*100/2.54</f>
        <v>281.49175326557702</v>
      </c>
      <c r="S86">
        <f>R86-261.45</f>
        <v>20.041753265577029</v>
      </c>
      <c r="T86">
        <f>S86*2.54/100</f>
        <v>0.50906053294565656</v>
      </c>
      <c r="U86">
        <f>T87-T86</f>
        <v>-5.4616969570411678E-2</v>
      </c>
      <c r="V86" s="12">
        <f>-(-0.4809)*N88</f>
        <v>-1.080710938169932</v>
      </c>
    </row>
    <row r="87" spans="1:22" x14ac:dyDescent="0.3">
      <c r="M87">
        <f>P76/(1/2*O87*P87^2*36)</f>
        <v>0.59013520555036436</v>
      </c>
      <c r="N87" s="11">
        <f>-(1/RADIANS($G$76-$G$75))*M87*($U$86/2.0569)</f>
        <v>-2.2445463937577297</v>
      </c>
      <c r="O87">
        <f>U67</f>
        <v>0.86197537706343186</v>
      </c>
      <c r="P87">
        <f>V67</f>
        <v>81.924440582244088</v>
      </c>
      <c r="Q87">
        <f>(Q81+P81+$Q$10)/(O76*9.80665)</f>
        <v>7.0952735633752448</v>
      </c>
      <c r="R87">
        <f>Q87*100/2.54</f>
        <v>279.34147887304113</v>
      </c>
      <c r="S87">
        <f>R87-261.45</f>
        <v>17.891478873041137</v>
      </c>
      <c r="T87">
        <f>S87*2.54/100</f>
        <v>0.45444356337524489</v>
      </c>
    </row>
    <row r="88" spans="1:22" x14ac:dyDescent="0.3">
      <c r="N88" s="12">
        <f>(N86+N87)/2</f>
        <v>-2.2472674946349178</v>
      </c>
    </row>
  </sheetData>
  <sortState xmlns:xlrd2="http://schemas.microsoft.com/office/spreadsheetml/2017/richdata2" ref="A59:R66">
    <sortCondition ref="G59"/>
  </sortState>
  <conditionalFormatting sqref="B34:J34 B67:C67 B59:C63">
    <cfRule type="expression" dxfId="12" priority="15">
      <formula>LEN(TRIM(B34))=0</formula>
    </cfRule>
  </conditionalFormatting>
  <conditionalFormatting sqref="D18">
    <cfRule type="expression" dxfId="11" priority="16">
      <formula>LEN(TRIM(D18))=0</formula>
    </cfRule>
  </conditionalFormatting>
  <conditionalFormatting sqref="C28:C33">
    <cfRule type="expression" dxfId="10" priority="17">
      <formula>LEN(TRIM(C28))=0</formula>
    </cfRule>
  </conditionalFormatting>
  <conditionalFormatting sqref="C44:J50">
    <cfRule type="expression" dxfId="9" priority="19">
      <formula>LEN(TRIM(C44))=0</formula>
    </cfRule>
  </conditionalFormatting>
  <conditionalFormatting sqref="C70">
    <cfRule type="expression" dxfId="8" priority="20">
      <formula>LEN(TRIM(C70))=0</formula>
    </cfRule>
  </conditionalFormatting>
  <conditionalFormatting sqref="C71">
    <cfRule type="expression" dxfId="7" priority="21">
      <formula>LEN(TRIM(C71))=0</formula>
    </cfRule>
  </conditionalFormatting>
  <conditionalFormatting sqref="H71">
    <cfRule type="expression" dxfId="6" priority="22">
      <formula>LEN(TRIM(H71))=0</formula>
    </cfRule>
  </conditionalFormatting>
  <conditionalFormatting sqref="D3:D4">
    <cfRule type="expression" dxfId="5" priority="24">
      <formula>LEN(TRIM(D3))=0</formula>
    </cfRule>
  </conditionalFormatting>
  <conditionalFormatting sqref="E39">
    <cfRule type="expression" dxfId="4" priority="25">
      <formula>LEN(TRIM(E39))=0</formula>
    </cfRule>
  </conditionalFormatting>
  <conditionalFormatting sqref="B44:B50">
    <cfRule type="expression" dxfId="3" priority="30">
      <formula>LEN(TRIM(B44))=0</formula>
    </cfRule>
  </conditionalFormatting>
  <conditionalFormatting sqref="D28:J33 D76:M76 D67:M67 D59:M63">
    <cfRule type="expression" priority="13">
      <formula>LEN(TRIM(D28))=0</formula>
    </cfRule>
  </conditionalFormatting>
  <conditionalFormatting sqref="B29:B33">
    <cfRule type="expression" priority="12">
      <formula>LEN(TRIM(B29))=0</formula>
    </cfRule>
  </conditionalFormatting>
  <conditionalFormatting sqref="B76">
    <cfRule type="expression" priority="9">
      <formula>LEN(TRIM(B76))=0</formula>
    </cfRule>
  </conditionalFormatting>
  <conditionalFormatting sqref="D83:D84">
    <cfRule type="expression" priority="6">
      <formula>LEN(TRIM(D83))=0</formula>
    </cfRule>
  </conditionalFormatting>
  <conditionalFormatting sqref="G83:G84">
    <cfRule type="expression" priority="7">
      <formula>LEN(TRIM(G83))=0</formula>
    </cfRule>
  </conditionalFormatting>
  <conditionalFormatting sqref="J83:J84">
    <cfRule type="expression" priority="8">
      <formula>LEN(TRIM(J83))=0</formula>
    </cfRule>
  </conditionalFormatting>
  <conditionalFormatting sqref="C75">
    <cfRule type="expression" dxfId="2" priority="4">
      <formula>LEN(TRIM(C75))=0</formula>
    </cfRule>
  </conditionalFormatting>
  <conditionalFormatting sqref="B75">
    <cfRule type="expression" dxfId="1" priority="5">
      <formula>LEN(TRIM(B75))=0</formula>
    </cfRule>
  </conditionalFormatting>
  <conditionalFormatting sqref="D75:M75">
    <cfRule type="expression" priority="3">
      <formula>LEN(TRIM(D75))=0</formula>
    </cfRule>
  </conditionalFormatting>
  <conditionalFormatting sqref="B66:C66">
    <cfRule type="expression" dxfId="0" priority="2">
      <formula>LEN(TRIM(B66))=0</formula>
    </cfRule>
  </conditionalFormatting>
  <conditionalFormatting sqref="D66:M66">
    <cfRule type="expression" priority="1">
      <formula>LEN(TRIM(D66))=0</formula>
    </cfRule>
  </conditionalFormatting>
  <pageMargins left="0.7" right="0.7" top="0.75" bottom="0.75" header="0.3" footer="0.3"/>
  <pageSetup paperSize="9" scale="24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Mulder - LR</dc:creator>
  <dc:description/>
  <cp:lastModifiedBy>Miguel Angel Saez</cp:lastModifiedBy>
  <cp:revision>6</cp:revision>
  <cp:lastPrinted>2013-02-27T10:55:04Z</cp:lastPrinted>
  <dcterms:created xsi:type="dcterms:W3CDTF">2013-02-25T15:54:42Z</dcterms:created>
  <dcterms:modified xsi:type="dcterms:W3CDTF">2019-03-25T16:00:03Z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